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F:\Setor Licitação\Compartilhada\Calçamento Barão\"/>
    </mc:Choice>
  </mc:AlternateContent>
  <bookViews>
    <workbookView xWindow="0" yWindow="0" windowWidth="20400" windowHeight="7620" tabRatio="801" activeTab="4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BM!$C$15:$C$49</definedName>
    <definedName name="_xlnm._FilterDatabase" localSheetId="5" hidden="1">CÁLCULO!$C$15:$C$49</definedName>
    <definedName name="_xlnm._FilterDatabase" localSheetId="7" hidden="1">CRONO!$F$13:$F$63</definedName>
    <definedName name="_xlnm._FilterDatabase" localSheetId="8" hidden="1">CRONOPLE!$A$13:$A$15</definedName>
    <definedName name="_xlnm._FilterDatabase" localSheetId="4" hidden="1">ORÇAMENTO!$L$15:$L$49</definedName>
    <definedName name="_xlnm._FilterDatabase" localSheetId="9" hidden="1">PLE!$A$13:$A$36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BM!$D$1:$O$64</definedName>
    <definedName name="_xlnm.Print_Area" localSheetId="5">CÁLCULO!$E$4:$S$57</definedName>
    <definedName name="_xlnm.Print_Area" localSheetId="7">CRONO!$H$7:$AF$63</definedName>
    <definedName name="_xlnm.Print_Area" localSheetId="0">MENU!$A$1:$I$25</definedName>
    <definedName name="_xlnm.Print_Area" localSheetId="13">OFÍCIO!$A$1:$G$56</definedName>
    <definedName name="_xlnm.Print_Area" localSheetId="4">ORÇAMENTO!$O$4:$X$66</definedName>
    <definedName name="_xlnm.Print_Area" localSheetId="9">PLE!$B$3:$AG$37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BM!$C$15:$C$49</definedName>
    <definedName name="BM.firstrow" hidden="1">BM!$15:$15</definedName>
    <definedName name="BM.FormulaMed" hidden="1">BM!$AO$7</definedName>
    <definedName name="BM.lastrow" hidden="1">BM!$49:$49</definedName>
    <definedName name="BM.LinhaPadrão" hidden="1">BM!$14:$14</definedName>
    <definedName name="BM.MaxMed" hidden="1">IF(RegimeExecucao="Global",1,BM!$G1)</definedName>
    <definedName name="BM.MCAIXA.Filter" hidden="1">BM!$C$15:$Z$49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CÁLCULO!$C$15:$C$49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CÁLCULO!$49:$49</definedName>
    <definedName name="CÁLCULO.LinhaPadrão" hidden="1">CÁLCULO!$14:$14</definedName>
    <definedName name="CÁLCULO.margemrow" hidden="1">CÁLCULO!$57:$57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CÁLCULO!$49:$49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CÁLCULO!$49:$49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CÁLCULO!$49:$49</definedName>
    <definedName name="CÁLCULO.NúmeroDeEventos" hidden="1">IF(AUTOEVENTO&lt;&gt;"manual",MAX(CÁLCULO!$M$15:$M$49),MAX(OFFSET(EVENTOS!$C$14:$C$22,1,0)))</definedName>
    <definedName name="CÁLCULO.NúmeroDeFrentes" hidden="1">COLUMN(CÁLCULO!$AA$15)-COLUMN(CÁLCULO!$Q$15)</definedName>
    <definedName name="CÁLCULO.TotalAdmLocal" hidden="1">IF(AUTOEVENTO="manual",SUMIF(CÁLCULO!$M$15:$M$49,1,ORÇAMENTO!$X$15:$X$49),0)</definedName>
    <definedName name="CRONO.ColunaPadrão" hidden="1">CRONO!$D:$D</definedName>
    <definedName name="CRONO.Filtro" hidden="1">CRONO!$F$13:$F$63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CRONO!$58:$58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CRONO!$63:$63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CRONOPLE!$22:$22</definedName>
    <definedName name="CRONOPLE.LinhaPadrão" hidden="1">CRONOPLE!$1:$1</definedName>
    <definedName name="CRONOPLE.margemrow" hidden="1">CRONOPLE!$23:$23</definedName>
    <definedName name="CRONOPLE.ValorDoEvento" hidden="1">SUMIF(CÁLCULO!$M$15:$M$49,CRONOPLE!$B1,OFFSET(CÁLCULO!$AA$15:$AA$49,0,CRONOPLE!A$12))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EVENTOS!$22:$22</definedName>
    <definedName name="EVENTOS.LinhaPadrão" hidden="1">EVENTOS!$14:$14</definedName>
    <definedName name="EVENTOS.Lista" hidden="1">EVENTOS!$C$15:OFFSET(EVENTOS!$C$22,-1,0)</definedName>
    <definedName name="EVENTOS.ListaValidacao" hidden="1">EVENTOS!$B$15:OFFSET(EVENTOS!$B$22,-1,0)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BM!$D$52</definedName>
    <definedName name="Import.BMAFAcumulado" hidden="1">OFFSET(BM!$R$15,1,0):OFFSET(BM!$R$49,-1,0)</definedName>
    <definedName name="Import.BMArred" hidden="1">BM!$A$9</definedName>
    <definedName name="Import.CNPJ" hidden="1">DADOS!$F$38</definedName>
    <definedName name="Import.Código" hidden="1">OFFSET(ORÇAMENTO!$Q$15,1,0):OFFSET(ORÇAMENTO!$Q$49,-1,0)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OFFSET(CRONOPLE!$F$15,1,1):OFFSET(CRONOPLE!$AF$22,-1,-1)</definedName>
    <definedName name="Import.CTEF" hidden="1">DADOS!$F$36</definedName>
    <definedName name="Import.CustoUnitário" hidden="1">OFFSET(ORÇAMENTO!$U$15,1,0):OFFSET(ORÇAMENTO!$U$49,-1,0)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OFFSET(ORÇAMENTO!$R$15,1,0):OFFSET(ORÇAMENTO!$R$49,-1,0)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OFFSET(EVENTOS!$D$15,1,0):OFFSET(EVENTOS!$D$22,-1,0)</definedName>
    <definedName name="Import.Fonte" hidden="1">OFFSET(ORÇAMENTO!$P$15,1,0):OFFSET(ORÇAMENTO!$P$49,-1,0)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OFFSET(ORÇAMENTO!$M$15,1,0):OFFSET(ORÇAMENTO!$M$49,-1,0)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OFFSET(ORÇAMENTO!$V$15,1,0):OFFSET(ORÇAMENTO!$V$49,-1,0)</definedName>
    <definedName name="Import.ORÇAMENTO.DivRecurso" hidden="1">OFFSET(ORÇAMENTO!$Y$15,1,0):OFFSET(ORÇAMENTO!$Y$49,-1,0)</definedName>
    <definedName name="Import.ORÇAMENTO.Obs" hidden="1">ORÇAMENTO!$O$55</definedName>
    <definedName name="Import.PLE" hidden="1">OFFSET(PLE!$G$15,1,1):OFFSET(PLE!$AG$22,-1,-1)</definedName>
    <definedName name="Import.PLE.Datas" hidden="1">PLE!$I$25:$AF$25</definedName>
    <definedName name="Import.PLQ" hidden="1">OFFSET(CÁLCULO!$P$15,1,1):OFFSET(CÁLCULO!$AA$49,-1,-1)</definedName>
    <definedName name="Import.PLQ.MemCalc" hidden="1">OFFSET(CÁLCULO!$I$15,1,0):OFFSET(CÁLCULO!$I$49,-1,0)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OFFSET(ORÇAMENTO!$AJ$15,1,0):OFFSET(ORÇAMENTO!$AJ$49,-1,0)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OFFSET(ORÇAMENTO!$S$15,1,0):OFFSET(ORÇAMENTO!$S$49,-1,0)</definedName>
    <definedName name="Import.UnitarioLicitado" hidden="1">OFFSET(ORÇAMENTO!$AL$15,1,0):OFFSET(ORÇAMENTO!$AL$49,-1,0)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ORÇAMENTO!$L$15:$L$49</definedName>
    <definedName name="ORÇAMENTO.firstrow" hidden="1">ORÇAMENTO!$15:$15</definedName>
    <definedName name="ORÇAMENTO.Fonte" hidden="1">ORÇAMENTO!$P1</definedName>
    <definedName name="ORÇAMENTO.lastrow" hidden="1">ORÇAMENTO!$49:$49</definedName>
    <definedName name="ORÇAMENTO.LinhaPadrão" hidden="1">ORÇAMENTO!$14:$14</definedName>
    <definedName name="ORÇAMENTO.ListaCrono" hidden="1">OFFSET(ORÇAMENTO!$AD$15,1,0):OFFSET(ORÇAMENTO!$AD$49,-1,0)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OFFSET(ORÇAMENTO!$P$15,1,0):OFFSET(ORÇAMENTO!$S$49,-1,0)</definedName>
    <definedName name="ORÇAMENTO.PasteFormat2" hidden="1">OFFSET(ORÇAMENTO!$U$15,1,0):OFFSET(ORÇAMENTO!$V$49,-1,0)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OFFSET(ORÇAMENTO!$T$15,1,0):OFFSET(ORÇAMENTO!$T$49,-1,0)</definedName>
    <definedName name="ORÇAMENTO.SumCPMANUAL" hidden="1">SUMIF(ORÇAMENTO!$Z$15:$Z$49,"CP",ORÇAMENTO!$AA$15:$AA$49)</definedName>
    <definedName name="ORÇAMENTO.SumINVMANUAL" hidden="1">SUMIF(ORÇAMENTO!$Z$15:$Z$49,"RP",ORÇAMENTO!$X$15:$X$49)+SUMIF(ORÇAMENTO!$Z$15:$Z$49,"CP",ORÇAMENTO!$X$15:$X$49)+SUMIF(ORÇAMENTO!$Z$15:$Z$49,"OU",ORÇAMENTO!$X$15:$X$49)</definedName>
    <definedName name="ORÇAMENTO.SumOUTROSMANUAL" hidden="1">SUMIF(ORÇAMENTO!$Z$15:$Z$49,"OU",ORÇAMENTO!$AB$15:$AB$49)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PLE!$A$13:$A$36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PLE!$22:$22</definedName>
    <definedName name="PLE.LinhaPadrão" hidden="1">PLE!$1:$1</definedName>
    <definedName name="PLE.margemrow" hidden="1">PLE!$37:$37</definedName>
    <definedName name="PLE.Medicao" hidden="1">PLE!$J$9</definedName>
    <definedName name="PLE.MEDIÇÕES.firstrow" hidden="1">PLE!$23:$23</definedName>
    <definedName name="PLE.MEDIÇÕES.lastrow" hidden="1">PLE!$31:$31</definedName>
    <definedName name="PLE.MEDIÇÕES.LinhaPadrão" hidden="1">PLE!$23:$30</definedName>
    <definedName name="PLE.ValorDoEvento" hidden="1">SUMIF(CÁLCULO!$M$15:$M$49,PLE!$B1,OFFSET(CÁLCULO!$AA$15:$AA$49,0,PLE!A$12))</definedName>
    <definedName name="PO.ValoresBDI" hidden="1">OFFSET(ORÇAMENTO!$AH$15,1,0):OFFSET(ORÇAMENTO!$AH$49,-1,0)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S39" i="6" l="1"/>
  <c r="S38" i="6"/>
  <c r="S35" i="6"/>
  <c r="H48" i="12"/>
  <c r="G48" i="12"/>
  <c r="F48" i="12"/>
  <c r="H47" i="12"/>
  <c r="G47" i="12"/>
  <c r="F47" i="12"/>
  <c r="A48" i="5"/>
  <c r="A47" i="5"/>
  <c r="H39" i="12"/>
  <c r="G39" i="12"/>
  <c r="F39" i="12"/>
  <c r="A39" i="5"/>
  <c r="H37" i="12"/>
  <c r="G37" i="12"/>
  <c r="F37" i="12"/>
  <c r="A37" i="5"/>
  <c r="S36" i="6"/>
  <c r="H38" i="12"/>
  <c r="G38" i="12"/>
  <c r="F38" i="12"/>
  <c r="H36" i="12"/>
  <c r="G36" i="12"/>
  <c r="F36" i="12"/>
  <c r="H35" i="12"/>
  <c r="G35" i="12"/>
  <c r="F35" i="12"/>
  <c r="H34" i="12"/>
  <c r="G34" i="12"/>
  <c r="F34" i="12"/>
  <c r="A38" i="5"/>
  <c r="A36" i="5"/>
  <c r="A35" i="5"/>
  <c r="A34" i="5"/>
  <c r="S30" i="6" l="1"/>
  <c r="H28" i="12" l="1"/>
  <c r="G28" i="12"/>
  <c r="F28" i="12"/>
  <c r="H27" i="12"/>
  <c r="G27" i="12"/>
  <c r="F27" i="12"/>
  <c r="A28" i="5"/>
  <c r="A27" i="5"/>
  <c r="S26" i="6" l="1"/>
  <c r="R26" i="6"/>
  <c r="R27" i="6" s="1"/>
  <c r="R28" i="6" s="1"/>
  <c r="R23" i="6"/>
  <c r="R30" i="6" s="1"/>
  <c r="S21" i="6"/>
  <c r="R21" i="6"/>
  <c r="S27" i="6" l="1"/>
  <c r="S28" i="6" s="1"/>
  <c r="S44" i="6"/>
  <c r="R44" i="6"/>
  <c r="S42" i="6"/>
  <c r="R42" i="6"/>
  <c r="H41" i="12" l="1"/>
  <c r="G41" i="12"/>
  <c r="F41" i="12"/>
  <c r="A41" i="5"/>
  <c r="H44" i="12"/>
  <c r="G44" i="12"/>
  <c r="F44" i="12"/>
  <c r="H43" i="12"/>
  <c r="G43" i="12"/>
  <c r="F43" i="12"/>
  <c r="A44" i="5"/>
  <c r="A43" i="5"/>
  <c r="H42" i="12"/>
  <c r="G42" i="12"/>
  <c r="F42" i="12"/>
  <c r="A42" i="5"/>
  <c r="S32" i="6" l="1"/>
  <c r="R33" i="6" l="1"/>
  <c r="S33" i="6"/>
  <c r="S31" i="6"/>
  <c r="Q20" i="6"/>
  <c r="R31" i="6" l="1"/>
  <c r="R32" i="6"/>
  <c r="AJ20" i="5"/>
  <c r="H20" i="12" l="1"/>
  <c r="G20" i="12"/>
  <c r="F20" i="12"/>
  <c r="A20" i="5"/>
  <c r="H23" i="12"/>
  <c r="G23" i="12"/>
  <c r="F23" i="12"/>
  <c r="H22" i="12"/>
  <c r="G22" i="12"/>
  <c r="F22" i="12"/>
  <c r="A23" i="5"/>
  <c r="A22" i="5"/>
  <c r="H18" i="12"/>
  <c r="G18" i="12"/>
  <c r="F18" i="12"/>
  <c r="H17" i="12"/>
  <c r="G17" i="12"/>
  <c r="F17" i="12"/>
  <c r="A18" i="5"/>
  <c r="A17" i="5"/>
  <c r="H40" i="12" l="1"/>
  <c r="G40" i="12"/>
  <c r="F40" i="12"/>
  <c r="A40" i="5"/>
  <c r="H29" i="12"/>
  <c r="G29" i="12"/>
  <c r="F29" i="12"/>
  <c r="A29" i="5"/>
  <c r="H25" i="12"/>
  <c r="G25" i="12"/>
  <c r="F25" i="12"/>
  <c r="A25" i="5"/>
  <c r="H14" i="13"/>
  <c r="G14" i="13"/>
  <c r="D14" i="11"/>
  <c r="A14" i="11" s="1"/>
  <c r="H46" i="12"/>
  <c r="G46" i="12"/>
  <c r="F46" i="12"/>
  <c r="A46" i="5"/>
  <c r="H31" i="12"/>
  <c r="G31" i="12"/>
  <c r="F31" i="12"/>
  <c r="A31" i="5"/>
  <c r="H30" i="12"/>
  <c r="G30" i="12"/>
  <c r="F30" i="12"/>
  <c r="A30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F21" i="12"/>
  <c r="G21" i="12"/>
  <c r="H21" i="12"/>
  <c r="E24" i="12"/>
  <c r="F24" i="12"/>
  <c r="G24" i="12"/>
  <c r="H24" i="12"/>
  <c r="F26" i="12"/>
  <c r="G26" i="12"/>
  <c r="H26" i="12"/>
  <c r="F32" i="12"/>
  <c r="G32" i="12"/>
  <c r="H32" i="12"/>
  <c r="F33" i="12"/>
  <c r="G33" i="12"/>
  <c r="H33" i="12"/>
  <c r="F45" i="12"/>
  <c r="G45" i="12"/>
  <c r="H45" i="12"/>
  <c r="D56" i="12"/>
  <c r="D58" i="12"/>
  <c r="E59" i="12"/>
  <c r="K61" i="12" a="1"/>
  <c r="K62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6" i="10"/>
  <c r="N9" i="10" s="1"/>
  <c r="B32" i="10"/>
  <c r="W34" i="10" a="1"/>
  <c r="W37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A32" i="8" s="1"/>
  <c r="A35" i="8" s="1"/>
  <c r="A38" i="8" s="1"/>
  <c r="A41" i="8" s="1"/>
  <c r="S49" i="8"/>
  <c r="S54" i="8"/>
  <c r="H59" i="8"/>
  <c r="Z61" i="8" a="1"/>
  <c r="Z62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4" i="6"/>
  <c r="B49" i="6"/>
  <c r="C49" i="6"/>
  <c r="F53" i="6"/>
  <c r="I55" i="6" a="1"/>
  <c r="I55" i="6" s="1"/>
  <c r="T55" i="6" a="1"/>
  <c r="T55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1" i="5"/>
  <c r="A24" i="5"/>
  <c r="A26" i="5"/>
  <c r="A32" i="5"/>
  <c r="A33" i="5"/>
  <c r="A45" i="5"/>
  <c r="O59" i="5"/>
  <c r="O62" i="5"/>
  <c r="T64" i="5" a="1"/>
  <c r="T66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5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E45" i="12"/>
  <c r="F45" i="6"/>
  <c r="E12" i="13"/>
  <c r="A12" i="11"/>
  <c r="E25" i="12"/>
  <c r="F25" i="6"/>
  <c r="F29" i="6"/>
  <c r="E29" i="12"/>
  <c r="E40" i="12"/>
  <c r="F40" i="6"/>
  <c r="O8" i="5"/>
  <c r="A44" i="8" l="1"/>
  <c r="A37" i="6"/>
  <c r="O7" i="13"/>
  <c r="A46" i="4"/>
  <c r="C46" i="4" s="1"/>
  <c r="C3" i="4"/>
  <c r="J14" i="11"/>
  <c r="I14" i="13" s="1"/>
  <c r="C33" i="4"/>
  <c r="A28" i="4"/>
  <c r="C28" i="4" s="1"/>
  <c r="K91" i="4"/>
  <c r="B19" i="10"/>
  <c r="K26" i="10"/>
  <c r="M26" i="10" s="1"/>
  <c r="O26" i="10" s="1"/>
  <c r="Q26" i="10" s="1"/>
  <c r="S26" i="10" s="1"/>
  <c r="U26" i="10" s="1"/>
  <c r="W26" i="10" s="1"/>
  <c r="Y26" i="10" s="1"/>
  <c r="AA26" i="10" s="1"/>
  <c r="AC26" i="10" s="1"/>
  <c r="AE26" i="10" s="1"/>
  <c r="A16" i="4"/>
  <c r="C16" i="4" s="1"/>
  <c r="A47" i="4"/>
  <c r="C47" i="4" s="1"/>
  <c r="W35" i="10"/>
  <c r="O7" i="11"/>
  <c r="N16" i="5"/>
  <c r="D16" i="6" s="1"/>
  <c r="BB16" i="6" s="1"/>
  <c r="C17" i="5"/>
  <c r="AO13" i="6"/>
  <c r="AP13" i="6" s="1"/>
  <c r="W34" i="10"/>
  <c r="W36" i="10"/>
  <c r="AC13" i="6"/>
  <c r="AD13" i="6" s="1"/>
  <c r="AD12" i="6" s="1"/>
  <c r="C4" i="4"/>
  <c r="N10" i="12"/>
  <c r="K52" i="4"/>
  <c r="T64" i="5"/>
  <c r="AM12" i="6"/>
  <c r="L15" i="12"/>
  <c r="C17" i="7"/>
  <c r="C18" i="7" s="1"/>
  <c r="C19" i="7" s="1"/>
  <c r="B19" i="7" s="1"/>
  <c r="E28" i="14"/>
  <c r="C14" i="14"/>
  <c r="B37" i="14"/>
  <c r="B42" i="14" s="1"/>
  <c r="T65" i="5"/>
  <c r="K64" i="12"/>
  <c r="K63" i="12"/>
  <c r="K61" i="12"/>
  <c r="AX12" i="6"/>
  <c r="D27" i="11"/>
  <c r="H62" i="8"/>
  <c r="P85" i="4"/>
  <c r="F16" i="5"/>
  <c r="A16" i="12"/>
  <c r="H16" i="5"/>
  <c r="O65" i="5"/>
  <c r="F56" i="6"/>
  <c r="T56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K131" i="4"/>
  <c r="A22" i="4"/>
  <c r="G15" i="9"/>
  <c r="M15" i="6"/>
  <c r="F5" i="5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56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57" i="6"/>
  <c r="Z63" i="8"/>
  <c r="Z61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62" i="12"/>
  <c r="I113" i="4"/>
  <c r="I103" i="4"/>
  <c r="I107" i="4"/>
  <c r="L26" i="13"/>
  <c r="I126" i="4"/>
  <c r="I123" i="4"/>
  <c r="T57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H39" i="5" l="1"/>
  <c r="AH47" i="5"/>
  <c r="AH48" i="5"/>
  <c r="AH37" i="5"/>
  <c r="AN37" i="5" s="1"/>
  <c r="AH38" i="5"/>
  <c r="AH36" i="5"/>
  <c r="AH34" i="5"/>
  <c r="AH35" i="5"/>
  <c r="AH27" i="5"/>
  <c r="AH28" i="5"/>
  <c r="A29" i="4"/>
  <c r="A48" i="4"/>
  <c r="A17" i="4"/>
  <c r="AH41" i="5"/>
  <c r="AN41" i="5" s="1"/>
  <c r="AH42" i="5"/>
  <c r="AH43" i="5"/>
  <c r="AH44" i="5"/>
  <c r="C19" i="10"/>
  <c r="B20" i="10"/>
  <c r="B21" i="10" s="1"/>
  <c r="B19" i="9"/>
  <c r="B18" i="7"/>
  <c r="A14" i="6"/>
  <c r="N14" i="6" s="1"/>
  <c r="AH20" i="5"/>
  <c r="AH22" i="5"/>
  <c r="AH23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45" i="5"/>
  <c r="AH19" i="5"/>
  <c r="AN19" i="5" s="1"/>
  <c r="AH32" i="5"/>
  <c r="AH30" i="5"/>
  <c r="AH31" i="5"/>
  <c r="AH29" i="5"/>
  <c r="AH46" i="5"/>
  <c r="AH25" i="5"/>
  <c r="AH14" i="5"/>
  <c r="W14" i="5" s="1"/>
  <c r="AH40" i="5"/>
  <c r="AH33" i="5"/>
  <c r="V8" i="5"/>
  <c r="AH21" i="5"/>
  <c r="AH24" i="5"/>
  <c r="AH16" i="5"/>
  <c r="AN16" i="5" s="1"/>
  <c r="AH26" i="5"/>
  <c r="C22" i="4"/>
  <c r="A23" i="4"/>
  <c r="A36" i="4"/>
  <c r="C35" i="4"/>
  <c r="A49" i="4"/>
  <c r="C49" i="4" s="1"/>
  <c r="C48" i="4"/>
  <c r="C17" i="4"/>
  <c r="A1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Z25" i="4" l="1"/>
  <c r="C21" i="10"/>
  <c r="B20" i="9"/>
  <c r="B21" i="9" s="1"/>
  <c r="C19" i="9"/>
  <c r="C20" i="10"/>
  <c r="M14" i="6"/>
  <c r="AP14" i="6" s="1"/>
  <c r="C20" i="7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C21" i="7" l="1"/>
  <c r="A35" i="6" s="1"/>
  <c r="C21" i="9"/>
  <c r="C20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B20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47" i="6" l="1"/>
  <c r="A48" i="6"/>
  <c r="A39" i="6"/>
  <c r="A44" i="6"/>
  <c r="A36" i="6"/>
  <c r="A27" i="6"/>
  <c r="A38" i="6"/>
  <c r="A41" i="6"/>
  <c r="B21" i="7"/>
  <c r="A16" i="6"/>
  <c r="A28" i="6"/>
  <c r="A34" i="6"/>
  <c r="A43" i="6"/>
  <c r="A42" i="6"/>
  <c r="A18" i="6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U109" i="4" s="1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M18" i="6" l="1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AF18" i="6" l="1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C21" i="5"/>
  <c r="E21" i="5" s="1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M20" i="6" l="1"/>
  <c r="BA20" i="6" s="1"/>
  <c r="B21" i="6"/>
  <c r="A21" i="12"/>
  <c r="J21" i="12" s="1"/>
  <c r="F21" i="5"/>
  <c r="D21" i="5"/>
  <c r="B21" i="12" s="1"/>
  <c r="B21" i="5"/>
  <c r="G21" i="5"/>
  <c r="AE21" i="5"/>
  <c r="J21" i="5"/>
  <c r="AD21" i="5"/>
  <c r="N21" i="5"/>
  <c r="D21" i="6" s="1"/>
  <c r="K21" i="5"/>
  <c r="H21" i="5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E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A21" i="6"/>
  <c r="N21" i="6" s="1"/>
  <c r="L21" i="12"/>
  <c r="K21" i="12" s="1"/>
  <c r="H21" i="6"/>
  <c r="BG20" i="6"/>
  <c r="C22" i="5"/>
  <c r="H22" i="5" s="1"/>
  <c r="BG18" i="6"/>
  <c r="R11" i="10"/>
  <c r="S12" i="10"/>
  <c r="BG12" i="6"/>
  <c r="BG14" i="6"/>
  <c r="O11" i="9"/>
  <c r="P12" i="9"/>
  <c r="M21" i="6" l="1"/>
  <c r="AO21" i="6" s="1"/>
  <c r="T21" i="5"/>
  <c r="G22" i="5"/>
  <c r="AD22" i="5"/>
  <c r="AE22" i="5"/>
  <c r="A22" i="12"/>
  <c r="B22" i="6"/>
  <c r="A22" i="6" s="1"/>
  <c r="C23" i="5"/>
  <c r="W22" i="5"/>
  <c r="N22" i="5"/>
  <c r="D22" i="6" s="1"/>
  <c r="AT22" i="6" s="1"/>
  <c r="B22" i="5"/>
  <c r="F22" i="5"/>
  <c r="E22" i="5"/>
  <c r="T12" i="10"/>
  <c r="S11" i="10"/>
  <c r="Q12" i="9"/>
  <c r="P11" i="9"/>
  <c r="AI21" i="6" l="1"/>
  <c r="AJ21" i="6"/>
  <c r="AZ21" i="6"/>
  <c r="AF21" i="6"/>
  <c r="AV21" i="6"/>
  <c r="AS21" i="6"/>
  <c r="AU21" i="6"/>
  <c r="AN21" i="6"/>
  <c r="AP21" i="6"/>
  <c r="BA21" i="6"/>
  <c r="AM21" i="6"/>
  <c r="AY21" i="6"/>
  <c r="AG21" i="6"/>
  <c r="AH21" i="6"/>
  <c r="AT21" i="6"/>
  <c r="AR21" i="6"/>
  <c r="AX21" i="6"/>
  <c r="BF21" i="6"/>
  <c r="BG21" i="6"/>
  <c r="AK21" i="6"/>
  <c r="AE21" i="6"/>
  <c r="BC21" i="6"/>
  <c r="AQ21" i="6"/>
  <c r="BE21" i="6"/>
  <c r="BD21" i="6"/>
  <c r="BB21" i="6"/>
  <c r="BC22" i="6"/>
  <c r="AV22" i="6"/>
  <c r="BD22" i="6"/>
  <c r="BA22" i="6"/>
  <c r="AX22" i="6"/>
  <c r="BE22" i="6"/>
  <c r="BF22" i="6"/>
  <c r="AQ22" i="6"/>
  <c r="AY22" i="6"/>
  <c r="AN22" i="6"/>
  <c r="AM22" i="6"/>
  <c r="BB22" i="6"/>
  <c r="N22" i="6"/>
  <c r="AR22" i="6"/>
  <c r="M22" i="6"/>
  <c r="BG22" i="6" s="1"/>
  <c r="AZ22" i="6"/>
  <c r="AO22" i="6"/>
  <c r="H22" i="6"/>
  <c r="F23" i="5"/>
  <c r="AE23" i="5"/>
  <c r="AD23" i="5"/>
  <c r="B23" i="5"/>
  <c r="N23" i="5"/>
  <c r="D23" i="6" s="1"/>
  <c r="H23" i="5"/>
  <c r="G23" i="5"/>
  <c r="E23" i="5"/>
  <c r="D23" i="5"/>
  <c r="B23" i="12" s="1"/>
  <c r="J23" i="5"/>
  <c r="A23" i="12"/>
  <c r="B23" i="6"/>
  <c r="K23" i="5"/>
  <c r="AU22" i="6"/>
  <c r="AS22" i="6"/>
  <c r="AP22" i="6"/>
  <c r="T11" i="10"/>
  <c r="U12" i="10"/>
  <c r="R12" i="9"/>
  <c r="Q11" i="9"/>
  <c r="C24" i="5" l="1"/>
  <c r="N24" i="5" s="1"/>
  <c r="D24" i="6" s="1"/>
  <c r="N24" i="6" s="1"/>
  <c r="A23" i="6"/>
  <c r="M23" i="6" s="1"/>
  <c r="BD23" i="6" s="1"/>
  <c r="AB22" i="6"/>
  <c r="T22" i="5"/>
  <c r="AG22" i="6"/>
  <c r="AF22" i="6"/>
  <c r="AI22" i="6"/>
  <c r="AC22" i="6"/>
  <c r="AD22" i="6"/>
  <c r="AE22" i="6"/>
  <c r="AK22" i="6"/>
  <c r="AJ22" i="6"/>
  <c r="AH22" i="6"/>
  <c r="H23" i="6"/>
  <c r="J23" i="12"/>
  <c r="L23" i="12"/>
  <c r="U11" i="10"/>
  <c r="V12" i="10"/>
  <c r="R11" i="9"/>
  <c r="S12" i="9"/>
  <c r="W24" i="5" l="1"/>
  <c r="B24" i="6"/>
  <c r="A24" i="6" s="1"/>
  <c r="AD24" i="5"/>
  <c r="H24" i="5"/>
  <c r="AE24" i="5"/>
  <c r="E24" i="5"/>
  <c r="A24" i="12"/>
  <c r="I24" i="5"/>
  <c r="G24" i="5"/>
  <c r="B24" i="5"/>
  <c r="F24" i="5"/>
  <c r="K19" i="5" s="1"/>
  <c r="AM24" i="6"/>
  <c r="BG24" i="6"/>
  <c r="BC24" i="6"/>
  <c r="AO24" i="6"/>
  <c r="M24" i="6"/>
  <c r="AX24" i="6"/>
  <c r="AQ24" i="6"/>
  <c r="BF24" i="6"/>
  <c r="BD24" i="6"/>
  <c r="G24" i="6"/>
  <c r="AP24" i="6"/>
  <c r="AV24" i="6"/>
  <c r="AN24" i="6"/>
  <c r="AY24" i="6"/>
  <c r="AZ24" i="6"/>
  <c r="AS24" i="6"/>
  <c r="AR24" i="6"/>
  <c r="BB24" i="6"/>
  <c r="H24" i="6"/>
  <c r="AT24" i="6"/>
  <c r="BE24" i="6"/>
  <c r="BA24" i="6"/>
  <c r="AU24" i="6"/>
  <c r="AU23" i="6"/>
  <c r="AZ23" i="6"/>
  <c r="AX23" i="6"/>
  <c r="AG23" i="6"/>
  <c r="AO23" i="6"/>
  <c r="AK23" i="6"/>
  <c r="AS23" i="6"/>
  <c r="AJ23" i="6"/>
  <c r="BF23" i="6"/>
  <c r="AN23" i="6"/>
  <c r="AT23" i="6"/>
  <c r="BG23" i="6"/>
  <c r="AV23" i="6"/>
  <c r="AR23" i="6"/>
  <c r="K23" i="12"/>
  <c r="BE23" i="6"/>
  <c r="AP23" i="6"/>
  <c r="T23" i="5"/>
  <c r="AE23" i="6"/>
  <c r="AH23" i="6"/>
  <c r="BC23" i="6"/>
  <c r="AM23" i="6"/>
  <c r="AY23" i="6"/>
  <c r="BA23" i="6"/>
  <c r="BB23" i="6"/>
  <c r="AQ23" i="6"/>
  <c r="AI23" i="6"/>
  <c r="AF23" i="6"/>
  <c r="C25" i="5"/>
  <c r="W12" i="10"/>
  <c r="V11" i="10"/>
  <c r="S11" i="9"/>
  <c r="T12" i="9"/>
  <c r="AE24" i="6" l="1"/>
  <c r="AG24" i="6"/>
  <c r="AK24" i="6"/>
  <c r="T24" i="5"/>
  <c r="AF24" i="6"/>
  <c r="AI24" i="6"/>
  <c r="AH24" i="6"/>
  <c r="AB24" i="6"/>
  <c r="AD24" i="6"/>
  <c r="AC24" i="6"/>
  <c r="AJ24" i="6"/>
  <c r="C26" i="5"/>
  <c r="C27" i="5" s="1"/>
  <c r="AE25" i="5"/>
  <c r="H25" i="5"/>
  <c r="N25" i="5"/>
  <c r="D25" i="6" s="1"/>
  <c r="A25" i="12"/>
  <c r="G25" i="5"/>
  <c r="B25" i="6"/>
  <c r="B25" i="5"/>
  <c r="W25" i="5"/>
  <c r="F25" i="5"/>
  <c r="I25" i="5"/>
  <c r="E25" i="5"/>
  <c r="AD25" i="5"/>
  <c r="W11" i="10"/>
  <c r="X12" i="10"/>
  <c r="T11" i="9"/>
  <c r="U12" i="9"/>
  <c r="B27" i="6" l="1"/>
  <c r="AE27" i="5"/>
  <c r="N27" i="5"/>
  <c r="AD27" i="5"/>
  <c r="K27" i="5"/>
  <c r="J27" i="5"/>
  <c r="C28" i="5"/>
  <c r="A27" i="12"/>
  <c r="D27" i="5"/>
  <c r="B27" i="12" s="1"/>
  <c r="A25" i="6"/>
  <c r="AN25" i="6"/>
  <c r="BB25" i="6"/>
  <c r="BE25" i="6"/>
  <c r="AS25" i="6"/>
  <c r="BC25" i="6"/>
  <c r="BG25" i="6"/>
  <c r="AP25" i="6"/>
  <c r="G25" i="6"/>
  <c r="BD25" i="6"/>
  <c r="AO25" i="6"/>
  <c r="AY25" i="6"/>
  <c r="AX25" i="6"/>
  <c r="AV25" i="6"/>
  <c r="N25" i="6"/>
  <c r="H25" i="6"/>
  <c r="AT25" i="6"/>
  <c r="AU25" i="6"/>
  <c r="AM25" i="6"/>
  <c r="BF25" i="6"/>
  <c r="AQ25" i="6"/>
  <c r="BA25" i="6"/>
  <c r="AR25" i="6"/>
  <c r="M25" i="6"/>
  <c r="AZ25" i="6"/>
  <c r="H26" i="5"/>
  <c r="H27" i="5" s="1"/>
  <c r="J26" i="5"/>
  <c r="B26" i="5"/>
  <c r="B27" i="5" s="1"/>
  <c r="N26" i="5"/>
  <c r="D26" i="6" s="1"/>
  <c r="K26" i="5"/>
  <c r="AD26" i="5"/>
  <c r="A26" i="12"/>
  <c r="F26" i="5"/>
  <c r="F27" i="5" s="1"/>
  <c r="D26" i="5"/>
  <c r="B26" i="12" s="1"/>
  <c r="E26" i="5"/>
  <c r="E27" i="5" s="1"/>
  <c r="AE26" i="5"/>
  <c r="G26" i="5"/>
  <c r="G27" i="5" s="1"/>
  <c r="B26" i="6"/>
  <c r="X11" i="10"/>
  <c r="Y12" i="10"/>
  <c r="V12" i="9"/>
  <c r="U11" i="9"/>
  <c r="D27" i="6" l="1"/>
  <c r="L27" i="12"/>
  <c r="J27" i="12"/>
  <c r="J28" i="5"/>
  <c r="H28" i="5"/>
  <c r="G28" i="5"/>
  <c r="F28" i="5"/>
  <c r="AE28" i="5"/>
  <c r="E28" i="5"/>
  <c r="D28" i="5"/>
  <c r="B28" i="12" s="1"/>
  <c r="B28" i="5"/>
  <c r="A28" i="12"/>
  <c r="N28" i="5"/>
  <c r="B28" i="6"/>
  <c r="AD28" i="5"/>
  <c r="K28" i="5"/>
  <c r="A26" i="6"/>
  <c r="M26" i="6" s="1"/>
  <c r="AZ26" i="6" s="1"/>
  <c r="AG25" i="6"/>
  <c r="L26" i="12"/>
  <c r="J26" i="12"/>
  <c r="H26" i="6"/>
  <c r="AC25" i="6"/>
  <c r="AK25" i="6"/>
  <c r="AD25" i="6"/>
  <c r="AJ25" i="6"/>
  <c r="T25" i="5"/>
  <c r="AE25" i="6"/>
  <c r="AH25" i="6"/>
  <c r="AF25" i="6"/>
  <c r="AB25" i="6"/>
  <c r="AI25" i="6"/>
  <c r="Z12" i="10"/>
  <c r="Y11" i="10"/>
  <c r="W12" i="9"/>
  <c r="V11" i="9"/>
  <c r="K27" i="12" l="1"/>
  <c r="D28" i="6"/>
  <c r="J28" i="12"/>
  <c r="L28" i="12"/>
  <c r="N27" i="6"/>
  <c r="M27" i="6"/>
  <c r="AS27" i="6" s="1"/>
  <c r="H27" i="6"/>
  <c r="T27" i="5" s="1"/>
  <c r="N26" i="6"/>
  <c r="AT26" i="6"/>
  <c r="AR26" i="6"/>
  <c r="BG26" i="6"/>
  <c r="BA26" i="6"/>
  <c r="AQ26" i="6"/>
  <c r="BC26" i="6"/>
  <c r="AN26" i="6"/>
  <c r="AH26" i="6"/>
  <c r="BE26" i="6"/>
  <c r="AV26" i="6"/>
  <c r="AE26" i="6"/>
  <c r="AJ26" i="6"/>
  <c r="AF26" i="6"/>
  <c r="AX26" i="6"/>
  <c r="AU26" i="6"/>
  <c r="K26" i="12"/>
  <c r="C29" i="5"/>
  <c r="T26" i="5"/>
  <c r="AI26" i="6"/>
  <c r="AK26" i="6"/>
  <c r="AG26" i="6"/>
  <c r="BD26" i="6"/>
  <c r="AO26" i="6"/>
  <c r="AP26" i="6"/>
  <c r="AS26" i="6"/>
  <c r="AM26" i="6"/>
  <c r="AY26" i="6"/>
  <c r="BB26" i="6"/>
  <c r="BF26" i="6"/>
  <c r="AA12" i="10"/>
  <c r="Z11" i="10"/>
  <c r="W11" i="9"/>
  <c r="X12" i="9"/>
  <c r="K28" i="12" l="1"/>
  <c r="AY27" i="6"/>
  <c r="BB27" i="6"/>
  <c r="BF27" i="6"/>
  <c r="AK27" i="6"/>
  <c r="AG27" i="6"/>
  <c r="AP27" i="6"/>
  <c r="AT27" i="6"/>
  <c r="BC27" i="6"/>
  <c r="BG27" i="6"/>
  <c r="AM27" i="6"/>
  <c r="AQ27" i="6"/>
  <c r="AH27" i="6"/>
  <c r="AZ27" i="6"/>
  <c r="BD27" i="6"/>
  <c r="AE27" i="6"/>
  <c r="AI27" i="6"/>
  <c r="AN27" i="6"/>
  <c r="AR27" i="6"/>
  <c r="AU27" i="6"/>
  <c r="AV27" i="6"/>
  <c r="BA27" i="6"/>
  <c r="BE27" i="6"/>
  <c r="AJ27" i="6"/>
  <c r="AF27" i="6"/>
  <c r="N28" i="6"/>
  <c r="M28" i="6"/>
  <c r="AN28" i="6" s="1"/>
  <c r="H28" i="6"/>
  <c r="T28" i="5" s="1"/>
  <c r="AX27" i="6"/>
  <c r="AO27" i="6"/>
  <c r="AE29" i="5"/>
  <c r="F29" i="5"/>
  <c r="C30" i="5"/>
  <c r="A29" i="12"/>
  <c r="W29" i="5"/>
  <c r="AD29" i="5"/>
  <c r="B29" i="6"/>
  <c r="H29" i="5"/>
  <c r="G29" i="5"/>
  <c r="K25" i="5" s="1"/>
  <c r="E29" i="5"/>
  <c r="N29" i="5"/>
  <c r="D29" i="6" s="1"/>
  <c r="I29" i="5"/>
  <c r="B29" i="5"/>
  <c r="AA11" i="10"/>
  <c r="AB12" i="10"/>
  <c r="X11" i="9"/>
  <c r="Y12" i="9"/>
  <c r="BB28" i="6" l="1"/>
  <c r="AT28" i="6"/>
  <c r="AO28" i="6"/>
  <c r="BC28" i="6"/>
  <c r="AX28" i="6"/>
  <c r="BA28" i="6"/>
  <c r="BE28" i="6"/>
  <c r="AS28" i="6"/>
  <c r="AR28" i="6"/>
  <c r="BF28" i="6"/>
  <c r="AY28" i="6"/>
  <c r="AG28" i="6"/>
  <c r="AK28" i="6"/>
  <c r="AP28" i="6"/>
  <c r="AJ28" i="6"/>
  <c r="AF28" i="6"/>
  <c r="AH28" i="6"/>
  <c r="AM28" i="6"/>
  <c r="AE28" i="6"/>
  <c r="AU28" i="6"/>
  <c r="AZ28" i="6"/>
  <c r="AQ28" i="6"/>
  <c r="AI28" i="6"/>
  <c r="BG28" i="6"/>
  <c r="BD28" i="6"/>
  <c r="AV28" i="6"/>
  <c r="A29" i="6"/>
  <c r="B30" i="5"/>
  <c r="G30" i="5"/>
  <c r="F30" i="5"/>
  <c r="AD30" i="5"/>
  <c r="B30" i="6"/>
  <c r="H30" i="5"/>
  <c r="D30" i="5"/>
  <c r="B30" i="12" s="1"/>
  <c r="E30" i="5"/>
  <c r="C31" i="5"/>
  <c r="K30" i="5"/>
  <c r="A30" i="12"/>
  <c r="AE30" i="5"/>
  <c r="J30" i="5"/>
  <c r="N30" i="5"/>
  <c r="D30" i="6" s="1"/>
  <c r="BF29" i="6"/>
  <c r="AV29" i="6"/>
  <c r="BE29" i="6"/>
  <c r="AX29" i="6"/>
  <c r="AQ29" i="6"/>
  <c r="AO29" i="6"/>
  <c r="AU29" i="6"/>
  <c r="BC29" i="6"/>
  <c r="BA29" i="6"/>
  <c r="N29" i="6"/>
  <c r="M29" i="6"/>
  <c r="H29" i="6"/>
  <c r="AS29" i="6"/>
  <c r="BD29" i="6"/>
  <c r="G29" i="6"/>
  <c r="BB29" i="6"/>
  <c r="AN29" i="6"/>
  <c r="AZ29" i="6"/>
  <c r="BG29" i="6"/>
  <c r="AP29" i="6"/>
  <c r="AM29" i="6"/>
  <c r="AT29" i="6"/>
  <c r="AR29" i="6"/>
  <c r="AY29" i="6"/>
  <c r="AB11" i="10"/>
  <c r="AC12" i="10"/>
  <c r="Y11" i="9"/>
  <c r="Z12" i="9"/>
  <c r="A30" i="6" l="1"/>
  <c r="M30" i="6" s="1"/>
  <c r="AG29" i="6"/>
  <c r="T29" i="5"/>
  <c r="AE29" i="6"/>
  <c r="AB29" i="6"/>
  <c r="AC29" i="6"/>
  <c r="AF29" i="6"/>
  <c r="AK29" i="6"/>
  <c r="AH29" i="6"/>
  <c r="AI29" i="6"/>
  <c r="AJ29" i="6"/>
  <c r="H30" i="6"/>
  <c r="AD29" i="6"/>
  <c r="B31" i="6"/>
  <c r="A31" i="12"/>
  <c r="F31" i="5"/>
  <c r="D31" i="5"/>
  <c r="B31" i="12" s="1"/>
  <c r="E31" i="5"/>
  <c r="J31" i="5"/>
  <c r="B31" i="5"/>
  <c r="K31" i="5"/>
  <c r="AD31" i="5"/>
  <c r="C32" i="5"/>
  <c r="N31" i="5"/>
  <c r="D31" i="6" s="1"/>
  <c r="G31" i="5"/>
  <c r="H31" i="5"/>
  <c r="AE31" i="5"/>
  <c r="L30" i="12"/>
  <c r="J30" i="12"/>
  <c r="AD12" i="10"/>
  <c r="AC11" i="10"/>
  <c r="AA12" i="9"/>
  <c r="Z11" i="9"/>
  <c r="N30" i="6" l="1"/>
  <c r="A31" i="6"/>
  <c r="M31" i="6" s="1"/>
  <c r="BE31" i="6" s="1"/>
  <c r="T30" i="5"/>
  <c r="AK30" i="6"/>
  <c r="AG30" i="6"/>
  <c r="AJ30" i="6"/>
  <c r="AE30" i="6"/>
  <c r="AH30" i="6"/>
  <c r="AF30" i="6"/>
  <c r="AI30" i="6"/>
  <c r="E32" i="5"/>
  <c r="B32" i="5"/>
  <c r="D32" i="5"/>
  <c r="B32" i="12" s="1"/>
  <c r="A32" i="12"/>
  <c r="J32" i="5"/>
  <c r="H32" i="5"/>
  <c r="AE32" i="5"/>
  <c r="N32" i="5"/>
  <c r="D32" i="6" s="1"/>
  <c r="AD32" i="5"/>
  <c r="F32" i="5"/>
  <c r="G32" i="5"/>
  <c r="K32" i="5"/>
  <c r="B32" i="6"/>
  <c r="C33" i="5"/>
  <c r="AV30" i="6"/>
  <c r="AQ30" i="6"/>
  <c r="AY30" i="6"/>
  <c r="AP30" i="6"/>
  <c r="BA30" i="6"/>
  <c r="BF30" i="6"/>
  <c r="BD30" i="6"/>
  <c r="AX30" i="6"/>
  <c r="AO30" i="6"/>
  <c r="AU30" i="6"/>
  <c r="AN30" i="6"/>
  <c r="BB30" i="6"/>
  <c r="AS30" i="6"/>
  <c r="BE30" i="6"/>
  <c r="AR30" i="6"/>
  <c r="BC30" i="6"/>
  <c r="AT30" i="6"/>
  <c r="BG30" i="6"/>
  <c r="AZ30" i="6"/>
  <c r="AM30" i="6"/>
  <c r="H31" i="6"/>
  <c r="T31" i="5" s="1"/>
  <c r="K30" i="12"/>
  <c r="L31" i="12"/>
  <c r="J31" i="12"/>
  <c r="AD11" i="10"/>
  <c r="AE12" i="10"/>
  <c r="AB12" i="9"/>
  <c r="AA11" i="9"/>
  <c r="N31" i="6" l="1"/>
  <c r="A32" i="6"/>
  <c r="N32" i="6" s="1"/>
  <c r="K31" i="12"/>
  <c r="AY31" i="6"/>
  <c r="AX31" i="6"/>
  <c r="BA31" i="6"/>
  <c r="AN31" i="6"/>
  <c r="AS31" i="6"/>
  <c r="AR31" i="6"/>
  <c r="AZ31" i="6"/>
  <c r="BF31" i="6"/>
  <c r="AV31" i="6"/>
  <c r="BC31" i="6"/>
  <c r="AK31" i="6"/>
  <c r="AO31" i="6"/>
  <c r="AQ31" i="6"/>
  <c r="AU31" i="6"/>
  <c r="AF31" i="6"/>
  <c r="H32" i="6"/>
  <c r="AH31" i="6"/>
  <c r="AE31" i="6"/>
  <c r="BD31" i="6"/>
  <c r="L32" i="12"/>
  <c r="J32" i="12"/>
  <c r="AI31" i="6"/>
  <c r="AG31" i="6"/>
  <c r="BB31" i="6"/>
  <c r="AJ31" i="6"/>
  <c r="AT31" i="6"/>
  <c r="A33" i="12"/>
  <c r="G33" i="5"/>
  <c r="J33" i="5"/>
  <c r="B33" i="5"/>
  <c r="AE33" i="5"/>
  <c r="B33" i="6"/>
  <c r="AD33" i="5"/>
  <c r="N33" i="5"/>
  <c r="D33" i="6" s="1"/>
  <c r="E33" i="5"/>
  <c r="H33" i="5"/>
  <c r="D33" i="5"/>
  <c r="B33" i="12" s="1"/>
  <c r="F33" i="5"/>
  <c r="K33" i="5"/>
  <c r="AM31" i="6"/>
  <c r="BG31" i="6"/>
  <c r="AP31" i="6"/>
  <c r="AE11" i="10"/>
  <c r="AF12" i="10"/>
  <c r="AF11" i="10" s="1"/>
  <c r="AC12" i="9"/>
  <c r="AB11" i="9"/>
  <c r="C34" i="5" l="1"/>
  <c r="F34" i="5" s="1"/>
  <c r="M32" i="6"/>
  <c r="AQ32" i="6" s="1"/>
  <c r="A33" i="6"/>
  <c r="M33" i="6" s="1"/>
  <c r="BF33" i="6" s="1"/>
  <c r="K32" i="12"/>
  <c r="L33" i="12"/>
  <c r="J33" i="12"/>
  <c r="T32" i="5"/>
  <c r="H33" i="6"/>
  <c r="AD12" i="9"/>
  <c r="AC11" i="9"/>
  <c r="H34" i="5" l="1"/>
  <c r="A34" i="12"/>
  <c r="AD34" i="5"/>
  <c r="N34" i="5"/>
  <c r="D34" i="6" s="1"/>
  <c r="N34" i="6" s="1"/>
  <c r="B34" i="6"/>
  <c r="AE34" i="5"/>
  <c r="C35" i="5"/>
  <c r="W34" i="5"/>
  <c r="E34" i="5"/>
  <c r="G34" i="5"/>
  <c r="B34" i="5"/>
  <c r="AV32" i="6"/>
  <c r="AP32" i="6"/>
  <c r="AN32" i="6"/>
  <c r="AR32" i="6"/>
  <c r="AO32" i="6"/>
  <c r="AY32" i="6"/>
  <c r="AT32" i="6"/>
  <c r="AG32" i="6"/>
  <c r="AS32" i="6"/>
  <c r="BA32" i="6"/>
  <c r="BC32" i="6"/>
  <c r="AH32" i="6"/>
  <c r="BG32" i="6"/>
  <c r="BE32" i="6"/>
  <c r="AZ32" i="6"/>
  <c r="BF32" i="6"/>
  <c r="AI32" i="6"/>
  <c r="AK32" i="6"/>
  <c r="AX32" i="6"/>
  <c r="AJ32" i="6"/>
  <c r="AE32" i="6"/>
  <c r="N33" i="6"/>
  <c r="AM32" i="6"/>
  <c r="BB32" i="6"/>
  <c r="AU32" i="6"/>
  <c r="AF32" i="6"/>
  <c r="BD32" i="6"/>
  <c r="K33" i="12"/>
  <c r="AY33" i="6"/>
  <c r="AS33" i="6"/>
  <c r="AX33" i="6"/>
  <c r="BD33" i="6"/>
  <c r="AQ33" i="6"/>
  <c r="BE33" i="6"/>
  <c r="BG33" i="6"/>
  <c r="AP33" i="6"/>
  <c r="AO33" i="6"/>
  <c r="AM33" i="6"/>
  <c r="BA33" i="6"/>
  <c r="AN33" i="6"/>
  <c r="AU33" i="6"/>
  <c r="AZ33" i="6"/>
  <c r="BC33" i="6"/>
  <c r="AR33" i="6"/>
  <c r="AV33" i="6"/>
  <c r="BB33" i="6"/>
  <c r="AT33" i="6"/>
  <c r="T33" i="5"/>
  <c r="AG33" i="6"/>
  <c r="AK33" i="6"/>
  <c r="AI33" i="6"/>
  <c r="AE33" i="6"/>
  <c r="AF33" i="6"/>
  <c r="AH33" i="6"/>
  <c r="AJ33" i="6"/>
  <c r="AE12" i="9"/>
  <c r="AE11" i="9" s="1"/>
  <c r="AD11" i="9"/>
  <c r="BA34" i="6" l="1"/>
  <c r="G34" i="6"/>
  <c r="H34" i="6"/>
  <c r="T34" i="5" s="1"/>
  <c r="AT34" i="6"/>
  <c r="AO34" i="6"/>
  <c r="AS34" i="6"/>
  <c r="AZ34" i="6"/>
  <c r="AX34" i="6"/>
  <c r="M34" i="6"/>
  <c r="AR34" i="6" s="1"/>
  <c r="BF34" i="6"/>
  <c r="BB34" i="6"/>
  <c r="BC34" i="6"/>
  <c r="F34" i="6"/>
  <c r="E34" i="12"/>
  <c r="B35" i="6"/>
  <c r="B35" i="5"/>
  <c r="A35" i="12"/>
  <c r="AE35" i="5"/>
  <c r="AD35" i="5"/>
  <c r="N35" i="5"/>
  <c r="D35" i="6" s="1"/>
  <c r="K35" i="5"/>
  <c r="J35" i="5"/>
  <c r="H35" i="5"/>
  <c r="E35" i="5"/>
  <c r="F35" i="5"/>
  <c r="D35" i="5"/>
  <c r="B35" i="12" s="1"/>
  <c r="C36" i="5"/>
  <c r="G35" i="5"/>
  <c r="AY34" i="6"/>
  <c r="AU34" i="6"/>
  <c r="AV34" i="6"/>
  <c r="AP34" i="6"/>
  <c r="BG34" i="6"/>
  <c r="AM34" i="6"/>
  <c r="BD34" i="6"/>
  <c r="AN34" i="6"/>
  <c r="BE34" i="6"/>
  <c r="AQ34" i="6"/>
  <c r="AC34" i="6" l="1"/>
  <c r="AE34" i="6"/>
  <c r="AG34" i="6"/>
  <c r="AB34" i="6"/>
  <c r="AI34" i="6"/>
  <c r="AD34" i="6"/>
  <c r="M35" i="6"/>
  <c r="BE35" i="6" s="1"/>
  <c r="AJ34" i="6"/>
  <c r="AK34" i="6"/>
  <c r="AF34" i="6"/>
  <c r="AH34" i="6"/>
  <c r="H35" i="6"/>
  <c r="T35" i="5" s="1"/>
  <c r="N35" i="6"/>
  <c r="H36" i="5"/>
  <c r="F36" i="5"/>
  <c r="E36" i="5"/>
  <c r="N36" i="5"/>
  <c r="D36" i="6" s="1"/>
  <c r="M36" i="6" s="1"/>
  <c r="B36" i="6"/>
  <c r="D36" i="5"/>
  <c r="B36" i="12" s="1"/>
  <c r="B36" i="5"/>
  <c r="G36" i="5"/>
  <c r="A36" i="12"/>
  <c r="K36" i="5"/>
  <c r="AD36" i="5"/>
  <c r="J36" i="5"/>
  <c r="AE36" i="5"/>
  <c r="L35" i="12"/>
  <c r="J35" i="12"/>
  <c r="C37" i="5" l="1"/>
  <c r="H37" i="5" s="1"/>
  <c r="AN35" i="6"/>
  <c r="AU35" i="6"/>
  <c r="AP35" i="6"/>
  <c r="AZ35" i="6"/>
  <c r="AO35" i="6"/>
  <c r="BC35" i="6"/>
  <c r="AY35" i="6"/>
  <c r="AM35" i="6"/>
  <c r="AX35" i="6"/>
  <c r="AR35" i="6"/>
  <c r="BG35" i="6"/>
  <c r="BA35" i="6"/>
  <c r="AV35" i="6"/>
  <c r="BD35" i="6"/>
  <c r="AS35" i="6"/>
  <c r="AQ35" i="6"/>
  <c r="BF35" i="6"/>
  <c r="BB35" i="6"/>
  <c r="AT35" i="6"/>
  <c r="H36" i="6"/>
  <c r="T36" i="5" s="1"/>
  <c r="N36" i="6"/>
  <c r="AF35" i="6"/>
  <c r="AH35" i="6"/>
  <c r="AJ35" i="6"/>
  <c r="AR36" i="6"/>
  <c r="BD36" i="6"/>
  <c r="AO36" i="6"/>
  <c r="AX36" i="6"/>
  <c r="AG35" i="6"/>
  <c r="AI35" i="6"/>
  <c r="AK35" i="6"/>
  <c r="AE35" i="6"/>
  <c r="AP36" i="6"/>
  <c r="J36" i="12"/>
  <c r="L36" i="12"/>
  <c r="BF36" i="6"/>
  <c r="BG36" i="6"/>
  <c r="K35" i="12"/>
  <c r="AN36" i="6"/>
  <c r="AM36" i="6"/>
  <c r="BE36" i="6"/>
  <c r="AT36" i="6"/>
  <c r="AQ36" i="6"/>
  <c r="AY36" i="6"/>
  <c r="AU36" i="6"/>
  <c r="AV36" i="6"/>
  <c r="AS36" i="6"/>
  <c r="BB36" i="6"/>
  <c r="BC36" i="6"/>
  <c r="AZ36" i="6"/>
  <c r="BA36" i="6"/>
  <c r="F41" i="6"/>
  <c r="E41" i="12"/>
  <c r="F37" i="5" l="1"/>
  <c r="AD37" i="5"/>
  <c r="C38" i="5"/>
  <c r="C39" i="5" s="1"/>
  <c r="N37" i="5"/>
  <c r="D37" i="6" s="1"/>
  <c r="BB37" i="6" s="1"/>
  <c r="AE37" i="5"/>
  <c r="B37" i="6"/>
  <c r="A37" i="12"/>
  <c r="W37" i="5"/>
  <c r="E37" i="5"/>
  <c r="G37" i="5"/>
  <c r="B37" i="5"/>
  <c r="AH36" i="6"/>
  <c r="AF36" i="6"/>
  <c r="AI36" i="6"/>
  <c r="AK36" i="6"/>
  <c r="AJ36" i="6"/>
  <c r="AE36" i="6"/>
  <c r="AG36" i="6"/>
  <c r="K36" i="12"/>
  <c r="B39" i="6" l="1"/>
  <c r="AD39" i="5"/>
  <c r="D39" i="5"/>
  <c r="B39" i="12" s="1"/>
  <c r="A39" i="12"/>
  <c r="K39" i="5"/>
  <c r="J39" i="5"/>
  <c r="AE39" i="5"/>
  <c r="N39" i="5"/>
  <c r="BA37" i="6"/>
  <c r="AP37" i="6"/>
  <c r="BC37" i="6"/>
  <c r="M37" i="6"/>
  <c r="BE37" i="6" s="1"/>
  <c r="AU37" i="6"/>
  <c r="H37" i="6"/>
  <c r="T37" i="5" s="1"/>
  <c r="BG37" i="6"/>
  <c r="N37" i="6"/>
  <c r="AY37" i="6"/>
  <c r="AM37" i="6"/>
  <c r="G38" i="5"/>
  <c r="G39" i="5" s="1"/>
  <c r="B38" i="5"/>
  <c r="B39" i="5" s="1"/>
  <c r="H38" i="5"/>
  <c r="H39" i="5" s="1"/>
  <c r="D38" i="5"/>
  <c r="B38" i="12" s="1"/>
  <c r="A38" i="12"/>
  <c r="AD38" i="5"/>
  <c r="J38" i="5"/>
  <c r="K38" i="5"/>
  <c r="AE38" i="5"/>
  <c r="N38" i="5"/>
  <c r="D38" i="6" s="1"/>
  <c r="E38" i="5"/>
  <c r="E39" i="5" s="1"/>
  <c r="B38" i="6"/>
  <c r="F38" i="5"/>
  <c r="F39" i="5" s="1"/>
  <c r="F37" i="6"/>
  <c r="E37" i="12"/>
  <c r="AT37" i="6"/>
  <c r="G37" i="6"/>
  <c r="BD37" i="6"/>
  <c r="AS37" i="6"/>
  <c r="AR37" i="6"/>
  <c r="AQ37" i="6"/>
  <c r="AX37" i="6"/>
  <c r="AV37" i="6"/>
  <c r="AZ37" i="6"/>
  <c r="AO37" i="6"/>
  <c r="BF37" i="6"/>
  <c r="AN37" i="6"/>
  <c r="J39" i="12" l="1"/>
  <c r="L39" i="12"/>
  <c r="D39" i="6"/>
  <c r="AG37" i="6"/>
  <c r="AF37" i="6"/>
  <c r="AE37" i="6"/>
  <c r="AI37" i="6"/>
  <c r="AK37" i="6"/>
  <c r="AJ37" i="6"/>
  <c r="AD37" i="6"/>
  <c r="AB37" i="6"/>
  <c r="AH37" i="6"/>
  <c r="AC37" i="6"/>
  <c r="N38" i="6"/>
  <c r="M38" i="6"/>
  <c r="BF38" i="6" s="1"/>
  <c r="H38" i="6"/>
  <c r="J38" i="12"/>
  <c r="L38" i="12"/>
  <c r="F43" i="6"/>
  <c r="E43" i="12"/>
  <c r="K39" i="12" l="1"/>
  <c r="N39" i="6"/>
  <c r="M39" i="6"/>
  <c r="BA39" i="6" s="1"/>
  <c r="H39" i="6"/>
  <c r="T39" i="5" s="1"/>
  <c r="AG38" i="6"/>
  <c r="AY38" i="6"/>
  <c r="AP38" i="6"/>
  <c r="BA38" i="6"/>
  <c r="AO38" i="6"/>
  <c r="AE38" i="6"/>
  <c r="AM38" i="6"/>
  <c r="AK38" i="6"/>
  <c r="AI38" i="6"/>
  <c r="AJ38" i="6"/>
  <c r="AX38" i="6"/>
  <c r="AF38" i="6"/>
  <c r="T38" i="5"/>
  <c r="AH38" i="6"/>
  <c r="AV38" i="6"/>
  <c r="AZ38" i="6"/>
  <c r="BB38" i="6"/>
  <c r="BC38" i="6"/>
  <c r="BG38" i="6"/>
  <c r="AN38" i="6"/>
  <c r="AU38" i="6"/>
  <c r="AQ38" i="6"/>
  <c r="AT38" i="6"/>
  <c r="BD38" i="6"/>
  <c r="BE38" i="6"/>
  <c r="AS38" i="6"/>
  <c r="AR38" i="6"/>
  <c r="K38" i="12"/>
  <c r="K24" i="5"/>
  <c r="BG39" i="6" l="1"/>
  <c r="AX39" i="6"/>
  <c r="AP39" i="6"/>
  <c r="AM39" i="6"/>
  <c r="BE39" i="6"/>
  <c r="AN39" i="6"/>
  <c r="AS39" i="6"/>
  <c r="AT39" i="6"/>
  <c r="BD39" i="6"/>
  <c r="AF39" i="6"/>
  <c r="AQ39" i="6"/>
  <c r="AR39" i="6"/>
  <c r="AJ39" i="6"/>
  <c r="BB39" i="6"/>
  <c r="AG39" i="6"/>
  <c r="AY39" i="6"/>
  <c r="AU39" i="6"/>
  <c r="AE39" i="6"/>
  <c r="AV39" i="6"/>
  <c r="AO39" i="6"/>
  <c r="BF39" i="6"/>
  <c r="AK39" i="6"/>
  <c r="BC39" i="6"/>
  <c r="AH39" i="6"/>
  <c r="AZ39" i="6"/>
  <c r="AI39" i="6"/>
  <c r="C40" i="5"/>
  <c r="A40" i="12" l="1"/>
  <c r="AD40" i="5"/>
  <c r="E40" i="5"/>
  <c r="N40" i="5"/>
  <c r="D40" i="6" s="1"/>
  <c r="W40" i="5"/>
  <c r="B40" i="5"/>
  <c r="C41" i="5" s="1"/>
  <c r="I40" i="5"/>
  <c r="AE40" i="5"/>
  <c r="G40" i="5"/>
  <c r="F40" i="5"/>
  <c r="B40" i="6"/>
  <c r="A40" i="6" s="1"/>
  <c r="H40" i="5"/>
  <c r="J25" i="5"/>
  <c r="D25" i="5" s="1"/>
  <c r="B25" i="12" s="1"/>
  <c r="J29" i="5"/>
  <c r="K37" i="5" l="1"/>
  <c r="I41" i="5"/>
  <c r="AE41" i="5"/>
  <c r="G41" i="5"/>
  <c r="W41" i="5"/>
  <c r="F41" i="5"/>
  <c r="K40" i="5" s="1"/>
  <c r="C42" i="5"/>
  <c r="AD41" i="5"/>
  <c r="B41" i="5"/>
  <c r="N41" i="5"/>
  <c r="D41" i="6" s="1"/>
  <c r="H41" i="5"/>
  <c r="E41" i="5"/>
  <c r="B41" i="6"/>
  <c r="A41" i="12"/>
  <c r="G40" i="6"/>
  <c r="BB40" i="6"/>
  <c r="AQ40" i="6"/>
  <c r="AU40" i="6"/>
  <c r="BE40" i="6"/>
  <c r="N40" i="6"/>
  <c r="BC40" i="6"/>
  <c r="AY40" i="6"/>
  <c r="M40" i="6"/>
  <c r="AS40" i="6"/>
  <c r="BG40" i="6"/>
  <c r="AN40" i="6"/>
  <c r="AP40" i="6"/>
  <c r="BA40" i="6"/>
  <c r="AV40" i="6"/>
  <c r="AO40" i="6"/>
  <c r="AM40" i="6"/>
  <c r="BD40" i="6"/>
  <c r="AX40" i="6"/>
  <c r="BF40" i="6"/>
  <c r="H40" i="6"/>
  <c r="T40" i="5" s="1"/>
  <c r="AR40" i="6"/>
  <c r="AZ40" i="6"/>
  <c r="AT40" i="6"/>
  <c r="A46" i="6"/>
  <c r="AB40" i="6" l="1"/>
  <c r="AK40" i="6"/>
  <c r="AH40" i="6"/>
  <c r="AE40" i="6"/>
  <c r="AC40" i="6"/>
  <c r="BD41" i="6"/>
  <c r="BA41" i="6"/>
  <c r="BB41" i="6"/>
  <c r="N41" i="6"/>
  <c r="M41" i="6"/>
  <c r="AR41" i="6" s="1"/>
  <c r="AN41" i="6"/>
  <c r="BF41" i="6"/>
  <c r="AY41" i="6"/>
  <c r="BC41" i="6"/>
  <c r="G41" i="6"/>
  <c r="AX41" i="6"/>
  <c r="AU41" i="6"/>
  <c r="AZ41" i="6"/>
  <c r="AM41" i="6"/>
  <c r="BG41" i="6"/>
  <c r="AO41" i="6"/>
  <c r="H41" i="6"/>
  <c r="T41" i="5" s="1"/>
  <c r="AT41" i="6"/>
  <c r="AV41" i="6"/>
  <c r="AQ41" i="6"/>
  <c r="AP41" i="6"/>
  <c r="AS41" i="6"/>
  <c r="BE41" i="6"/>
  <c r="AE42" i="5"/>
  <c r="B42" i="6"/>
  <c r="AD42" i="5"/>
  <c r="F42" i="5"/>
  <c r="H42" i="5"/>
  <c r="K42" i="5"/>
  <c r="D42" i="5"/>
  <c r="B42" i="12" s="1"/>
  <c r="J42" i="5"/>
  <c r="A42" i="12"/>
  <c r="G42" i="5"/>
  <c r="B42" i="5"/>
  <c r="N42" i="5"/>
  <c r="D42" i="6" s="1"/>
  <c r="E42" i="5"/>
  <c r="AJ40" i="6"/>
  <c r="AD40" i="6"/>
  <c r="AI40" i="6"/>
  <c r="AF40" i="6"/>
  <c r="AG40" i="6"/>
  <c r="AD41" i="6" l="1"/>
  <c r="AB41" i="6"/>
  <c r="AC41" i="6"/>
  <c r="AJ41" i="6"/>
  <c r="AK41" i="6"/>
  <c r="AH41" i="6"/>
  <c r="AG41" i="6"/>
  <c r="AF41" i="6"/>
  <c r="M42" i="6"/>
  <c r="BA42" i="6" s="1"/>
  <c r="H42" i="6"/>
  <c r="T42" i="5" s="1"/>
  <c r="N42" i="6"/>
  <c r="L42" i="12"/>
  <c r="J42" i="12"/>
  <c r="AE41" i="6"/>
  <c r="AI41" i="6"/>
  <c r="AO42" i="6" l="1"/>
  <c r="K42" i="12"/>
  <c r="AP42" i="6"/>
  <c r="AJ42" i="6"/>
  <c r="AM42" i="6"/>
  <c r="BG42" i="6"/>
  <c r="AS42" i="6"/>
  <c r="AK42" i="6"/>
  <c r="BF42" i="6"/>
  <c r="AI42" i="6"/>
  <c r="AZ42" i="6"/>
  <c r="AU42" i="6"/>
  <c r="BD42" i="6"/>
  <c r="AN42" i="6"/>
  <c r="AY42" i="6"/>
  <c r="BE42" i="6"/>
  <c r="BC42" i="6"/>
  <c r="AX42" i="6"/>
  <c r="AE42" i="6"/>
  <c r="BB42" i="6"/>
  <c r="AF42" i="6"/>
  <c r="C43" i="5"/>
  <c r="AT42" i="6"/>
  <c r="AR42" i="6"/>
  <c r="AQ42" i="6"/>
  <c r="AH42" i="6"/>
  <c r="AG42" i="6"/>
  <c r="AV42" i="6"/>
  <c r="H43" i="5" l="1"/>
  <c r="E43" i="5"/>
  <c r="B43" i="6"/>
  <c r="C44" i="5"/>
  <c r="AE43" i="5"/>
  <c r="W43" i="5"/>
  <c r="F43" i="5"/>
  <c r="K41" i="5" s="1"/>
  <c r="G43" i="5"/>
  <c r="B43" i="5"/>
  <c r="N43" i="5"/>
  <c r="D43" i="6" s="1"/>
  <c r="AD43" i="5"/>
  <c r="A43" i="12"/>
  <c r="K22" i="5"/>
  <c r="B44" i="6" l="1"/>
  <c r="B44" i="5"/>
  <c r="H44" i="5"/>
  <c r="D44" i="5"/>
  <c r="B44" i="12" s="1"/>
  <c r="F44" i="5"/>
  <c r="N44" i="5"/>
  <c r="D44" i="6" s="1"/>
  <c r="E44" i="5"/>
  <c r="AD44" i="5"/>
  <c r="J44" i="5"/>
  <c r="A44" i="12"/>
  <c r="K44" i="5"/>
  <c r="AE44" i="5"/>
  <c r="G44" i="5"/>
  <c r="BC43" i="6"/>
  <c r="AQ43" i="6"/>
  <c r="BE43" i="6"/>
  <c r="H43" i="6"/>
  <c r="T43" i="5" s="1"/>
  <c r="AN43" i="6"/>
  <c r="N43" i="6"/>
  <c r="AO43" i="6"/>
  <c r="BB43" i="6"/>
  <c r="BF43" i="6"/>
  <c r="BA43" i="6"/>
  <c r="AY43" i="6"/>
  <c r="AS43" i="6"/>
  <c r="BD43" i="6"/>
  <c r="AP43" i="6"/>
  <c r="AM43" i="6"/>
  <c r="M43" i="6"/>
  <c r="AV43" i="6" s="1"/>
  <c r="G43" i="6"/>
  <c r="AT43" i="6"/>
  <c r="AX43" i="6"/>
  <c r="AR43" i="6"/>
  <c r="AU43" i="6"/>
  <c r="BG43" i="6"/>
  <c r="AZ43" i="6"/>
  <c r="C16" i="9"/>
  <c r="C16" i="10"/>
  <c r="A1" i="9"/>
  <c r="C1" i="9"/>
  <c r="C17" i="10"/>
  <c r="C17" i="9"/>
  <c r="C1" i="10"/>
  <c r="A1" i="10"/>
  <c r="AO12" i="13"/>
  <c r="AL12" i="13"/>
  <c r="AB43" i="6" l="1"/>
  <c r="AG43" i="6"/>
  <c r="AH43" i="6"/>
  <c r="AJ43" i="6"/>
  <c r="AK43" i="6"/>
  <c r="AF43" i="6"/>
  <c r="AD43" i="6"/>
  <c r="AI43" i="6"/>
  <c r="AC43" i="6"/>
  <c r="AE43" i="6"/>
  <c r="J44" i="12"/>
  <c r="L44" i="12"/>
  <c r="N44" i="6"/>
  <c r="M44" i="6"/>
  <c r="AR44" i="6" s="1"/>
  <c r="H44" i="6"/>
  <c r="T44" i="5" s="1"/>
  <c r="K34" i="5"/>
  <c r="AN12" i="13"/>
  <c r="AM12" i="13"/>
  <c r="AK12" i="13"/>
  <c r="AM44" i="6" l="1"/>
  <c r="AT44" i="6"/>
  <c r="BB44" i="6"/>
  <c r="BG44" i="6"/>
  <c r="K44" i="12"/>
  <c r="AF44" i="6"/>
  <c r="AH44" i="6"/>
  <c r="C45" i="5"/>
  <c r="AI44" i="6"/>
  <c r="AQ44" i="6"/>
  <c r="AZ44" i="6"/>
  <c r="AJ44" i="6"/>
  <c r="AS44" i="6"/>
  <c r="AG44" i="6"/>
  <c r="BC44" i="6"/>
  <c r="AK44" i="6"/>
  <c r="AY44" i="6"/>
  <c r="BE44" i="6"/>
  <c r="AE44" i="6"/>
  <c r="AN44" i="6"/>
  <c r="BD44" i="6"/>
  <c r="AU44" i="6"/>
  <c r="AX44" i="6"/>
  <c r="BF44" i="6"/>
  <c r="AO44" i="6"/>
  <c r="BA44" i="6"/>
  <c r="AP44" i="6"/>
  <c r="AV44" i="6"/>
  <c r="B45" i="6" l="1"/>
  <c r="A45" i="6" s="1"/>
  <c r="N45" i="5"/>
  <c r="D45" i="6" s="1"/>
  <c r="C46" i="5"/>
  <c r="C47" i="5" s="1"/>
  <c r="AD45" i="5"/>
  <c r="B45" i="5"/>
  <c r="I45" i="5"/>
  <c r="AE45" i="5"/>
  <c r="W45" i="5"/>
  <c r="H45" i="5"/>
  <c r="E45" i="5"/>
  <c r="A45" i="12"/>
  <c r="G45" i="5"/>
  <c r="F45" i="5"/>
  <c r="K43" i="5" s="1"/>
  <c r="AD47" i="5" l="1"/>
  <c r="D47" i="5"/>
  <c r="B47" i="12" s="1"/>
  <c r="K47" i="5"/>
  <c r="A47" i="12"/>
  <c r="AE47" i="5"/>
  <c r="N47" i="5"/>
  <c r="B47" i="6"/>
  <c r="J47" i="5"/>
  <c r="C48" i="5"/>
  <c r="J46" i="5"/>
  <c r="F46" i="5"/>
  <c r="F47" i="5" s="1"/>
  <c r="E46" i="5"/>
  <c r="E47" i="5" s="1"/>
  <c r="G46" i="5"/>
  <c r="AE46" i="5"/>
  <c r="K46" i="5"/>
  <c r="AD46" i="5"/>
  <c r="A46" i="12"/>
  <c r="H46" i="5"/>
  <c r="H47" i="5" s="1"/>
  <c r="N46" i="5"/>
  <c r="D46" i="6" s="1"/>
  <c r="B46" i="6"/>
  <c r="D46" i="5"/>
  <c r="B46" i="12" s="1"/>
  <c r="B46" i="5"/>
  <c r="B47" i="5" s="1"/>
  <c r="AU45" i="6"/>
  <c r="N45" i="6"/>
  <c r="AS45" i="6"/>
  <c r="AX45" i="6"/>
  <c r="AO45" i="6"/>
  <c r="AQ45" i="6"/>
  <c r="BB45" i="6"/>
  <c r="BA45" i="6"/>
  <c r="AP45" i="6"/>
  <c r="BC45" i="6"/>
  <c r="AN45" i="6"/>
  <c r="M45" i="6"/>
  <c r="H45" i="6"/>
  <c r="T45" i="5" s="1"/>
  <c r="G45" i="6"/>
  <c r="AV45" i="6"/>
  <c r="AR45" i="6"/>
  <c r="BD45" i="6"/>
  <c r="AM45" i="6"/>
  <c r="AT45" i="6"/>
  <c r="AY45" i="6"/>
  <c r="AZ45" i="6"/>
  <c r="BF45" i="6"/>
  <c r="BG45" i="6"/>
  <c r="BE45" i="6"/>
  <c r="A5" i="5" l="1"/>
  <c r="J48" i="5"/>
  <c r="F48" i="5"/>
  <c r="J40" i="5" s="1"/>
  <c r="D40" i="5" s="1"/>
  <c r="B40" i="12" s="1"/>
  <c r="B48" i="5"/>
  <c r="A48" i="12"/>
  <c r="AE48" i="5"/>
  <c r="N48" i="5"/>
  <c r="E48" i="5"/>
  <c r="J16" i="5" s="1"/>
  <c r="B48" i="6"/>
  <c r="AD48" i="5"/>
  <c r="H48" i="5"/>
  <c r="D48" i="5"/>
  <c r="B48" i="12" s="1"/>
  <c r="K48" i="5"/>
  <c r="L47" i="12"/>
  <c r="J47" i="12"/>
  <c r="D47" i="6"/>
  <c r="G47" i="5"/>
  <c r="G48" i="5" s="1"/>
  <c r="AB45" i="6"/>
  <c r="AC45" i="6"/>
  <c r="AJ45" i="6"/>
  <c r="AD45" i="6"/>
  <c r="AE45" i="6"/>
  <c r="AG45" i="6"/>
  <c r="AK45" i="6"/>
  <c r="AF45" i="6"/>
  <c r="J46" i="12"/>
  <c r="L46" i="12"/>
  <c r="AI45" i="6"/>
  <c r="AH45" i="6"/>
  <c r="N46" i="6"/>
  <c r="H46" i="6"/>
  <c r="T46" i="5" s="1"/>
  <c r="M46" i="6"/>
  <c r="BB46" i="6" s="1"/>
  <c r="E17" i="8" l="1"/>
  <c r="E18" i="8" s="1"/>
  <c r="L17" i="8" s="1"/>
  <c r="R19" i="8" s="1"/>
  <c r="E41" i="8"/>
  <c r="E42" i="8" s="1"/>
  <c r="E44" i="8"/>
  <c r="E45" i="8" s="1"/>
  <c r="J45" i="5"/>
  <c r="J43" i="5"/>
  <c r="D43" i="5" s="1"/>
  <c r="B43" i="12" s="1"/>
  <c r="J24" i="5"/>
  <c r="D24" i="5" s="1"/>
  <c r="B24" i="12" s="1"/>
  <c r="J19" i="5"/>
  <c r="D19" i="5" s="1"/>
  <c r="B19" i="12" s="1"/>
  <c r="J37" i="5"/>
  <c r="D37" i="5" s="1"/>
  <c r="B37" i="12" s="1"/>
  <c r="K45" i="5"/>
  <c r="J41" i="5"/>
  <c r="D41" i="5" s="1"/>
  <c r="B41" i="12" s="1"/>
  <c r="J22" i="5"/>
  <c r="D22" i="5" s="1"/>
  <c r="B22" i="12" s="1"/>
  <c r="J17" i="5"/>
  <c r="D17" i="5" s="1"/>
  <c r="B17" i="12" s="1"/>
  <c r="K16" i="5"/>
  <c r="D16" i="5" s="1"/>
  <c r="E1" i="8"/>
  <c r="E2" i="8" s="1"/>
  <c r="I1" i="8" s="1"/>
  <c r="A12" i="13"/>
  <c r="B12" i="13" s="1"/>
  <c r="AJ12" i="13" s="1"/>
  <c r="E14" i="8"/>
  <c r="E15" i="8" s="1"/>
  <c r="I14" i="8" s="1"/>
  <c r="J34" i="5"/>
  <c r="D34" i="5" s="1"/>
  <c r="B34" i="12" s="1"/>
  <c r="B12" i="11"/>
  <c r="K12" i="11" s="1"/>
  <c r="J12" i="13" s="1"/>
  <c r="E35" i="8"/>
  <c r="E36" i="8" s="1"/>
  <c r="I35" i="8" s="1"/>
  <c r="K47" i="12"/>
  <c r="H47" i="6"/>
  <c r="T47" i="5" s="1"/>
  <c r="N47" i="6"/>
  <c r="M47" i="6"/>
  <c r="BG47" i="6" s="1"/>
  <c r="D48" i="6"/>
  <c r="E20" i="8"/>
  <c r="E21" i="8" s="1"/>
  <c r="I20" i="8" s="1"/>
  <c r="E38" i="8"/>
  <c r="E39" i="8" s="1"/>
  <c r="I38" i="8" s="1"/>
  <c r="K29" i="5"/>
  <c r="D29" i="5" s="1"/>
  <c r="B29" i="12" s="1"/>
  <c r="E32" i="8"/>
  <c r="E33" i="8" s="1"/>
  <c r="E29" i="8"/>
  <c r="E30" i="8" s="1"/>
  <c r="L29" i="8" s="1"/>
  <c r="E26" i="8"/>
  <c r="E27" i="8" s="1"/>
  <c r="I26" i="8" s="1"/>
  <c r="E23" i="8"/>
  <c r="E24" i="8" s="1"/>
  <c r="I23" i="8" s="1"/>
  <c r="J48" i="12"/>
  <c r="L48" i="12"/>
  <c r="AJ46" i="6"/>
  <c r="BD46" i="6"/>
  <c r="AX46" i="6"/>
  <c r="AP46" i="6"/>
  <c r="AM46" i="6"/>
  <c r="AN46" i="6"/>
  <c r="BF46" i="6"/>
  <c r="AR46" i="6"/>
  <c r="AT46" i="6"/>
  <c r="AQ46" i="6"/>
  <c r="O17" i="8"/>
  <c r="BC46" i="6"/>
  <c r="AO46" i="6"/>
  <c r="AS46" i="6"/>
  <c r="BG46" i="6"/>
  <c r="AF46" i="6"/>
  <c r="BA46" i="6"/>
  <c r="AK46" i="6"/>
  <c r="AZ46" i="6"/>
  <c r="AU46" i="6"/>
  <c r="AY46" i="6"/>
  <c r="BE46" i="6"/>
  <c r="AV46" i="6"/>
  <c r="AG46" i="6"/>
  <c r="AE46" i="6"/>
  <c r="AH46" i="6"/>
  <c r="P17" i="8"/>
  <c r="K46" i="12"/>
  <c r="AI46" i="6"/>
  <c r="E22" i="12"/>
  <c r="F22" i="6"/>
  <c r="N23" i="6" s="1"/>
  <c r="I17" i="8" l="1"/>
  <c r="L44" i="8"/>
  <c r="P44" i="8" s="1"/>
  <c r="I44" i="8"/>
  <c r="L41" i="8"/>
  <c r="P41" i="8" s="1"/>
  <c r="I41" i="8"/>
  <c r="D45" i="5"/>
  <c r="B45" i="12" s="1"/>
  <c r="AA12" i="11"/>
  <c r="P1" i="8"/>
  <c r="O12" i="11"/>
  <c r="L12" i="13" s="1"/>
  <c r="H1" i="8"/>
  <c r="O1" i="8"/>
  <c r="C12" i="13"/>
  <c r="M12" i="13" s="1"/>
  <c r="R1" i="8"/>
  <c r="F1" i="8" s="1"/>
  <c r="AB12" i="11"/>
  <c r="N12" i="11" s="1"/>
  <c r="G12" i="11"/>
  <c r="F12" i="13" s="1"/>
  <c r="M1" i="8"/>
  <c r="N1" i="8"/>
  <c r="I29" i="8"/>
  <c r="L1" i="8"/>
  <c r="Q1" i="8" s="1"/>
  <c r="L14" i="8"/>
  <c r="R16" i="8" s="1"/>
  <c r="L26" i="8"/>
  <c r="O26" i="8" s="1"/>
  <c r="L35" i="8"/>
  <c r="P35" i="8" s="1"/>
  <c r="L38" i="8"/>
  <c r="K48" i="12"/>
  <c r="L20" i="8"/>
  <c r="N17" i="8" s="1"/>
  <c r="AN47" i="6"/>
  <c r="BE47" i="6"/>
  <c r="AM47" i="6"/>
  <c r="AU47" i="6"/>
  <c r="L23" i="8"/>
  <c r="AR47" i="6"/>
  <c r="AZ47" i="6"/>
  <c r="AF47" i="6"/>
  <c r="AX47" i="6"/>
  <c r="AT47" i="6"/>
  <c r="H48" i="6"/>
  <c r="T48" i="5" s="1"/>
  <c r="M48" i="6"/>
  <c r="M12" i="6" s="1"/>
  <c r="N48" i="6"/>
  <c r="AE47" i="6"/>
  <c r="AV47" i="6"/>
  <c r="AH47" i="6"/>
  <c r="BD47" i="6"/>
  <c r="AJ47" i="6"/>
  <c r="BB47" i="6"/>
  <c r="AG47" i="6"/>
  <c r="AY47" i="6"/>
  <c r="L32" i="8"/>
  <c r="N29" i="8" s="1"/>
  <c r="I32" i="8"/>
  <c r="AI47" i="6"/>
  <c r="BA47" i="6"/>
  <c r="AQ47" i="6"/>
  <c r="AO47" i="6"/>
  <c r="BF47" i="6"/>
  <c r="AK47" i="6"/>
  <c r="BC47" i="6"/>
  <c r="AS47" i="6"/>
  <c r="AP47" i="6"/>
  <c r="P23" i="8"/>
  <c r="O29" i="8"/>
  <c r="N14" i="8"/>
  <c r="R31" i="8"/>
  <c r="B14" i="13"/>
  <c r="B16" i="12"/>
  <c r="D15" i="5"/>
  <c r="P29" i="8"/>
  <c r="C18" i="9"/>
  <c r="C18" i="10"/>
  <c r="K12" i="13" l="1"/>
  <c r="M38" i="8"/>
  <c r="O41" i="8"/>
  <c r="N41" i="8"/>
  <c r="M41" i="8"/>
  <c r="R46" i="8"/>
  <c r="O44" i="8"/>
  <c r="R43" i="8"/>
  <c r="N44" i="8"/>
  <c r="M44" i="8"/>
  <c r="O14" i="8"/>
  <c r="U12" i="13"/>
  <c r="W12" i="11"/>
  <c r="N26" i="8"/>
  <c r="G2" i="8"/>
  <c r="G1" i="8"/>
  <c r="I2" i="8" s="1"/>
  <c r="T12" i="13"/>
  <c r="C12" i="11"/>
  <c r="R3" i="8"/>
  <c r="O12" i="13"/>
  <c r="P12" i="13" s="1"/>
  <c r="R12" i="13"/>
  <c r="AZ48" i="6"/>
  <c r="P14" i="8"/>
  <c r="S12" i="13"/>
  <c r="F2" i="8"/>
  <c r="R28" i="8"/>
  <c r="Z12" i="11"/>
  <c r="P26" i="8"/>
  <c r="P38" i="8"/>
  <c r="N38" i="8"/>
  <c r="Q38" i="8" s="1"/>
  <c r="E40" i="8" s="1"/>
  <c r="X40" i="8" s="1"/>
  <c r="O35" i="8"/>
  <c r="R37" i="8"/>
  <c r="N35" i="8"/>
  <c r="M35" i="8"/>
  <c r="R40" i="8"/>
  <c r="M32" i="8"/>
  <c r="N32" i="8"/>
  <c r="M23" i="8"/>
  <c r="M26" i="8"/>
  <c r="O20" i="8"/>
  <c r="R22" i="8"/>
  <c r="AN48" i="6"/>
  <c r="P20" i="8"/>
  <c r="BA48" i="6"/>
  <c r="O38" i="8"/>
  <c r="AU48" i="6"/>
  <c r="M29" i="8"/>
  <c r="Q29" i="8" s="1"/>
  <c r="E31" i="8" s="1"/>
  <c r="BE48" i="6"/>
  <c r="BG48" i="6"/>
  <c r="M17" i="8"/>
  <c r="Q17" i="8" s="1"/>
  <c r="AO48" i="6"/>
  <c r="AM48" i="6"/>
  <c r="AR48" i="6"/>
  <c r="AQ48" i="6"/>
  <c r="AS48" i="6"/>
  <c r="AP48" i="6"/>
  <c r="N20" i="8"/>
  <c r="AI48" i="6"/>
  <c r="AI15" i="6" s="1"/>
  <c r="X15" i="6" s="1"/>
  <c r="AX48" i="6"/>
  <c r="AT48" i="6"/>
  <c r="N23" i="8"/>
  <c r="M14" i="8"/>
  <c r="Q14" i="8" s="1"/>
  <c r="E16" i="8" s="1"/>
  <c r="AE48" i="6"/>
  <c r="AE15" i="6" s="1"/>
  <c r="T15" i="6" s="1"/>
  <c r="AV48" i="6"/>
  <c r="AH48" i="6"/>
  <c r="AH15" i="6" s="1"/>
  <c r="W15" i="6" s="1"/>
  <c r="BF48" i="6"/>
  <c r="BC48" i="6"/>
  <c r="M20" i="8"/>
  <c r="BD48" i="6"/>
  <c r="AJ48" i="6"/>
  <c r="AJ15" i="6" s="1"/>
  <c r="Y15" i="6" s="1"/>
  <c r="BB48" i="6"/>
  <c r="AG48" i="6"/>
  <c r="AG15" i="6" s="1"/>
  <c r="V15" i="6" s="1"/>
  <c r="AY48" i="6"/>
  <c r="O23" i="8"/>
  <c r="R25" i="8"/>
  <c r="AK48" i="6"/>
  <c r="AK15" i="6" s="1"/>
  <c r="Z15" i="6" s="1"/>
  <c r="P32" i="8"/>
  <c r="R34" i="8"/>
  <c r="O32" i="8"/>
  <c r="AF48" i="6"/>
  <c r="AF15" i="6" s="1"/>
  <c r="U15" i="6" s="1"/>
  <c r="D12" i="13"/>
  <c r="V12" i="13"/>
  <c r="W1" i="8"/>
  <c r="Y1" i="8"/>
  <c r="U3" i="8"/>
  <c r="AC3" i="8"/>
  <c r="AD3" i="8"/>
  <c r="AD1" i="8"/>
  <c r="AA1" i="8"/>
  <c r="Y3" i="8"/>
  <c r="C1" i="8"/>
  <c r="E3" i="8"/>
  <c r="T1" i="8"/>
  <c r="D1" i="8"/>
  <c r="AB3" i="8"/>
  <c r="D3" i="8"/>
  <c r="AE3" i="8"/>
  <c r="AC1" i="8"/>
  <c r="U1" i="8"/>
  <c r="X3" i="8"/>
  <c r="AA3" i="8"/>
  <c r="Z3" i="8"/>
  <c r="V1" i="8"/>
  <c r="T3" i="8"/>
  <c r="Z1" i="8"/>
  <c r="X1" i="8"/>
  <c r="W3" i="8"/>
  <c r="V3" i="8"/>
  <c r="AE1" i="8"/>
  <c r="AB1" i="8"/>
  <c r="B1" i="8"/>
  <c r="I22" i="5"/>
  <c r="Q44" i="8" l="1"/>
  <c r="Q41" i="8"/>
  <c r="Q26" i="8"/>
  <c r="E28" i="8" s="1"/>
  <c r="N12" i="13"/>
  <c r="Q35" i="8"/>
  <c r="E37" i="8" s="1"/>
  <c r="Q32" i="8"/>
  <c r="E34" i="8" s="1"/>
  <c r="C14" i="8"/>
  <c r="Q23" i="8"/>
  <c r="E25" i="8" s="1"/>
  <c r="B14" i="8"/>
  <c r="Q20" i="8"/>
  <c r="E22" i="8" s="1"/>
  <c r="T40" i="8"/>
  <c r="AE40" i="8"/>
  <c r="Z40" i="8"/>
  <c r="AA40" i="8"/>
  <c r="U40" i="8"/>
  <c r="AB40" i="8"/>
  <c r="D40" i="8"/>
  <c r="AD40" i="8"/>
  <c r="AC40" i="8"/>
  <c r="G22" i="6"/>
  <c r="E43" i="8" l="1"/>
  <c r="AD43" i="8" s="1"/>
  <c r="E46" i="8"/>
  <c r="T46" i="8" s="1"/>
  <c r="Y25" i="8"/>
  <c r="X25" i="8"/>
  <c r="V25" i="8"/>
  <c r="W25" i="8"/>
  <c r="AC25" i="8"/>
  <c r="AE25" i="8"/>
  <c r="AA25" i="8"/>
  <c r="AD25" i="8"/>
  <c r="Z25" i="8"/>
  <c r="AB25" i="8"/>
  <c r="AB22" i="8"/>
  <c r="AC22" i="8"/>
  <c r="V22" i="8"/>
  <c r="Y22" i="8"/>
  <c r="AE22" i="8"/>
  <c r="AD22" i="8"/>
  <c r="Z22" i="8"/>
  <c r="AA22" i="8"/>
  <c r="X22" i="8"/>
  <c r="W22" i="8"/>
  <c r="U37" i="8"/>
  <c r="AC37" i="8"/>
  <c r="AE37" i="8"/>
  <c r="AB37" i="8"/>
  <c r="AD37" i="8"/>
  <c r="Z37" i="8"/>
  <c r="T37" i="8"/>
  <c r="D37" i="8"/>
  <c r="AA37" i="8"/>
  <c r="T28" i="8"/>
  <c r="AB28" i="8"/>
  <c r="D28" i="8"/>
  <c r="AD28" i="8"/>
  <c r="Z28" i="8"/>
  <c r="AA28" i="8"/>
  <c r="Y28" i="8"/>
  <c r="U28" i="8"/>
  <c r="AE28" i="8"/>
  <c r="AC28" i="8"/>
  <c r="Z46" i="8" l="1"/>
  <c r="Y46" i="8"/>
  <c r="X43" i="8"/>
  <c r="AA46" i="8"/>
  <c r="X46" i="8"/>
  <c r="AB46" i="8"/>
  <c r="AD46" i="8"/>
  <c r="V46" i="8"/>
  <c r="T43" i="8"/>
  <c r="AC43" i="8"/>
  <c r="U43" i="8"/>
  <c r="AE43" i="8"/>
  <c r="Z43" i="8"/>
  <c r="Y43" i="8"/>
  <c r="AB43" i="8"/>
  <c r="D43" i="8"/>
  <c r="AA43" i="8"/>
  <c r="U46" i="8"/>
  <c r="AE46" i="8"/>
  <c r="D46" i="8"/>
  <c r="AC46" i="8"/>
  <c r="AC34" i="8"/>
  <c r="T34" i="8"/>
  <c r="U34" i="8"/>
  <c r="AA34" i="8"/>
  <c r="AD34" i="8"/>
  <c r="AB34" i="8"/>
  <c r="D34" i="8"/>
  <c r="Z34" i="8"/>
  <c r="AE34" i="8"/>
  <c r="X31" i="8"/>
  <c r="Z31" i="8"/>
  <c r="AA31" i="8"/>
  <c r="U31" i="8"/>
  <c r="Y31" i="8"/>
  <c r="AD31" i="8"/>
  <c r="AB31" i="8"/>
  <c r="V31" i="8"/>
  <c r="D31" i="8"/>
  <c r="AC31" i="8"/>
  <c r="AE31" i="8"/>
  <c r="T31" i="8"/>
  <c r="AO14" i="13"/>
  <c r="AL14" i="13"/>
  <c r="AK14" i="13" l="1"/>
  <c r="AN14" i="13"/>
  <c r="AM14" i="13" l="1"/>
  <c r="AJ14" i="13"/>
  <c r="X40" i="5" l="1"/>
  <c r="D25" i="8" l="1"/>
  <c r="T25" i="8"/>
  <c r="AM40" i="5"/>
  <c r="Z40" i="5"/>
  <c r="I40" i="12"/>
  <c r="L40" i="5"/>
  <c r="X28" i="8"/>
  <c r="AB40" i="5" l="1"/>
  <c r="M40" i="12"/>
  <c r="AO40" i="12"/>
  <c r="C40" i="12"/>
  <c r="J40" i="12"/>
  <c r="O40" i="12"/>
  <c r="L40" i="12" s="1"/>
  <c r="C40" i="6"/>
  <c r="O40" i="5"/>
  <c r="N40" i="12" l="1"/>
  <c r="K40" i="12"/>
  <c r="Y40" i="12"/>
  <c r="E40" i="6"/>
  <c r="D40" i="12"/>
  <c r="X40" i="12" l="1"/>
  <c r="W40" i="12"/>
  <c r="U40" i="12" l="1"/>
  <c r="V40" i="12"/>
  <c r="T40" i="12"/>
  <c r="AA40" i="5" l="1"/>
  <c r="I43" i="5" l="1"/>
  <c r="U22" i="8" l="1"/>
  <c r="Y37" i="8" l="1"/>
  <c r="Y34" i="8"/>
  <c r="X37" i="8"/>
  <c r="X34" i="8"/>
  <c r="Y40" i="8" l="1"/>
  <c r="AF45" i="5"/>
  <c r="AF41" i="5"/>
  <c r="AF43" i="5"/>
  <c r="AF29" i="5"/>
  <c r="AF40" i="5"/>
  <c r="AF34" i="5"/>
  <c r="AF37" i="5"/>
  <c r="S37" i="5" l="1"/>
  <c r="AG37" i="5"/>
  <c r="S34" i="5"/>
  <c r="AG34" i="5"/>
  <c r="U34" i="5" s="1"/>
  <c r="AN34" i="5" s="1"/>
  <c r="S40" i="5"/>
  <c r="AG40" i="5"/>
  <c r="U40" i="5" s="1"/>
  <c r="AN40" i="5" s="1"/>
  <c r="S29" i="5"/>
  <c r="AG29" i="5"/>
  <c r="U29" i="5" s="1"/>
  <c r="AN29" i="5" s="1"/>
  <c r="S45" i="5"/>
  <c r="AG45" i="5"/>
  <c r="U45" i="5" s="1"/>
  <c r="AN45" i="5" s="1"/>
  <c r="AG43" i="5"/>
  <c r="U43" i="5" s="1"/>
  <c r="AN43" i="5" s="1"/>
  <c r="S43" i="5"/>
  <c r="S41" i="5"/>
  <c r="AG41" i="5"/>
  <c r="AC40" i="5" l="1"/>
  <c r="I37" i="5" l="1"/>
  <c r="W37" i="8"/>
  <c r="V37" i="8"/>
  <c r="R35" i="8"/>
  <c r="V34" i="8"/>
  <c r="W35" i="8" l="1"/>
  <c r="V35" i="8"/>
  <c r="F36" i="8"/>
  <c r="G35" i="8"/>
  <c r="I36" i="8" s="1"/>
  <c r="T35" i="8"/>
  <c r="AA35" i="8"/>
  <c r="AC35" i="8"/>
  <c r="U35" i="8"/>
  <c r="AD35" i="8"/>
  <c r="Z35" i="8"/>
  <c r="AE35" i="8"/>
  <c r="AB35" i="8"/>
  <c r="D35" i="8"/>
  <c r="X35" i="8"/>
  <c r="F35" i="8"/>
  <c r="Y35" i="8"/>
  <c r="G36" i="8"/>
  <c r="H35" i="8" l="1"/>
  <c r="C35" i="8"/>
  <c r="B35" i="8" l="1"/>
  <c r="AF14" i="5"/>
  <c r="AF21" i="5"/>
  <c r="AF38" i="5"/>
  <c r="AF16" i="5"/>
  <c r="AF46" i="5"/>
  <c r="AF47" i="5"/>
  <c r="AF19" i="5"/>
  <c r="AF48" i="5"/>
  <c r="AF25" i="5"/>
  <c r="AF39" i="5"/>
  <c r="AF17" i="5"/>
  <c r="AF24" i="5"/>
  <c r="AF26" i="5"/>
  <c r="AF35" i="5"/>
  <c r="AF32" i="5"/>
  <c r="AF18" i="5"/>
  <c r="AF42" i="5"/>
  <c r="AF22" i="5"/>
  <c r="AF28" i="5"/>
  <c r="AF20" i="5"/>
  <c r="AF30" i="5"/>
  <c r="AF36" i="5"/>
  <c r="AF33" i="5"/>
  <c r="AF23" i="5"/>
  <c r="AF27" i="5"/>
  <c r="AF44" i="5"/>
  <c r="AF31" i="5"/>
  <c r="R31" i="5" l="1"/>
  <c r="S31" i="5"/>
  <c r="G31" i="6" s="1"/>
  <c r="AG31" i="5"/>
  <c r="U31" i="5" s="1"/>
  <c r="S44" i="5"/>
  <c r="G44" i="6" s="1"/>
  <c r="R44" i="5"/>
  <c r="AG44" i="5"/>
  <c r="U44" i="5" s="1"/>
  <c r="S27" i="5"/>
  <c r="G27" i="6" s="1"/>
  <c r="R27" i="5"/>
  <c r="AG27" i="5"/>
  <c r="U27" i="5" s="1"/>
  <c r="S23" i="5"/>
  <c r="G23" i="6" s="1"/>
  <c r="R23" i="5"/>
  <c r="AG23" i="5"/>
  <c r="U23" i="5" s="1"/>
  <c r="S33" i="5"/>
  <c r="G33" i="6" s="1"/>
  <c r="R33" i="5"/>
  <c r="AG33" i="5"/>
  <c r="U33" i="5" s="1"/>
  <c r="S36" i="5"/>
  <c r="G36" i="6" s="1"/>
  <c r="AG36" i="5"/>
  <c r="U36" i="5" s="1"/>
  <c r="R36" i="5"/>
  <c r="R30" i="5"/>
  <c r="S30" i="5"/>
  <c r="G30" i="6" s="1"/>
  <c r="AG30" i="5"/>
  <c r="U30" i="5" s="1"/>
  <c r="AG20" i="5"/>
  <c r="U20" i="5" s="1"/>
  <c r="R20" i="5"/>
  <c r="S20" i="5"/>
  <c r="G20" i="6" s="1"/>
  <c r="AG28" i="5"/>
  <c r="U28" i="5" s="1"/>
  <c r="S28" i="5"/>
  <c r="G28" i="6" s="1"/>
  <c r="R28" i="5"/>
  <c r="AG22" i="5"/>
  <c r="U22" i="5" s="1"/>
  <c r="AN22" i="5" s="1"/>
  <c r="S22" i="5"/>
  <c r="R42" i="5"/>
  <c r="AG42" i="5"/>
  <c r="U42" i="5" s="1"/>
  <c r="S42" i="5"/>
  <c r="G42" i="6" s="1"/>
  <c r="R18" i="5"/>
  <c r="S18" i="5"/>
  <c r="G18" i="6" s="1"/>
  <c r="AG18" i="5"/>
  <c r="U18" i="5" s="1"/>
  <c r="AG32" i="5"/>
  <c r="U32" i="5" s="1"/>
  <c r="S32" i="5"/>
  <c r="G32" i="6" s="1"/>
  <c r="R32" i="5"/>
  <c r="R35" i="5"/>
  <c r="AG35" i="5"/>
  <c r="U35" i="5" s="1"/>
  <c r="S35" i="5"/>
  <c r="G35" i="6" s="1"/>
  <c r="AG26" i="5"/>
  <c r="U26" i="5" s="1"/>
  <c r="R26" i="5"/>
  <c r="S26" i="5"/>
  <c r="G26" i="6" s="1"/>
  <c r="AG24" i="5"/>
  <c r="U24" i="5" s="1"/>
  <c r="AN24" i="5" s="1"/>
  <c r="AG17" i="5"/>
  <c r="S17" i="5"/>
  <c r="R39" i="5"/>
  <c r="S39" i="5"/>
  <c r="G39" i="6" s="1"/>
  <c r="AG39" i="5"/>
  <c r="U39" i="5" s="1"/>
  <c r="AG25" i="5"/>
  <c r="U25" i="5" s="1"/>
  <c r="AN25" i="5" s="1"/>
  <c r="S25" i="5"/>
  <c r="R48" i="5"/>
  <c r="S48" i="5"/>
  <c r="G48" i="6" s="1"/>
  <c r="AG48" i="5"/>
  <c r="U48" i="5" s="1"/>
  <c r="AG19" i="5"/>
  <c r="S47" i="5"/>
  <c r="G47" i="6" s="1"/>
  <c r="R47" i="5"/>
  <c r="AG47" i="5"/>
  <c r="U47" i="5" s="1"/>
  <c r="R46" i="5"/>
  <c r="S46" i="5"/>
  <c r="G46" i="6" s="1"/>
  <c r="AG46" i="5"/>
  <c r="U46" i="5" s="1"/>
  <c r="AG16" i="5"/>
  <c r="S38" i="5"/>
  <c r="G38" i="6" s="1"/>
  <c r="R38" i="5"/>
  <c r="AG38" i="5"/>
  <c r="U38" i="5" s="1"/>
  <c r="S21" i="5"/>
  <c r="G21" i="6" s="1"/>
  <c r="R21" i="5"/>
  <c r="AG21" i="5"/>
  <c r="U21" i="5" s="1"/>
  <c r="R14" i="5"/>
  <c r="AG14" i="5"/>
  <c r="S14" i="5"/>
  <c r="G14" i="6" s="1"/>
  <c r="E46" i="12" l="1"/>
  <c r="F46" i="6"/>
  <c r="E39" i="12"/>
  <c r="F39" i="6"/>
  <c r="AN35" i="5"/>
  <c r="W35" i="5"/>
  <c r="X35" i="5" s="1"/>
  <c r="W32" i="5"/>
  <c r="X32" i="5" s="1"/>
  <c r="AN32" i="5"/>
  <c r="W23" i="5"/>
  <c r="X23" i="5" s="1"/>
  <c r="AN23" i="5"/>
  <c r="E27" i="12"/>
  <c r="F27" i="6"/>
  <c r="W21" i="5"/>
  <c r="X21" i="5" s="1"/>
  <c r="AN21" i="5"/>
  <c r="E38" i="12"/>
  <c r="F38" i="6"/>
  <c r="E48" i="12"/>
  <c r="F48" i="6"/>
  <c r="AN47" i="5"/>
  <c r="W47" i="5"/>
  <c r="X47" i="5" s="1"/>
  <c r="AN48" i="5"/>
  <c r="W48" i="5"/>
  <c r="X48" i="5" s="1"/>
  <c r="F26" i="6"/>
  <c r="E26" i="12"/>
  <c r="F35" i="6"/>
  <c r="E35" i="12"/>
  <c r="AC35" i="5"/>
  <c r="AN18" i="5"/>
  <c r="W18" i="5"/>
  <c r="X18" i="5" s="1"/>
  <c r="W42" i="5"/>
  <c r="X42" i="5" s="1"/>
  <c r="AN42" i="5"/>
  <c r="E28" i="12"/>
  <c r="F28" i="6"/>
  <c r="F20" i="6"/>
  <c r="E20" i="12"/>
  <c r="F30" i="6"/>
  <c r="E30" i="12"/>
  <c r="W33" i="5"/>
  <c r="X33" i="5" s="1"/>
  <c r="AN33" i="5"/>
  <c r="E23" i="12"/>
  <c r="F23" i="6"/>
  <c r="AC23" i="5"/>
  <c r="AN31" i="5"/>
  <c r="W31" i="5"/>
  <c r="X31" i="5" s="1"/>
  <c r="F21" i="6"/>
  <c r="E21" i="12"/>
  <c r="AC21" i="5"/>
  <c r="E14" i="12"/>
  <c r="F14" i="6"/>
  <c r="AC14" i="5"/>
  <c r="W38" i="5"/>
  <c r="X38" i="5" s="1"/>
  <c r="AN38" i="5"/>
  <c r="W46" i="5"/>
  <c r="X46" i="5" s="1"/>
  <c r="AN46" i="5"/>
  <c r="F47" i="6"/>
  <c r="E47" i="12"/>
  <c r="AC47" i="5"/>
  <c r="AN39" i="5"/>
  <c r="W39" i="5"/>
  <c r="X39" i="5" s="1"/>
  <c r="AC39" i="5" s="1"/>
  <c r="AN26" i="5"/>
  <c r="W26" i="5"/>
  <c r="X26" i="5" s="1"/>
  <c r="E32" i="12"/>
  <c r="F32" i="6"/>
  <c r="AC32" i="5"/>
  <c r="F42" i="6"/>
  <c r="E42" i="12"/>
  <c r="AC42" i="5"/>
  <c r="AN20" i="5"/>
  <c r="W20" i="5"/>
  <c r="X20" i="5" s="1"/>
  <c r="E36" i="12"/>
  <c r="F36" i="6"/>
  <c r="E33" i="12"/>
  <c r="F33" i="6"/>
  <c r="AC33" i="5"/>
  <c r="W44" i="5"/>
  <c r="X44" i="5" s="1"/>
  <c r="AC44" i="5" s="1"/>
  <c r="AN44" i="5"/>
  <c r="F18" i="6"/>
  <c r="E18" i="12"/>
  <c r="AC18" i="5"/>
  <c r="W28" i="5"/>
  <c r="X28" i="5" s="1"/>
  <c r="AN28" i="5"/>
  <c r="AN30" i="5"/>
  <c r="W30" i="5"/>
  <c r="X30" i="5" s="1"/>
  <c r="AN36" i="5"/>
  <c r="W36" i="5"/>
  <c r="X36" i="5" s="1"/>
  <c r="W27" i="5"/>
  <c r="X27" i="5" s="1"/>
  <c r="AN27" i="5"/>
  <c r="E44" i="12"/>
  <c r="F44" i="6"/>
  <c r="E31" i="12"/>
  <c r="F31" i="6"/>
  <c r="AC31" i="5"/>
  <c r="AC28" i="5" l="1"/>
  <c r="AC27" i="5"/>
  <c r="Z36" i="5"/>
  <c r="AB36" i="6"/>
  <c r="I36" i="12"/>
  <c r="AD36" i="6"/>
  <c r="AC36" i="6"/>
  <c r="AM36" i="5"/>
  <c r="L36" i="5"/>
  <c r="AM30" i="5"/>
  <c r="AC30" i="6"/>
  <c r="AD30" i="6"/>
  <c r="Z30" i="5"/>
  <c r="I30" i="12"/>
  <c r="I30" i="5"/>
  <c r="I31" i="5" s="1"/>
  <c r="I32" i="5" s="1"/>
  <c r="I33" i="5" s="1"/>
  <c r="I34" i="5" s="1"/>
  <c r="I35" i="5" s="1"/>
  <c r="I36" i="5" s="1"/>
  <c r="X29" i="5"/>
  <c r="L30" i="5"/>
  <c r="AB30" i="6"/>
  <c r="AM20" i="5"/>
  <c r="I20" i="5"/>
  <c r="I20" i="12"/>
  <c r="AB20" i="6"/>
  <c r="Z20" i="5"/>
  <c r="AC20" i="6"/>
  <c r="L20" i="5"/>
  <c r="AD20" i="6"/>
  <c r="X19" i="5"/>
  <c r="AD26" i="6"/>
  <c r="X25" i="5"/>
  <c r="I26" i="5"/>
  <c r="I27" i="5" s="1"/>
  <c r="I28" i="5" s="1"/>
  <c r="I26" i="12"/>
  <c r="X24" i="5"/>
  <c r="L26" i="5"/>
  <c r="AC26" i="6"/>
  <c r="AM26" i="5"/>
  <c r="Z26" i="5"/>
  <c r="AB26" i="6"/>
  <c r="L46" i="5"/>
  <c r="Z46" i="5"/>
  <c r="AM46" i="5"/>
  <c r="AC46" i="6"/>
  <c r="I46" i="5"/>
  <c r="AB46" i="6"/>
  <c r="I46" i="12"/>
  <c r="AD46" i="6"/>
  <c r="X45" i="5"/>
  <c r="AC30" i="5"/>
  <c r="AC26" i="5"/>
  <c r="L48" i="5"/>
  <c r="C48" i="6" s="1"/>
  <c r="AB48" i="6"/>
  <c r="I48" i="12"/>
  <c r="AC48" i="6"/>
  <c r="Z48" i="5"/>
  <c r="AM48" i="5"/>
  <c r="AD48" i="6"/>
  <c r="AC48" i="5"/>
  <c r="Z23" i="5"/>
  <c r="AD23" i="6"/>
  <c r="I23" i="5"/>
  <c r="AM23" i="5"/>
  <c r="I23" i="12"/>
  <c r="AC23" i="6"/>
  <c r="U25" i="8" s="1"/>
  <c r="AB23" i="6"/>
  <c r="X22" i="5"/>
  <c r="L23" i="5"/>
  <c r="AM27" i="5"/>
  <c r="AD27" i="6"/>
  <c r="I27" i="12"/>
  <c r="Z27" i="5"/>
  <c r="AB27" i="6"/>
  <c r="L27" i="5"/>
  <c r="AC27" i="6"/>
  <c r="X43" i="5"/>
  <c r="Z44" i="5"/>
  <c r="AM44" i="5"/>
  <c r="AC44" i="6"/>
  <c r="V43" i="8" s="1"/>
  <c r="I44" i="12"/>
  <c r="AD44" i="6"/>
  <c r="W43" i="8" s="1"/>
  <c r="I44" i="5"/>
  <c r="L44" i="5"/>
  <c r="AB44" i="6"/>
  <c r="AC36" i="5"/>
  <c r="I31" i="12"/>
  <c r="L31" i="5"/>
  <c r="AC31" i="6"/>
  <c r="AD31" i="6"/>
  <c r="AM31" i="5"/>
  <c r="Z31" i="5"/>
  <c r="AB31" i="6"/>
  <c r="AC46" i="5"/>
  <c r="I39" i="12"/>
  <c r="AB39" i="6"/>
  <c r="AC39" i="6"/>
  <c r="L39" i="5"/>
  <c r="C39" i="6" s="1"/>
  <c r="AD39" i="6"/>
  <c r="AM39" i="5"/>
  <c r="Z39" i="5"/>
  <c r="X15" i="5"/>
  <c r="AB38" i="6"/>
  <c r="AM38" i="5"/>
  <c r="I38" i="12"/>
  <c r="AC38" i="6"/>
  <c r="AD38" i="6"/>
  <c r="W34" i="8" s="1"/>
  <c r="X37" i="5"/>
  <c r="I38" i="5"/>
  <c r="I39" i="5" s="1"/>
  <c r="Z38" i="5"/>
  <c r="L38" i="5"/>
  <c r="AD42" i="6"/>
  <c r="W40" i="8" s="1"/>
  <c r="I42" i="5"/>
  <c r="I42" i="12"/>
  <c r="X41" i="5"/>
  <c r="AC42" i="6"/>
  <c r="V40" i="8" s="1"/>
  <c r="Z42" i="5"/>
  <c r="L42" i="5"/>
  <c r="AM42" i="5"/>
  <c r="AB42" i="6"/>
  <c r="AD47" i="6"/>
  <c r="AM47" i="5"/>
  <c r="I47" i="5"/>
  <c r="I48" i="5" s="1"/>
  <c r="O48" i="5" s="1"/>
  <c r="L47" i="5"/>
  <c r="I47" i="12"/>
  <c r="Z47" i="5"/>
  <c r="AB47" i="6"/>
  <c r="AC47" i="6"/>
  <c r="Z32" i="5"/>
  <c r="AD32" i="6"/>
  <c r="I32" i="12"/>
  <c r="AB32" i="6"/>
  <c r="AM32" i="5"/>
  <c r="AC32" i="6"/>
  <c r="L32" i="5"/>
  <c r="L28" i="5"/>
  <c r="AC28" i="6"/>
  <c r="Z28" i="5"/>
  <c r="AB28" i="6"/>
  <c r="AD28" i="6"/>
  <c r="I28" i="12"/>
  <c r="AM28" i="5"/>
  <c r="Z33" i="5"/>
  <c r="AB33" i="6"/>
  <c r="L33" i="5"/>
  <c r="AD33" i="6"/>
  <c r="I33" i="12"/>
  <c r="AM33" i="5"/>
  <c r="AC33" i="6"/>
  <c r="AC20" i="5"/>
  <c r="I18" i="5"/>
  <c r="X17" i="5"/>
  <c r="L18" i="5"/>
  <c r="I18" i="12"/>
  <c r="E19" i="8"/>
  <c r="F15" i="7"/>
  <c r="A15" i="10" s="1"/>
  <c r="AM18" i="5"/>
  <c r="Z18" i="5"/>
  <c r="X16" i="5"/>
  <c r="AC38" i="5"/>
  <c r="I21" i="5"/>
  <c r="AB21" i="6"/>
  <c r="AD21" i="6"/>
  <c r="L21" i="5"/>
  <c r="AM21" i="5"/>
  <c r="AC21" i="6"/>
  <c r="Z21" i="5"/>
  <c r="I21" i="12"/>
  <c r="AM35" i="5"/>
  <c r="X34" i="5"/>
  <c r="AB35" i="6"/>
  <c r="AD35" i="6"/>
  <c r="W31" i="8" s="1"/>
  <c r="AC35" i="6"/>
  <c r="I35" i="12"/>
  <c r="L35" i="5"/>
  <c r="Z35" i="5"/>
  <c r="O21" i="12" l="1"/>
  <c r="AO21" i="12"/>
  <c r="M21" i="12"/>
  <c r="C21" i="12"/>
  <c r="O21" i="5"/>
  <c r="C21" i="6"/>
  <c r="AB28" i="5"/>
  <c r="AA28" i="5"/>
  <c r="AB47" i="5"/>
  <c r="AA47" i="5"/>
  <c r="O42" i="5"/>
  <c r="C42" i="6"/>
  <c r="C42" i="12"/>
  <c r="O42" i="12"/>
  <c r="M42" i="12"/>
  <c r="M41" i="12" s="1"/>
  <c r="AO42" i="12"/>
  <c r="AB38" i="5"/>
  <c r="AA38" i="5"/>
  <c r="AC15" i="6"/>
  <c r="R15" i="6" s="1"/>
  <c r="AE30" i="10"/>
  <c r="M30" i="10"/>
  <c r="AC30" i="10"/>
  <c r="I30" i="10"/>
  <c r="U30" i="10"/>
  <c r="AA30" i="10"/>
  <c r="AM15" i="5"/>
  <c r="S30" i="10"/>
  <c r="K30" i="10"/>
  <c r="Z15" i="5"/>
  <c r="W30" i="10"/>
  <c r="Q30" i="10"/>
  <c r="Y30" i="10"/>
  <c r="O30" i="10"/>
  <c r="AB44" i="5"/>
  <c r="AB43" i="5" s="1"/>
  <c r="AA44" i="5"/>
  <c r="AA43" i="5" s="1"/>
  <c r="AM45" i="5"/>
  <c r="Z45" i="5"/>
  <c r="R44" i="8"/>
  <c r="L45" i="5"/>
  <c r="I45" i="12"/>
  <c r="AC45" i="5"/>
  <c r="O46" i="5"/>
  <c r="C46" i="6"/>
  <c r="V28" i="8"/>
  <c r="AD15" i="6"/>
  <c r="S15" i="6" s="1"/>
  <c r="T22" i="8"/>
  <c r="D22" i="8"/>
  <c r="AB15" i="6"/>
  <c r="M30" i="12"/>
  <c r="C30" i="12"/>
  <c r="AO30" i="12"/>
  <c r="O30" i="12"/>
  <c r="Z34" i="5"/>
  <c r="I34" i="12"/>
  <c r="L34" i="5"/>
  <c r="R29" i="8"/>
  <c r="AC34" i="5"/>
  <c r="AM34" i="5"/>
  <c r="AB35" i="5"/>
  <c r="AA35" i="5"/>
  <c r="AB18" i="5"/>
  <c r="AA18" i="5"/>
  <c r="O18" i="12"/>
  <c r="C18" i="12"/>
  <c r="M18" i="12"/>
  <c r="AO18" i="12"/>
  <c r="C35" i="6"/>
  <c r="O35" i="5"/>
  <c r="AB21" i="5"/>
  <c r="AA21" i="5"/>
  <c r="O18" i="5"/>
  <c r="C18" i="6"/>
  <c r="O33" i="5"/>
  <c r="C33" i="6"/>
  <c r="C28" i="12"/>
  <c r="AO28" i="12"/>
  <c r="M28" i="12"/>
  <c r="O28" i="12"/>
  <c r="AB32" i="5"/>
  <c r="AA32" i="5"/>
  <c r="O47" i="12"/>
  <c r="M47" i="12"/>
  <c r="AO47" i="12"/>
  <c r="C47" i="12"/>
  <c r="AB42" i="5"/>
  <c r="AB41" i="5" s="1"/>
  <c r="AA42" i="5"/>
  <c r="AA41" i="5" s="1"/>
  <c r="O39" i="5"/>
  <c r="C38" i="12"/>
  <c r="AO38" i="12"/>
  <c r="O38" i="12"/>
  <c r="M38" i="12"/>
  <c r="AB39" i="5"/>
  <c r="AA39" i="5"/>
  <c r="AO44" i="12"/>
  <c r="C44" i="12"/>
  <c r="M44" i="12"/>
  <c r="M43" i="12" s="1"/>
  <c r="O44" i="12"/>
  <c r="Z43" i="5"/>
  <c r="AM43" i="5"/>
  <c r="I43" i="12"/>
  <c r="AC43" i="5"/>
  <c r="L43" i="5"/>
  <c r="R41" i="8"/>
  <c r="W41" i="8" s="1"/>
  <c r="AB27" i="5"/>
  <c r="AA27" i="5"/>
  <c r="O23" i="5"/>
  <c r="C23" i="6"/>
  <c r="AO23" i="12"/>
  <c r="M23" i="12"/>
  <c r="M22" i="12" s="1"/>
  <c r="C23" i="12"/>
  <c r="O23" i="12"/>
  <c r="AB23" i="5"/>
  <c r="AB22" i="5" s="1"/>
  <c r="AA23" i="5"/>
  <c r="AA22" i="5" s="1"/>
  <c r="AB48" i="5"/>
  <c r="AA48" i="5"/>
  <c r="W46" i="8"/>
  <c r="W44" i="8" s="1"/>
  <c r="O26" i="5"/>
  <c r="C26" i="6"/>
  <c r="L25" i="5"/>
  <c r="I25" i="12"/>
  <c r="Z25" i="5"/>
  <c r="AM25" i="5"/>
  <c r="AC25" i="5"/>
  <c r="C20" i="6"/>
  <c r="O20" i="5"/>
  <c r="M20" i="12"/>
  <c r="C20" i="12"/>
  <c r="AO20" i="12"/>
  <c r="O20" i="12"/>
  <c r="O30" i="5"/>
  <c r="C30" i="6"/>
  <c r="AB30" i="5"/>
  <c r="AA30" i="5"/>
  <c r="C36" i="6"/>
  <c r="O36" i="5"/>
  <c r="O36" i="12"/>
  <c r="M36" i="12"/>
  <c r="C36" i="12"/>
  <c r="AO36" i="12"/>
  <c r="I17" i="12"/>
  <c r="R17" i="8"/>
  <c r="L17" i="5"/>
  <c r="Z17" i="5"/>
  <c r="AM17" i="5"/>
  <c r="AC17" i="5"/>
  <c r="Z37" i="5"/>
  <c r="R32" i="8"/>
  <c r="L37" i="5"/>
  <c r="AC37" i="5"/>
  <c r="AM37" i="5"/>
  <c r="I37" i="12"/>
  <c r="AB31" i="5"/>
  <c r="AA31" i="5"/>
  <c r="O31" i="5"/>
  <c r="C31" i="6"/>
  <c r="C44" i="6"/>
  <c r="O44" i="5"/>
  <c r="V41" i="8"/>
  <c r="C27" i="12"/>
  <c r="AO27" i="12"/>
  <c r="M27" i="12"/>
  <c r="O27" i="12"/>
  <c r="AM22" i="5"/>
  <c r="I22" i="12"/>
  <c r="R23" i="8"/>
  <c r="Z22" i="5"/>
  <c r="L22" i="5"/>
  <c r="AC22" i="5"/>
  <c r="AO46" i="12"/>
  <c r="O46" i="12"/>
  <c r="C46" i="12"/>
  <c r="M46" i="12"/>
  <c r="AB26" i="5"/>
  <c r="AA26" i="5"/>
  <c r="L24" i="5"/>
  <c r="I24" i="12"/>
  <c r="R26" i="8"/>
  <c r="AC24" i="5"/>
  <c r="Z24" i="5"/>
  <c r="AM24" i="5"/>
  <c r="W28" i="8"/>
  <c r="W26" i="8" s="1"/>
  <c r="AM29" i="5"/>
  <c r="L29" i="5"/>
  <c r="I29" i="12"/>
  <c r="AC29" i="5"/>
  <c r="Z29" i="5"/>
  <c r="AO35" i="12"/>
  <c r="M35" i="12"/>
  <c r="C35" i="12"/>
  <c r="O35" i="12"/>
  <c r="C28" i="6"/>
  <c r="O28" i="5"/>
  <c r="O47" i="5"/>
  <c r="C47" i="6"/>
  <c r="AM16" i="5"/>
  <c r="AC16" i="5"/>
  <c r="L16" i="5"/>
  <c r="Z16" i="5"/>
  <c r="O14" i="11"/>
  <c r="I16" i="12"/>
  <c r="R14" i="8"/>
  <c r="AA19" i="8"/>
  <c r="Y19" i="8"/>
  <c r="AB19" i="8"/>
  <c r="X19" i="8"/>
  <c r="X17" i="8" s="1"/>
  <c r="AC19" i="8"/>
  <c r="D19" i="8"/>
  <c r="U19" i="8"/>
  <c r="W19" i="8"/>
  <c r="W17" i="8" s="1"/>
  <c r="T19" i="8"/>
  <c r="AD19" i="8"/>
  <c r="AE19" i="8"/>
  <c r="Z19" i="8"/>
  <c r="Z17" i="8" s="1"/>
  <c r="V19" i="8"/>
  <c r="C33" i="12"/>
  <c r="M33" i="12"/>
  <c r="AO33" i="12"/>
  <c r="O33" i="12"/>
  <c r="AB33" i="5"/>
  <c r="AA33" i="5"/>
  <c r="O32" i="5"/>
  <c r="C32" i="6"/>
  <c r="C32" i="12"/>
  <c r="O32" i="12"/>
  <c r="AO32" i="12"/>
  <c r="M32" i="12"/>
  <c r="D48" i="12"/>
  <c r="E48" i="6"/>
  <c r="R38" i="8"/>
  <c r="L41" i="5"/>
  <c r="Z41" i="5"/>
  <c r="AC41" i="5"/>
  <c r="I41" i="12"/>
  <c r="AM41" i="5"/>
  <c r="C38" i="6"/>
  <c r="O38" i="5"/>
  <c r="W32" i="8"/>
  <c r="C39" i="12"/>
  <c r="O39" i="12"/>
  <c r="AO39" i="12"/>
  <c r="Y39" i="12" s="1"/>
  <c r="M39" i="12"/>
  <c r="M31" i="12"/>
  <c r="AO31" i="12"/>
  <c r="C31" i="12"/>
  <c r="O31" i="12"/>
  <c r="O27" i="5"/>
  <c r="C27" i="6"/>
  <c r="M48" i="12"/>
  <c r="AO48" i="12"/>
  <c r="O48" i="12"/>
  <c r="N48" i="12" s="1"/>
  <c r="C48" i="12"/>
  <c r="AB46" i="5"/>
  <c r="AA46" i="5"/>
  <c r="AA45" i="5" s="1"/>
  <c r="B44" i="8" s="1"/>
  <c r="AO26" i="12"/>
  <c r="M26" i="12"/>
  <c r="C26" i="12"/>
  <c r="O26" i="12"/>
  <c r="R20" i="8"/>
  <c r="Z19" i="5"/>
  <c r="AM19" i="5"/>
  <c r="I19" i="12"/>
  <c r="AC19" i="5"/>
  <c r="L19" i="5"/>
  <c r="AB20" i="5"/>
  <c r="AA20" i="5"/>
  <c r="AA19" i="5" s="1"/>
  <c r="AB36" i="5"/>
  <c r="AA36" i="5"/>
  <c r="AE17" i="8" l="1"/>
  <c r="AB17" i="8"/>
  <c r="M34" i="12"/>
  <c r="N36" i="12"/>
  <c r="AB29" i="5"/>
  <c r="U17" i="8"/>
  <c r="Y31" i="12"/>
  <c r="N39" i="12"/>
  <c r="AD17" i="8"/>
  <c r="D17" i="8"/>
  <c r="Y17" i="8"/>
  <c r="N33" i="12"/>
  <c r="V17" i="8"/>
  <c r="T17" i="8"/>
  <c r="G17" i="8" s="1"/>
  <c r="I18" i="8" s="1"/>
  <c r="AC17" i="8"/>
  <c r="AA17" i="8"/>
  <c r="N27" i="12"/>
  <c r="N28" i="12"/>
  <c r="N21" i="12"/>
  <c r="O34" i="12"/>
  <c r="N34" i="12" s="1"/>
  <c r="N35" i="12"/>
  <c r="N46" i="12"/>
  <c r="O45" i="12"/>
  <c r="C17" i="12"/>
  <c r="J17" i="12"/>
  <c r="L17" i="12"/>
  <c r="K17" i="12" s="1"/>
  <c r="C19" i="6"/>
  <c r="O19" i="5"/>
  <c r="M24" i="12"/>
  <c r="M25" i="12"/>
  <c r="X31" i="12"/>
  <c r="W31" i="12"/>
  <c r="W14" i="11"/>
  <c r="L14" i="13"/>
  <c r="C14" i="11"/>
  <c r="O15" i="11"/>
  <c r="Y35" i="12"/>
  <c r="AO34" i="12"/>
  <c r="O29" i="5"/>
  <c r="C29" i="6"/>
  <c r="O24" i="5"/>
  <c r="C24" i="6"/>
  <c r="O22" i="5"/>
  <c r="C22" i="6"/>
  <c r="L37" i="12"/>
  <c r="J37" i="12"/>
  <c r="C37" i="12"/>
  <c r="U16" i="8"/>
  <c r="U14" i="8" s="1"/>
  <c r="F32" i="8"/>
  <c r="AE32" i="8"/>
  <c r="AA32" i="8"/>
  <c r="T32" i="8"/>
  <c r="G32" i="8" s="1"/>
  <c r="I33" i="8" s="1"/>
  <c r="G33" i="8"/>
  <c r="AD32" i="8"/>
  <c r="X32" i="8"/>
  <c r="AC32" i="8"/>
  <c r="D32" i="8"/>
  <c r="V32" i="8"/>
  <c r="U32" i="8"/>
  <c r="Y32" i="8"/>
  <c r="C32" i="8"/>
  <c r="F33" i="8"/>
  <c r="AB32" i="8"/>
  <c r="Z32" i="8"/>
  <c r="G18" i="8"/>
  <c r="AC16" i="8"/>
  <c r="AC14" i="8" s="1"/>
  <c r="F18" i="8"/>
  <c r="Z16" i="8"/>
  <c r="Z14" i="8" s="1"/>
  <c r="X16" i="8"/>
  <c r="X14" i="8" s="1"/>
  <c r="F17" i="8"/>
  <c r="AB16" i="8"/>
  <c r="AB14" i="8" s="1"/>
  <c r="T16" i="8"/>
  <c r="V16" i="8"/>
  <c r="V14" i="8" s="1"/>
  <c r="W16" i="8"/>
  <c r="W14" i="8" s="1"/>
  <c r="AD16" i="8"/>
  <c r="AD14" i="8" s="1"/>
  <c r="AA16" i="8"/>
  <c r="AA14" i="8" s="1"/>
  <c r="D16" i="8"/>
  <c r="AE16" i="8"/>
  <c r="AE14" i="8" s="1"/>
  <c r="Y16" i="8"/>
  <c r="Y14" i="8" s="1"/>
  <c r="AA29" i="5"/>
  <c r="N20" i="12"/>
  <c r="O19" i="12"/>
  <c r="E20" i="6"/>
  <c r="D20" i="12"/>
  <c r="E26" i="6"/>
  <c r="D26" i="12"/>
  <c r="B23" i="8"/>
  <c r="N44" i="12"/>
  <c r="O43" i="12"/>
  <c r="N43" i="12" s="1"/>
  <c r="Y38" i="12"/>
  <c r="AO37" i="12"/>
  <c r="N47" i="12"/>
  <c r="E33" i="6"/>
  <c r="D33" i="12"/>
  <c r="AB19" i="5"/>
  <c r="M17" i="12"/>
  <c r="M16" i="12"/>
  <c r="AB17" i="5"/>
  <c r="C17" i="8" s="1"/>
  <c r="AB15" i="5"/>
  <c r="AB16" i="5"/>
  <c r="M29" i="12"/>
  <c r="Q28" i="10"/>
  <c r="Q27" i="10" s="1"/>
  <c r="Q29" i="10"/>
  <c r="S28" i="10"/>
  <c r="S27" i="10" s="1"/>
  <c r="S29" i="10"/>
  <c r="I29" i="10"/>
  <c r="AE9" i="10" s="1"/>
  <c r="I28" i="10"/>
  <c r="I27" i="10" s="1"/>
  <c r="Y9" i="10" s="1"/>
  <c r="E42" i="6"/>
  <c r="D42" i="12"/>
  <c r="M19" i="12"/>
  <c r="Y23" i="12"/>
  <c r="AO22" i="12"/>
  <c r="J43" i="12"/>
  <c r="C43" i="12"/>
  <c r="L43" i="12"/>
  <c r="K43" i="12" s="1"/>
  <c r="Y28" i="12"/>
  <c r="E35" i="6"/>
  <c r="D35" i="12"/>
  <c r="AA34" i="5"/>
  <c r="B29" i="8" s="1"/>
  <c r="AC29" i="8"/>
  <c r="F29" i="8"/>
  <c r="T29" i="8"/>
  <c r="AE29" i="8"/>
  <c r="AD29" i="8"/>
  <c r="V29" i="8"/>
  <c r="Y29" i="8"/>
  <c r="Z29" i="8"/>
  <c r="G29" i="8" s="1"/>
  <c r="I30" i="8" s="1"/>
  <c r="AA29" i="8"/>
  <c r="D29" i="8"/>
  <c r="G30" i="8"/>
  <c r="X29" i="8"/>
  <c r="U29" i="8"/>
  <c r="AB29" i="8"/>
  <c r="F30" i="8"/>
  <c r="O29" i="12"/>
  <c r="N29" i="12" s="1"/>
  <c r="N30" i="12"/>
  <c r="F14" i="7"/>
  <c r="Q15" i="6"/>
  <c r="F21" i="7"/>
  <c r="F16" i="7"/>
  <c r="F20" i="7"/>
  <c r="F18" i="7"/>
  <c r="F17" i="7"/>
  <c r="F19" i="7"/>
  <c r="V26" i="8"/>
  <c r="L45" i="12"/>
  <c r="C45" i="12"/>
  <c r="J45" i="12"/>
  <c r="W29" i="10"/>
  <c r="W28" i="10"/>
  <c r="W27" i="10" s="1"/>
  <c r="AC28" i="10"/>
  <c r="AC27" i="10" s="1"/>
  <c r="AC29" i="10"/>
  <c r="AA37" i="5"/>
  <c r="B32" i="8" s="1"/>
  <c r="O41" i="12"/>
  <c r="N41" i="12" s="1"/>
  <c r="N42" i="12"/>
  <c r="Y21" i="12"/>
  <c r="AO25" i="12"/>
  <c r="AO24" i="12"/>
  <c r="Y26" i="12"/>
  <c r="E27" i="6"/>
  <c r="D27" i="12"/>
  <c r="B20" i="8"/>
  <c r="L19" i="12"/>
  <c r="K19" i="12" s="1"/>
  <c r="C19" i="12"/>
  <c r="J19" i="12"/>
  <c r="O24" i="12"/>
  <c r="N24" i="12" s="1"/>
  <c r="N26" i="12"/>
  <c r="O25" i="12"/>
  <c r="N25" i="12" s="1"/>
  <c r="Y48" i="12"/>
  <c r="N31" i="12"/>
  <c r="J41" i="12"/>
  <c r="L41" i="12"/>
  <c r="K41" i="12" s="1"/>
  <c r="C41" i="12"/>
  <c r="X38" i="8"/>
  <c r="AA38" i="8"/>
  <c r="AD38" i="8"/>
  <c r="AC38" i="8"/>
  <c r="G39" i="8"/>
  <c r="C38" i="8"/>
  <c r="G38" i="8"/>
  <c r="I39" i="8" s="1"/>
  <c r="D38" i="8"/>
  <c r="Y38" i="8"/>
  <c r="Z38" i="8"/>
  <c r="AB38" i="8"/>
  <c r="T38" i="8"/>
  <c r="F38" i="8"/>
  <c r="U38" i="8"/>
  <c r="F39" i="8"/>
  <c r="AE38" i="8"/>
  <c r="Y32" i="12"/>
  <c r="E32" i="6"/>
  <c r="D32" i="12"/>
  <c r="Y33" i="12"/>
  <c r="F14" i="8"/>
  <c r="F15" i="8"/>
  <c r="G14" i="8"/>
  <c r="I15" i="8" s="1"/>
  <c r="Q48" i="8"/>
  <c r="H48" i="8" s="1"/>
  <c r="D57" i="8"/>
  <c r="G15" i="8"/>
  <c r="O16" i="5"/>
  <c r="C16" i="6"/>
  <c r="E47" i="6"/>
  <c r="D47" i="12"/>
  <c r="AD26" i="8"/>
  <c r="X26" i="8"/>
  <c r="G27" i="8"/>
  <c r="F27" i="8"/>
  <c r="AC26" i="8"/>
  <c r="AB26" i="8"/>
  <c r="AB23" i="8" s="1"/>
  <c r="Z26" i="8"/>
  <c r="AA26" i="8"/>
  <c r="U26" i="8"/>
  <c r="D26" i="8"/>
  <c r="T26" i="8"/>
  <c r="G26" i="8" s="1"/>
  <c r="I27" i="8" s="1"/>
  <c r="AE26" i="8"/>
  <c r="F26" i="8"/>
  <c r="Y26" i="8"/>
  <c r="AB25" i="5"/>
  <c r="AB24" i="5"/>
  <c r="C26" i="8" s="1"/>
  <c r="Y46" i="12"/>
  <c r="AO45" i="12"/>
  <c r="Y45" i="12" s="1"/>
  <c r="W23" i="8"/>
  <c r="G23" i="8" s="1"/>
  <c r="I24" i="8" s="1"/>
  <c r="T23" i="8"/>
  <c r="X23" i="8"/>
  <c r="G24" i="8"/>
  <c r="Z23" i="8"/>
  <c r="AC23" i="8"/>
  <c r="AD23" i="8"/>
  <c r="F23" i="8"/>
  <c r="F24" i="8"/>
  <c r="D23" i="8"/>
  <c r="Y23" i="8"/>
  <c r="AA23" i="8"/>
  <c r="V23" i="8"/>
  <c r="AE23" i="8"/>
  <c r="C23" i="8"/>
  <c r="E44" i="6"/>
  <c r="D44" i="12"/>
  <c r="W38" i="8"/>
  <c r="Y36" i="12"/>
  <c r="E36" i="6"/>
  <c r="D36" i="12"/>
  <c r="C25" i="6"/>
  <c r="O25" i="5"/>
  <c r="O22" i="12"/>
  <c r="N22" i="12" s="1"/>
  <c r="N23" i="12"/>
  <c r="D41" i="8"/>
  <c r="AA41" i="8"/>
  <c r="Z41" i="8"/>
  <c r="U41" i="8"/>
  <c r="AD41" i="8"/>
  <c r="AB41" i="8"/>
  <c r="X41" i="8"/>
  <c r="AC41" i="8"/>
  <c r="F42" i="8"/>
  <c r="AE41" i="8"/>
  <c r="Y41" i="8"/>
  <c r="T41" i="8"/>
  <c r="G41" i="8"/>
  <c r="I42" i="8" s="1"/>
  <c r="G42" i="8"/>
  <c r="F41" i="8"/>
  <c r="C41" i="8"/>
  <c r="M37" i="12"/>
  <c r="E39" i="6"/>
  <c r="D39" i="12"/>
  <c r="Y47" i="12"/>
  <c r="D18" i="12"/>
  <c r="E18" i="6"/>
  <c r="N18" i="12"/>
  <c r="O17" i="12"/>
  <c r="N17" i="12" s="1"/>
  <c r="O16" i="12"/>
  <c r="N16" i="12" s="1"/>
  <c r="AB34" i="5"/>
  <c r="C29" i="8" s="1"/>
  <c r="O34" i="5"/>
  <c r="C34" i="6"/>
  <c r="AO29" i="12"/>
  <c r="Y29" i="12" s="1"/>
  <c r="Y30" i="12"/>
  <c r="D20" i="8"/>
  <c r="O45" i="5"/>
  <c r="C45" i="6"/>
  <c r="U23" i="8"/>
  <c r="O28" i="10"/>
  <c r="O27" i="10" s="1"/>
  <c r="O29" i="10"/>
  <c r="AA28" i="10"/>
  <c r="AA27" i="10" s="1"/>
  <c r="AA29" i="10"/>
  <c r="M28" i="10"/>
  <c r="M27" i="10" s="1"/>
  <c r="M29" i="10"/>
  <c r="AB37" i="5"/>
  <c r="AB45" i="5"/>
  <c r="D21" i="12"/>
  <c r="E21" i="6"/>
  <c r="AC20" i="8"/>
  <c r="F20" i="8"/>
  <c r="AA20" i="8"/>
  <c r="W20" i="8"/>
  <c r="F21" i="8"/>
  <c r="AD20" i="8"/>
  <c r="C20" i="8"/>
  <c r="U20" i="8"/>
  <c r="G20" i="8" s="1"/>
  <c r="I21" i="8" s="1"/>
  <c r="AB20" i="8"/>
  <c r="Z20" i="8"/>
  <c r="V20" i="8"/>
  <c r="G21" i="8"/>
  <c r="Y20" i="8"/>
  <c r="AE20" i="8"/>
  <c r="X20" i="8"/>
  <c r="C41" i="6"/>
  <c r="O41" i="5"/>
  <c r="AA24" i="5"/>
  <c r="B26" i="8" s="1"/>
  <c r="AA25" i="5"/>
  <c r="E31" i="6"/>
  <c r="D31" i="12"/>
  <c r="Y20" i="12"/>
  <c r="AO19" i="12"/>
  <c r="Y19" i="12" s="1"/>
  <c r="C25" i="12"/>
  <c r="J25" i="12"/>
  <c r="L25" i="12"/>
  <c r="W39" i="12"/>
  <c r="X39" i="12"/>
  <c r="D38" i="12"/>
  <c r="E38" i="6"/>
  <c r="N32" i="12"/>
  <c r="J16" i="12"/>
  <c r="C16" i="12"/>
  <c r="L16" i="12"/>
  <c r="AC11" i="5"/>
  <c r="D28" i="12"/>
  <c r="E28" i="6"/>
  <c r="C29" i="12"/>
  <c r="J29" i="12"/>
  <c r="L29" i="12"/>
  <c r="C24" i="12"/>
  <c r="J24" i="12"/>
  <c r="L24" i="12"/>
  <c r="M45" i="12"/>
  <c r="J22" i="12"/>
  <c r="C22" i="12"/>
  <c r="L22" i="12"/>
  <c r="Y27" i="12"/>
  <c r="O37" i="5"/>
  <c r="C37" i="6"/>
  <c r="V38" i="8"/>
  <c r="O17" i="5"/>
  <c r="C17" i="6"/>
  <c r="D30" i="12"/>
  <c r="E30" i="6"/>
  <c r="D23" i="12"/>
  <c r="E23" i="6"/>
  <c r="O43" i="5"/>
  <c r="C43" i="6"/>
  <c r="AO43" i="12"/>
  <c r="Y43" i="12" s="1"/>
  <c r="Y44" i="12"/>
  <c r="N38" i="12"/>
  <c r="O37" i="12"/>
  <c r="B38" i="8"/>
  <c r="AO17" i="12"/>
  <c r="Y17" i="12" s="1"/>
  <c r="Y18" i="12"/>
  <c r="AO16" i="12"/>
  <c r="AA17" i="5"/>
  <c r="B17" i="8" s="1"/>
  <c r="AA15" i="5"/>
  <c r="AA16" i="5"/>
  <c r="J34" i="12"/>
  <c r="C34" i="12"/>
  <c r="L34" i="12"/>
  <c r="K34" i="12" s="1"/>
  <c r="T20" i="8"/>
  <c r="D46" i="12"/>
  <c r="E46" i="6"/>
  <c r="AD44" i="8"/>
  <c r="AA44" i="8"/>
  <c r="V44" i="8"/>
  <c r="X44" i="8"/>
  <c r="AE44" i="8"/>
  <c r="D44" i="8"/>
  <c r="AC44" i="8"/>
  <c r="Y44" i="8"/>
  <c r="C44" i="8"/>
  <c r="F45" i="8"/>
  <c r="G45" i="8"/>
  <c r="G44" i="8"/>
  <c r="I45" i="8" s="1"/>
  <c r="F44" i="8"/>
  <c r="T44" i="8"/>
  <c r="AB44" i="8"/>
  <c r="Z44" i="8"/>
  <c r="U44" i="8"/>
  <c r="B41" i="8"/>
  <c r="Y29" i="10"/>
  <c r="Y28" i="10"/>
  <c r="Y27" i="10" s="1"/>
  <c r="K28" i="10"/>
  <c r="K27" i="10" s="1"/>
  <c r="K29" i="10"/>
  <c r="U28" i="10"/>
  <c r="U27" i="10" s="1"/>
  <c r="U29" i="10"/>
  <c r="AE29" i="10"/>
  <c r="AE28" i="10"/>
  <c r="AE27" i="10" s="1"/>
  <c r="AO41" i="12"/>
  <c r="Y41" i="12" s="1"/>
  <c r="Y42" i="12"/>
  <c r="W29" i="8"/>
  <c r="Y22" i="12" l="1"/>
  <c r="K29" i="12"/>
  <c r="Y34" i="12"/>
  <c r="K24" i="12"/>
  <c r="K37" i="12"/>
  <c r="H32" i="8"/>
  <c r="D37" i="12"/>
  <c r="E37" i="6"/>
  <c r="H38" i="8"/>
  <c r="D41" i="12"/>
  <c r="E41" i="6"/>
  <c r="W29" i="12"/>
  <c r="X29" i="12"/>
  <c r="A19" i="9"/>
  <c r="A19" i="10"/>
  <c r="A16" i="9"/>
  <c r="A16" i="10"/>
  <c r="X28" i="12"/>
  <c r="W28" i="12"/>
  <c r="W22" i="12"/>
  <c r="X22" i="12"/>
  <c r="AB14" i="11"/>
  <c r="AD14" i="13"/>
  <c r="S14" i="13" s="1"/>
  <c r="M18" i="13" s="1"/>
  <c r="AG14" i="13"/>
  <c r="U14" i="13" s="1"/>
  <c r="AD4" i="13" s="1"/>
  <c r="T14" i="8"/>
  <c r="T55" i="8" a="1"/>
  <c r="T55" i="8" s="1"/>
  <c r="N45" i="12"/>
  <c r="W43" i="12"/>
  <c r="X43" i="12"/>
  <c r="D17" i="12"/>
  <c r="H17" i="8"/>
  <c r="E17" i="6"/>
  <c r="X27" i="12"/>
  <c r="W27" i="12"/>
  <c r="D45" i="12"/>
  <c r="H44" i="8"/>
  <c r="E45" i="6"/>
  <c r="X47" i="12"/>
  <c r="W47" i="12"/>
  <c r="D52" i="8"/>
  <c r="D48" i="8" s="1"/>
  <c r="D53" i="8"/>
  <c r="T57" i="8"/>
  <c r="W26" i="12"/>
  <c r="X26" i="12"/>
  <c r="A17" i="10"/>
  <c r="A17" i="9"/>
  <c r="A21" i="10"/>
  <c r="A21" i="9"/>
  <c r="W23" i="12"/>
  <c r="X23" i="12"/>
  <c r="Y37" i="12"/>
  <c r="H23" i="8"/>
  <c r="E22" i="6"/>
  <c r="D22" i="12"/>
  <c r="D29" i="12"/>
  <c r="E29" i="6"/>
  <c r="V14" i="13"/>
  <c r="L19" i="13"/>
  <c r="D14" i="13"/>
  <c r="W17" i="12"/>
  <c r="X17" i="12"/>
  <c r="W21" i="12"/>
  <c r="X21" i="12"/>
  <c r="Y16" i="12"/>
  <c r="N37" i="12"/>
  <c r="K22" i="12"/>
  <c r="V39" i="12"/>
  <c r="U39" i="12"/>
  <c r="T39" i="12"/>
  <c r="X19" i="12"/>
  <c r="W19" i="12"/>
  <c r="D34" i="12"/>
  <c r="E34" i="6"/>
  <c r="H29" i="8"/>
  <c r="X45" i="12"/>
  <c r="W45" i="12"/>
  <c r="W32" i="12"/>
  <c r="X32" i="12"/>
  <c r="Y24" i="12"/>
  <c r="K45" i="12"/>
  <c r="A18" i="9"/>
  <c r="A18" i="10"/>
  <c r="AD12" i="13"/>
  <c r="AC12" i="13"/>
  <c r="AH12" i="13"/>
  <c r="AE12" i="13"/>
  <c r="AG12" i="13"/>
  <c r="AF12" i="13"/>
  <c r="AE14" i="13"/>
  <c r="M14" i="13" s="1"/>
  <c r="M19" i="13" s="1"/>
  <c r="AH14" i="13"/>
  <c r="O14" i="13" s="1"/>
  <c r="X38" i="12"/>
  <c r="W38" i="12"/>
  <c r="N19" i="12"/>
  <c r="W34" i="12"/>
  <c r="X34" i="12"/>
  <c r="W44" i="12"/>
  <c r="X44" i="12"/>
  <c r="X42" i="12"/>
  <c r="W42" i="12"/>
  <c r="X41" i="12"/>
  <c r="W41" i="12"/>
  <c r="T56" i="8" a="1"/>
  <c r="T56" i="8" s="1"/>
  <c r="D56" i="8" a="1"/>
  <c r="D56" i="8" s="1"/>
  <c r="D51" i="8" s="1"/>
  <c r="AF14" i="13"/>
  <c r="T14" i="13" s="1"/>
  <c r="AD3" i="13" s="1"/>
  <c r="AA14" i="11"/>
  <c r="AC14" i="13"/>
  <c r="R14" i="13" s="1"/>
  <c r="M17" i="13" s="1"/>
  <c r="X18" i="12"/>
  <c r="W18" i="12"/>
  <c r="E43" i="6"/>
  <c r="H41" i="8"/>
  <c r="D43" i="12"/>
  <c r="K16" i="12"/>
  <c r="K25" i="12"/>
  <c r="X20" i="12"/>
  <c r="W20" i="12"/>
  <c r="W30" i="12"/>
  <c r="X30" i="12"/>
  <c r="E25" i="6"/>
  <c r="D25" i="12"/>
  <c r="X36" i="12"/>
  <c r="W36" i="12"/>
  <c r="X46" i="12"/>
  <c r="W46" i="12"/>
  <c r="H14" i="8"/>
  <c r="E16" i="6"/>
  <c r="D16" i="12"/>
  <c r="W33" i="12"/>
  <c r="X33" i="12"/>
  <c r="X48" i="12"/>
  <c r="W48" i="12"/>
  <c r="Y25" i="12"/>
  <c r="A20" i="9"/>
  <c r="A20" i="10"/>
  <c r="D14" i="8"/>
  <c r="D55" i="8" a="1"/>
  <c r="D55" i="8" s="1"/>
  <c r="D50" i="8" s="1"/>
  <c r="E24" i="6"/>
  <c r="H26" i="8"/>
  <c r="D24" i="12"/>
  <c r="X35" i="12"/>
  <c r="W35" i="12"/>
  <c r="AA7" i="11"/>
  <c r="O16" i="11"/>
  <c r="U31" i="12"/>
  <c r="T31" i="12"/>
  <c r="V31" i="12"/>
  <c r="D19" i="12"/>
  <c r="H20" i="8"/>
  <c r="E19" i="6"/>
  <c r="V35" i="12" l="1"/>
  <c r="U35" i="12"/>
  <c r="T35" i="12"/>
  <c r="V30" i="12"/>
  <c r="U30" i="12"/>
  <c r="T30" i="12"/>
  <c r="U18" i="12"/>
  <c r="T18" i="12"/>
  <c r="V18" i="12"/>
  <c r="U44" i="12"/>
  <c r="T44" i="12"/>
  <c r="V44" i="12"/>
  <c r="T38" i="12"/>
  <c r="V38" i="12"/>
  <c r="U38" i="12"/>
  <c r="T45" i="12"/>
  <c r="U45" i="12"/>
  <c r="V45" i="12"/>
  <c r="W16" i="12"/>
  <c r="X16" i="12"/>
  <c r="T17" i="12"/>
  <c r="U17" i="12"/>
  <c r="V17" i="12"/>
  <c r="T42" i="12"/>
  <c r="V42" i="12"/>
  <c r="U42" i="12"/>
  <c r="X24" i="12"/>
  <c r="W24" i="12"/>
  <c r="T19" i="12"/>
  <c r="V19" i="12"/>
  <c r="U19" i="12"/>
  <c r="W37" i="12"/>
  <c r="X37" i="12"/>
  <c r="T26" i="12"/>
  <c r="U26" i="12"/>
  <c r="V26" i="12"/>
  <c r="V43" i="12"/>
  <c r="U43" i="12"/>
  <c r="T43" i="12"/>
  <c r="U22" i="12"/>
  <c r="V22" i="12"/>
  <c r="T22" i="12"/>
  <c r="T29" i="12"/>
  <c r="V29" i="12"/>
  <c r="U29" i="12"/>
  <c r="X25" i="12"/>
  <c r="W25" i="12"/>
  <c r="U33" i="12"/>
  <c r="V33" i="12"/>
  <c r="T33" i="12"/>
  <c r="V46" i="12"/>
  <c r="T46" i="12"/>
  <c r="U46" i="12"/>
  <c r="V20" i="12"/>
  <c r="T20" i="12"/>
  <c r="U20" i="12"/>
  <c r="V48" i="12"/>
  <c r="U48" i="12"/>
  <c r="T48" i="12"/>
  <c r="U56" i="8" a="1"/>
  <c r="U56" i="8" s="1"/>
  <c r="T51" i="8"/>
  <c r="U34" i="12"/>
  <c r="V34" i="12"/>
  <c r="T34" i="12"/>
  <c r="V28" i="12"/>
  <c r="U28" i="12"/>
  <c r="T28" i="12"/>
  <c r="N14" i="13"/>
  <c r="O19" i="13"/>
  <c r="P14" i="13"/>
  <c r="U21" i="12"/>
  <c r="T21" i="12"/>
  <c r="V21" i="12"/>
  <c r="M15" i="13"/>
  <c r="L15" i="13"/>
  <c r="D33" i="14"/>
  <c r="T53" i="8"/>
  <c r="U57" i="8"/>
  <c r="T52" i="8"/>
  <c r="T48" i="8" s="1"/>
  <c r="T54" i="8"/>
  <c r="T49" i="8" s="1"/>
  <c r="V47" i="12"/>
  <c r="T47" i="12"/>
  <c r="U47" i="12"/>
  <c r="V36" i="12"/>
  <c r="U36" i="12"/>
  <c r="T36" i="12"/>
  <c r="AA15" i="11"/>
  <c r="Z14" i="11"/>
  <c r="Z15" i="11" s="1"/>
  <c r="T41" i="12"/>
  <c r="U41" i="12"/>
  <c r="V41" i="12"/>
  <c r="O20" i="13"/>
  <c r="M16" i="13"/>
  <c r="T32" i="12"/>
  <c r="V32" i="12"/>
  <c r="U32" i="12"/>
  <c r="I45" i="14"/>
  <c r="J45" i="14" s="1"/>
  <c r="K45" i="14" s="1"/>
  <c r="L45" i="14" s="1"/>
  <c r="I23" i="14"/>
  <c r="J23" i="14" s="1"/>
  <c r="K23" i="14" s="1"/>
  <c r="L23" i="14" s="1"/>
  <c r="I43" i="14"/>
  <c r="J43" i="14" s="1"/>
  <c r="K43" i="14" s="1"/>
  <c r="L43" i="14" s="1"/>
  <c r="I17" i="14"/>
  <c r="J17" i="14" s="1"/>
  <c r="K17" i="14" s="1"/>
  <c r="L17" i="14" s="1"/>
  <c r="I12" i="14"/>
  <c r="J12" i="14" s="1"/>
  <c r="K12" i="14" s="1"/>
  <c r="L12" i="14" s="1"/>
  <c r="I39" i="14"/>
  <c r="J39" i="14" s="1"/>
  <c r="K39" i="14" s="1"/>
  <c r="L39" i="14" s="1"/>
  <c r="I32" i="14"/>
  <c r="J32" i="14" s="1"/>
  <c r="K32" i="14" s="1"/>
  <c r="L32" i="14" s="1"/>
  <c r="I46" i="14"/>
  <c r="J46" i="14" s="1"/>
  <c r="K46" i="14" s="1"/>
  <c r="L46" i="14" s="1"/>
  <c r="I19" i="14"/>
  <c r="J19" i="14" s="1"/>
  <c r="K19" i="14" s="1"/>
  <c r="L19" i="14" s="1"/>
  <c r="I10" i="14"/>
  <c r="J10" i="14" s="1"/>
  <c r="K10" i="14" s="1"/>
  <c r="L10" i="14" s="1"/>
  <c r="I14" i="14"/>
  <c r="J14" i="14" s="1"/>
  <c r="K14" i="14" s="1"/>
  <c r="L14" i="14" s="1"/>
  <c r="I25" i="14"/>
  <c r="J25" i="14" s="1"/>
  <c r="K25" i="14" s="1"/>
  <c r="L25" i="14" s="1"/>
  <c r="I30" i="14"/>
  <c r="J30" i="14" s="1"/>
  <c r="K30" i="14" s="1"/>
  <c r="L30" i="14" s="1"/>
  <c r="I18" i="14"/>
  <c r="J18" i="14" s="1"/>
  <c r="K18" i="14" s="1"/>
  <c r="L18" i="14" s="1"/>
  <c r="I33" i="14"/>
  <c r="J33" i="14" s="1"/>
  <c r="K33" i="14" s="1"/>
  <c r="L33" i="14" s="1"/>
  <c r="I15" i="14"/>
  <c r="J15" i="14" s="1"/>
  <c r="K15" i="14" s="1"/>
  <c r="L15" i="14" s="1"/>
  <c r="I20" i="14"/>
  <c r="J20" i="14" s="1"/>
  <c r="K20" i="14" s="1"/>
  <c r="L20" i="14" s="1"/>
  <c r="I8" i="14"/>
  <c r="J8" i="14" s="1"/>
  <c r="K8" i="14" s="1"/>
  <c r="L8" i="14" s="1"/>
  <c r="I40" i="14"/>
  <c r="J40" i="14" s="1"/>
  <c r="K40" i="14" s="1"/>
  <c r="L40" i="14" s="1"/>
  <c r="I9" i="14"/>
  <c r="J9" i="14" s="1"/>
  <c r="K9" i="14" s="1"/>
  <c r="L9" i="14" s="1"/>
  <c r="I21" i="14"/>
  <c r="J21" i="14" s="1"/>
  <c r="K21" i="14" s="1"/>
  <c r="L21" i="14" s="1"/>
  <c r="I35" i="14"/>
  <c r="J35" i="14" s="1"/>
  <c r="K35" i="14" s="1"/>
  <c r="L35" i="14" s="1"/>
  <c r="I44" i="14"/>
  <c r="J44" i="14" s="1"/>
  <c r="K44" i="14" s="1"/>
  <c r="L44" i="14" s="1"/>
  <c r="I36" i="14"/>
  <c r="J36" i="14" s="1"/>
  <c r="K36" i="14" s="1"/>
  <c r="L36" i="14" s="1"/>
  <c r="I26" i="14"/>
  <c r="J26" i="14" s="1"/>
  <c r="K26" i="14" s="1"/>
  <c r="L26" i="14" s="1"/>
  <c r="I27" i="14"/>
  <c r="J27" i="14" s="1"/>
  <c r="K27" i="14" s="1"/>
  <c r="L27" i="14" s="1"/>
  <c r="I28" i="14"/>
  <c r="J28" i="14" s="1"/>
  <c r="K28" i="14" s="1"/>
  <c r="L28" i="14" s="1"/>
  <c r="I11" i="14"/>
  <c r="J11" i="14" s="1"/>
  <c r="K11" i="14" s="1"/>
  <c r="L11" i="14" s="1"/>
  <c r="I29" i="14"/>
  <c r="J29" i="14" s="1"/>
  <c r="K29" i="14" s="1"/>
  <c r="L29" i="14" s="1"/>
  <c r="I41" i="14"/>
  <c r="J41" i="14" s="1"/>
  <c r="K41" i="14" s="1"/>
  <c r="L41" i="14" s="1"/>
  <c r="I24" i="14"/>
  <c r="J24" i="14" s="1"/>
  <c r="K24" i="14" s="1"/>
  <c r="L24" i="14" s="1"/>
  <c r="I37" i="14"/>
  <c r="J37" i="14" s="1"/>
  <c r="K37" i="14" s="1"/>
  <c r="L37" i="14" s="1"/>
  <c r="I34" i="14"/>
  <c r="J34" i="14" s="1"/>
  <c r="K34" i="14" s="1"/>
  <c r="L34" i="14" s="1"/>
  <c r="I16" i="14"/>
  <c r="J16" i="14" s="1"/>
  <c r="K16" i="14" s="1"/>
  <c r="L16" i="14" s="1"/>
  <c r="I6" i="14"/>
  <c r="J6" i="14" s="1"/>
  <c r="K6" i="14" s="1"/>
  <c r="L6" i="14" s="1"/>
  <c r="I38" i="14"/>
  <c r="J38" i="14" s="1"/>
  <c r="K38" i="14" s="1"/>
  <c r="L38" i="14" s="1"/>
  <c r="I13" i="14"/>
  <c r="J13" i="14" s="1"/>
  <c r="K13" i="14" s="1"/>
  <c r="L13" i="14" s="1"/>
  <c r="I31" i="14"/>
  <c r="J31" i="14" s="1"/>
  <c r="K31" i="14" s="1"/>
  <c r="L31" i="14" s="1"/>
  <c r="I7" i="14"/>
  <c r="J7" i="14" s="1"/>
  <c r="K7" i="14" s="1"/>
  <c r="L7" i="14" s="1"/>
  <c r="I22" i="14"/>
  <c r="J22" i="14" s="1"/>
  <c r="K22" i="14" s="1"/>
  <c r="L22" i="14" s="1"/>
  <c r="I42" i="14"/>
  <c r="J42" i="14" s="1"/>
  <c r="K42" i="14" s="1"/>
  <c r="L42" i="14" s="1"/>
  <c r="T23" i="12"/>
  <c r="U23" i="12"/>
  <c r="V23" i="12"/>
  <c r="D54" i="8"/>
  <c r="D49" i="8" s="1"/>
  <c r="T27" i="12"/>
  <c r="V27" i="12"/>
  <c r="U27" i="12"/>
  <c r="U55" i="8" a="1"/>
  <c r="U55" i="8" s="1"/>
  <c r="T50" i="8"/>
  <c r="AB15" i="11"/>
  <c r="AB7" i="11" s="1"/>
  <c r="Z3" i="11" s="1"/>
  <c r="AA3" i="11" s="1"/>
  <c r="N14" i="11"/>
  <c r="N15" i="11" s="1"/>
  <c r="AD14" i="11" l="1"/>
  <c r="AD12" i="11"/>
  <c r="V55" i="8" a="1"/>
  <c r="V55" i="8" s="1"/>
  <c r="U50" i="8"/>
  <c r="U25" i="12"/>
  <c r="T25" i="12"/>
  <c r="V25" i="12"/>
  <c r="U16" i="12"/>
  <c r="V16" i="12"/>
  <c r="T16" i="12"/>
  <c r="N16" i="11"/>
  <c r="L18" i="13"/>
  <c r="D32" i="14" s="1"/>
  <c r="V57" i="8"/>
  <c r="U53" i="8"/>
  <c r="U52" i="8"/>
  <c r="U48" i="8" s="1"/>
  <c r="U54" i="8"/>
  <c r="U49" i="8" s="1"/>
  <c r="N19" i="13"/>
  <c r="AD6" i="13"/>
  <c r="P15" i="13"/>
  <c r="F34" i="14" s="1"/>
  <c r="F33" i="14"/>
  <c r="O15" i="13"/>
  <c r="AD18" i="13"/>
  <c r="AE4" i="13"/>
  <c r="O18" i="13" s="1"/>
  <c r="AC18" i="13"/>
  <c r="AE3" i="13"/>
  <c r="O17" i="13" s="1"/>
  <c r="AC17" i="13"/>
  <c r="AD17" i="13"/>
  <c r="V56" i="8" a="1"/>
  <c r="V56" i="8" s="1"/>
  <c r="U51" i="8"/>
  <c r="T37" i="12"/>
  <c r="V37" i="12"/>
  <c r="U37" i="12"/>
  <c r="V24" i="12"/>
  <c r="T24" i="12"/>
  <c r="U24" i="12"/>
  <c r="V51" i="8" l="1"/>
  <c r="W56" i="8" a="1"/>
  <c r="W56" i="8" s="1"/>
  <c r="N15" i="13"/>
  <c r="E34" i="14"/>
  <c r="E33" i="14"/>
  <c r="V50" i="8"/>
  <c r="W55" i="8" a="1"/>
  <c r="W55" i="8" s="1"/>
  <c r="N18" i="13"/>
  <c r="E32" i="14" s="1"/>
  <c r="F32" i="14"/>
  <c r="O16" i="13"/>
  <c r="AE6" i="13"/>
  <c r="AE2" i="13" s="1"/>
  <c r="AD2" i="13"/>
  <c r="N17" i="13"/>
  <c r="E31" i="14" s="1"/>
  <c r="F31" i="14"/>
  <c r="V53" i="8"/>
  <c r="W57" i="8"/>
  <c r="V52" i="8"/>
  <c r="V48" i="8" s="1"/>
  <c r="V54" i="8"/>
  <c r="V49" i="8" s="1"/>
  <c r="AE12" i="11"/>
  <c r="M12" i="11" s="1"/>
  <c r="L12" i="11" s="1"/>
  <c r="AE14" i="11"/>
  <c r="M14" i="11" s="1"/>
  <c r="M15" i="11" l="1"/>
  <c r="L14" i="11"/>
  <c r="L15" i="11" s="1"/>
  <c r="W52" i="8"/>
  <c r="W48" i="8" s="1"/>
  <c r="W53" i="8"/>
  <c r="X57" i="8"/>
  <c r="W54" i="8"/>
  <c r="W49" i="8" s="1"/>
  <c r="X55" i="8" a="1"/>
  <c r="X55" i="8" s="1"/>
  <c r="W50" i="8"/>
  <c r="X56" i="8" a="1"/>
  <c r="X56" i="8" s="1"/>
  <c r="W51" i="8"/>
  <c r="F30" i="14"/>
  <c r="N16" i="13"/>
  <c r="E30" i="14" s="1"/>
  <c r="Y56" i="8" l="1" a="1"/>
  <c r="Y56" i="8" s="1"/>
  <c r="X51" i="8"/>
  <c r="Y55" i="8" a="1"/>
  <c r="Y55" i="8" s="1"/>
  <c r="X50" i="8"/>
  <c r="L16" i="13"/>
  <c r="D30" i="14" s="1"/>
  <c r="L16" i="11"/>
  <c r="L10" i="11"/>
  <c r="M10" i="13" s="1"/>
  <c r="X52" i="8"/>
  <c r="X48" i="8" s="1"/>
  <c r="Y57" i="8"/>
  <c r="X53" i="8"/>
  <c r="X54" i="8"/>
  <c r="X49" i="8" s="1"/>
  <c r="L17" i="13"/>
  <c r="D31" i="14" s="1"/>
  <c r="M16" i="11"/>
  <c r="G9" i="11" s="1"/>
  <c r="M10" i="11"/>
  <c r="N10" i="13" s="1"/>
  <c r="Y52" i="8" l="1"/>
  <c r="Y48" i="8" s="1"/>
  <c r="Z57" i="8"/>
  <c r="Y53" i="8"/>
  <c r="J10" i="13" s="1"/>
  <c r="G10" i="13" s="1"/>
  <c r="Y54" i="8"/>
  <c r="Y49" i="8" s="1"/>
  <c r="Z55" i="8" a="1"/>
  <c r="Z55" i="8" s="1"/>
  <c r="Y50" i="8"/>
  <c r="Z56" i="8" a="1"/>
  <c r="Z56" i="8" s="1"/>
  <c r="Y51" i="8"/>
  <c r="AA56" i="8" l="1" a="1"/>
  <c r="AA56" i="8" s="1"/>
  <c r="Z51" i="8"/>
  <c r="Z52" i="8"/>
  <c r="Z48" i="8" s="1"/>
  <c r="Z53" i="8"/>
  <c r="AA57" i="8"/>
  <c r="Z54" i="8"/>
  <c r="Z49" i="8" s="1"/>
  <c r="AA55" i="8" a="1"/>
  <c r="AA55" i="8" s="1"/>
  <c r="Z50" i="8"/>
  <c r="AA53" i="8" l="1"/>
  <c r="AB57" i="8"/>
  <c r="AA52" i="8"/>
  <c r="AA48" i="8" s="1"/>
  <c r="AA54" i="8"/>
  <c r="AA49" i="8" s="1"/>
  <c r="AA50" i="8"/>
  <c r="AB55" i="8" a="1"/>
  <c r="AB55" i="8" s="1"/>
  <c r="AB56" i="8" a="1"/>
  <c r="AB56" i="8" s="1"/>
  <c r="AA51" i="8"/>
  <c r="AC56" i="8" l="1" a="1"/>
  <c r="AC56" i="8" s="1"/>
  <c r="AB51" i="8"/>
  <c r="AC57" i="8"/>
  <c r="AB52" i="8"/>
  <c r="AB48" i="8" s="1"/>
  <c r="AB53" i="8"/>
  <c r="AB54" i="8"/>
  <c r="AB49" i="8" s="1"/>
  <c r="AB50" i="8"/>
  <c r="AC55" i="8" a="1"/>
  <c r="AC55" i="8" s="1"/>
  <c r="AC52" i="8" l="1"/>
  <c r="AC48" i="8" s="1"/>
  <c r="AD57" i="8"/>
  <c r="AC53" i="8"/>
  <c r="AC54" i="8"/>
  <c r="AC49" i="8" s="1"/>
  <c r="AC50" i="8"/>
  <c r="AD55" i="8" a="1"/>
  <c r="AD55" i="8" s="1"/>
  <c r="AC51" i="8"/>
  <c r="AD56" i="8" a="1"/>
  <c r="AD56" i="8" s="1"/>
  <c r="AD51" i="8" l="1"/>
  <c r="AE56" i="8" a="1"/>
  <c r="AE56" i="8" s="1"/>
  <c r="AE51" i="8" s="1"/>
  <c r="AD53" i="8"/>
  <c r="AD52" i="8"/>
  <c r="AD48" i="8" s="1"/>
  <c r="AE57" i="8"/>
  <c r="AD54" i="8"/>
  <c r="AD49" i="8" s="1"/>
  <c r="AD50" i="8"/>
  <c r="AE55" i="8" a="1"/>
  <c r="AE55" i="8" s="1"/>
  <c r="AE50" i="8" l="1"/>
  <c r="AF55" i="8"/>
  <c r="AE53" i="8"/>
  <c r="B9" i="9"/>
  <c r="AE52" i="8"/>
  <c r="AE48" i="8" s="1"/>
  <c r="J10" i="8"/>
  <c r="AF57" i="8"/>
  <c r="AE54" i="8"/>
  <c r="AF54" i="8" l="1"/>
  <c r="AF56" i="8" s="1"/>
  <c r="AE49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<sst xmlns="http://schemas.openxmlformats.org/spreadsheetml/2006/main" count="1295" uniqueCount="517">
  <si>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</si>
  <si>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</si>
  <si>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</si>
  <si>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</si>
  <si>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</si>
  <si>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</si>
  <si>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</si>
  <si>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</si>
  <si>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</si>
  <si>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</si>
  <si>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</si>
  <si>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</si>
  <si>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</si>
  <si>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</si>
  <si>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</si>
  <si>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</si>
  <si>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</si>
  <si>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</si>
  <si>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</si>
  <si>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</si>
  <si>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</si>
  <si>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</si>
  <si>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</si>
  <si>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</si>
  <si>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</si>
  <si>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</si>
  <si>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</si>
  <si>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</si>
  <si>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</si>
  <si>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</si>
  <si>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</si>
  <si>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</si>
  <si>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</si>
  <si>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</si>
  <si>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</si>
  <si>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</si>
  <si>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</si>
  <si>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</si>
  <si>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</si>
  <si>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</si>
  <si>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</si>
  <si>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</si>
  <si>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</si>
  <si>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</si>
  <si>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</si>
  <si>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</si>
  <si>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</si>
  <si>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</si>
  <si>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</si>
  <si>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</si>
  <si>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</si>
  <si>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</si>
  <si>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</si>
  <si>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</si>
  <si>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</si>
  <si>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</si>
  <si>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</si>
  <si>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</si>
  <si>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</si>
  <si>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</si>
  <si>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</si>
  <si>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</si>
  <si>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</si>
  <si>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</si>
  <si>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</si>
  <si>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</si>
  <si>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</si>
  <si>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</si>
  <si>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</si>
  <si>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</si>
  <si>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</si>
  <si>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</si>
  <si>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</si>
  <si>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</si>
  <si>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</si>
  <si>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</si>
  <si>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</si>
  <si>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</si>
  <si>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</si>
  <si>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</si>
  <si>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</si>
  <si>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</si>
  <si>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</si>
  <si>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</si>
  <si>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</si>
  <si>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</si>
  <si>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</si>
  <si>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</si>
  <si>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</si>
  <si>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</si>
  <si>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</si>
  <si>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</si>
  <si>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</si>
  <si>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</si>
  <si>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</si>
  <si>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</si>
  <si>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</si>
  <si>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</si>
  <si>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</si>
  <si>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</si>
  <si>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</si>
  <si>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</si>
  <si>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</si>
  <si>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</si>
  <si>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</si>
  <si>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</si>
  <si>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</si>
  <si>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</si>
  <si>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</si>
  <si>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</si>
  <si>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</si>
  <si>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</si>
  <si>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</si>
  <si>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</si>
  <si>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</si>
  <si>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</si>
  <si>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</si>
  <si>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</si>
  <si>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</si>
  <si>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</si>
  <si>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</si>
  <si>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</si>
  <si>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</si>
  <si>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</si>
  <si>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</si>
  <si>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</si>
  <si>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</si>
  <si>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</si>
  <si>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</si>
  <si>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</si>
  <si>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</si>
  <si>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</si>
  <si>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</si>
  <si>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</si>
  <si>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</si>
  <si>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</si>
  <si>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</si>
  <si>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</si>
  <si>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</si>
  <si>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</si>
  <si>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</si>
  <si>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</si>
  <si>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</si>
  <si>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</si>
  <si>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</si>
  <si>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</si>
  <si>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</si>
  <si>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</si>
  <si>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</si>
  <si>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</si>
  <si>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</si>
  <si>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</si>
  <si>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</si>
  <si>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</si>
  <si>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</si>
  <si>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</si>
  <si>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</si>
  <si>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</si>
  <si>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</si>
  <si>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</si>
  <si>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</si>
  <si>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</si>
  <si>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</si>
  <si>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</si>
  <si>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</si>
  <si>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</si>
  <si>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</si>
  <si>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</si>
  <si>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</si>
  <si>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</si>
  <si>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</si>
  <si>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</si>
  <si>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</si>
  <si>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</si>
  <si>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</si>
  <si>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</si>
  <si>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</si>
  <si>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</si>
  <si>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</si>
  <si>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</si>
  <si>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</si>
  <si>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</si>
  <si>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</si>
  <si>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</si>
  <si>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</si>
  <si>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</si>
  <si>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</si>
  <si>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</si>
  <si>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</si>
  <si>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</si>
  <si>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</si>
  <si>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</si>
  <si>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</si>
  <si>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</si>
  <si>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</si>
  <si>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</si>
  <si>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</si>
  <si>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</si>
  <si>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</si>
  <si>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</si>
  <si>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</si>
  <si>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</si>
  <si>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</si>
  <si>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</si>
  <si>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</si>
  <si>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</si>
  <si>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</si>
  <si>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</si>
  <si>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</si>
  <si>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</si>
  <si>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</si>
  <si>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</si>
  <si>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</si>
  <si>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</si>
  <si>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</si>
  <si>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</si>
  <si>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</si>
  <si>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</si>
  <si>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</si>
  <si>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</si>
  <si>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</si>
  <si>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</si>
  <si>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</si>
  <si>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</si>
  <si>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</si>
  <si>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</si>
  <si>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</si>
  <si>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</si>
  <si>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</si>
  <si>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</si>
  <si>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</si>
  <si>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</si>
  <si>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</si>
  <si>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</si>
  <si>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</si>
  <si>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</si>
  <si>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</si>
  <si>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</si>
  <si>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</si>
  <si>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</si>
  <si>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</si>
  <si>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</si>
  <si>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</si>
  <si>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</si>
  <si>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</si>
  <si>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</si>
  <si>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</si>
  <si>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</si>
  <si>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</si>
  <si>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</si>
  <si>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</si>
  <si>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</si>
  <si>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</si>
  <si>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</si>
  <si>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</si>
  <si>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</si>
  <si>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</si>
  <si>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</si>
  <si>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</si>
  <si>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</si>
  <si>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</si>
  <si>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</si>
  <si>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</si>
  <si>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</si>
  <si>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</si>
  <si>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</si>
  <si>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</si>
  <si>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</si>
  <si>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</si>
  <si>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</si>
  <si>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</si>
  <si>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</si>
  <si>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</si>
  <si>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</si>
  <si>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</si>
  <si>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</si>
  <si>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</si>
  <si>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</si>
  <si>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</si>
  <si>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</si>
  <si>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</si>
  <si>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</si>
  <si>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</si>
  <si>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</si>
  <si>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</si>
  <si>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</si>
  <si>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</si>
  <si>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</si>
  <si>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</si>
  <si>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</si>
  <si>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</si>
  <si>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</si>
  <si>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</si>
  <si>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</si>
  <si>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</si>
  <si>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</si>
  <si>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</si>
  <si>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</si>
  <si>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</si>
  <si>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</si>
  <si>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</si>
  <si>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</si>
  <si>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</si>
  <si>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</si>
  <si>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</si>
  <si>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</si>
  <si>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</si>
  <si>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</si>
  <si>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</si>
  <si>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</si>
  <si>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</si>
  <si>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</si>
  <si>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</si>
  <si>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</si>
  <si>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</si>
  <si>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</si>
  <si>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</si>
  <si>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</si>
  <si>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</si>
  <si>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</si>
  <si>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</si>
  <si>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</si>
  <si>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</si>
  <si>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</si>
  <si>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</si>
  <si>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</si>
  <si>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</si>
  <si>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</si>
  <si>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</si>
  <si>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</si>
  <si>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</si>
  <si>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</si>
  <si>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</si>
  <si>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</si>
  <si>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</si>
  <si>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</si>
  <si>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</si>
  <si>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</si>
  <si>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</si>
  <si>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</si>
  <si>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</si>
  <si>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</si>
  <si>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</si>
  <si>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</si>
  <si>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</si>
  <si>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</si>
  <si>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</si>
  <si>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</si>
  <si>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</si>
  <si>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</si>
  <si>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</si>
  <si>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</si>
  <si>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</si>
  <si>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</si>
  <si>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</si>
  <si>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</si>
  <si>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</si>
  <si>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</si>
  <si>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</si>
  <si>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</si>
  <si>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</si>
  <si>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</si>
  <si>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</si>
  <si>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</si>
  <si>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</si>
  <si>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</si>
  <si>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</si>
  <si>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</si>
  <si>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</si>
  <si>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</si>
  <si>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</si>
  <si>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</si>
  <si>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</si>
  <si>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</si>
  <si>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</si>
  <si>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</si>
  <si>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</si>
  <si>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</si>
  <si>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</si>
  <si>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</si>
  <si>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</si>
  <si>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</si>
  <si>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</si>
  <si>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</si>
  <si>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</si>
  <si>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</si>
  <si>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</si>
  <si>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</si>
  <si>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</si>
  <si>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</si>
  <si>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</si>
  <si>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</si>
  <si>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</si>
  <si>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</si>
  <si>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</si>
  <si>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</si>
  <si>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</si>
  <si>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</si>
  <si>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</si>
  <si>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</si>
  <si>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</si>
  <si>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</si>
  <si>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</si>
  <si>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</si>
  <si>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</si>
  <si>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</si>
  <si>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</si>
  <si>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</si>
  <si>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</si>
  <si>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</si>
  <si>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</si>
  <si>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</si>
  <si>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</si>
  <si>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</si>
  <si>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</si>
  <si>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</si>
  <si>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</si>
  <si>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</si>
  <si>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</si>
  <si>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</si>
  <si>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</si>
  <si>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</si>
  <si>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</si>
  <si>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</si>
  <si>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</si>
  <si>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</si>
  <si>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</si>
  <si>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</si>
  <si>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</si>
  <si>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</si>
  <si>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</si>
  <si>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</si>
  <si>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</si>
  <si>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</si>
  <si>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</si>
  <si>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</si>
  <si>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</si>
  <si>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</si>
  <si>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</si>
  <si>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</si>
  <si>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</si>
  <si>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95875</t>
  </si>
  <si>
    <t>93590</t>
  </si>
  <si>
    <t>SERVIÇOS PRELIMINARES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</si>
  <si>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</si>
  <si>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</si>
  <si>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</si>
  <si>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</si>
  <si>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</si>
  <si>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</si>
  <si>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</si>
  <si>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</si>
  <si>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</si>
  <si>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</si>
  <si>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</si>
  <si>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</si>
  <si>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</si>
  <si>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</si>
  <si>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</si>
  <si>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007</t>
  </si>
  <si>
    <t>COMPOSIÇÃO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</si>
  <si>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</si>
  <si>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</si>
  <si>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Comprimento meio-fio direito+ comprimento do eixo+ comprimento meio-fio esquerdo.</t>
  </si>
  <si>
    <t>TRANSPORTE AREIA E PÓ DE PEDRA PARA ASSENTAMENTO DOS BLOCOS=consumo de areia por m³ (0,0677 m³) x área da pista X DMT 10km pq é em Caçapava.</t>
  </si>
  <si>
    <t>Contagem em planta.</t>
  </si>
  <si>
    <t>TRANSPORTE  BLOCO INTERTRAVADO DE CONCRETO=  area das faixas elevadas x volume do bloco de concreto (0,22x0,11x0,10) x  DMT de 15km (pq São Sepé é 45KM, esses 15km é o restante que faltou).</t>
  </si>
  <si>
    <t>TRANSPORTE  BLOCO INTERTRAVADO DE CONCRETO=  área das faixas elevadas x volume do bloco de concreto (0,22x0,11x0,10) x  DMT de 30km (pq São Sepé é 45KM, esses são os primeiros 30km).</t>
  </si>
  <si>
    <t>ÁREA DA PISTA = largura das pistas x comprimento pistas OU        Medir em planta no autocad.</t>
  </si>
  <si>
    <t>Schaiane da Silva Lopes</t>
  </si>
  <si>
    <t>RS142294-4</t>
  </si>
  <si>
    <t>92406</t>
  </si>
  <si>
    <t>Meio-Fio</t>
  </si>
  <si>
    <t>Pavimentação da pista de rolamento com bloco de concreto 16 faces</t>
  </si>
  <si>
    <t>ADMINISTRAÇÃO LOCAL</t>
  </si>
  <si>
    <t>TERRAPLANAGEM</t>
  </si>
  <si>
    <t>12377498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</si>
  <si>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</si>
  <si>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</si>
  <si>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</si>
  <si>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</si>
  <si>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</si>
  <si>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</si>
  <si>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</si>
  <si>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 xml:space="preserve">3.Terraplanagem </t>
  </si>
  <si>
    <t>4.Pavimantação - Pista</t>
  </si>
  <si>
    <t>028</t>
  </si>
  <si>
    <t xml:space="preserve">Área total da via, medida em planta e dividida proporcionalmente em dois trechos. </t>
  </si>
  <si>
    <t xml:space="preserve">EXTENSÃO TOTAL DO MF= comprimento dos MF + 2m de dobra de MF em cada esquina OU Medir a dobra do MF em planta no autocad. ESTE QUANTITATIVO CONTEMPLA OS MEIO-FIOS NECESSÁRIOS PARA TRAVAMENTO DA PAVIMENTAÇÃO. </t>
  </si>
  <si>
    <t>PASSEIO PÚBLICO</t>
  </si>
  <si>
    <t>5.Pesseio Público</t>
  </si>
  <si>
    <t xml:space="preserve">7.Sinalização Vertical </t>
  </si>
  <si>
    <t>Lado Direito</t>
  </si>
  <si>
    <t>Lado Esquerdo</t>
  </si>
  <si>
    <t>Passeio Público</t>
  </si>
  <si>
    <t>Calçamento da Rua Barão do Rio Branco</t>
  </si>
  <si>
    <t>QUANTITATIVO REALIZADO EM PLANTA. (DIMENSIONAMENTO = EXTENSÃO DO PASSEIO X 0,50M)</t>
  </si>
  <si>
    <t>CALÇAMENTO DA RUA BARÃO DO RIO BRANCO</t>
  </si>
  <si>
    <t xml:space="preserve">PAVIMENTAÇÃO </t>
  </si>
  <si>
    <t>Visitas Técnicas Semanais (4x4x1,90 = 30,40) - meses x semanas x horas</t>
  </si>
  <si>
    <t>TRECHO 01 (Primeiros 31,10m)</t>
  </si>
  <si>
    <t>TRECHO 02 (últimos 31,10m)</t>
  </si>
  <si>
    <t>5.Passeio Público</t>
  </si>
  <si>
    <t>94273</t>
  </si>
  <si>
    <t>TRANSPORTE DO MF=volume do MF (1x0,14x0,30=0,042m) x comprimento dos passeios x DMT de 30km (pq São Sepé é 45KM, coloco os 30km inciais depois o restante).</t>
  </si>
  <si>
    <t>TRANSPORTE DO MF=volume do MF (1x0,14x0,30=0,042m) x comprimento dos passeios x DMT de 15km (pq São Sepé é 45KM, esses 15km é o restante que faltou).</t>
  </si>
  <si>
    <t>Faixa de travessia de pedestre</t>
  </si>
  <si>
    <t>7.Faixa de travessia de pedestre</t>
  </si>
  <si>
    <t xml:space="preserve">6.Sinalização Vertical </t>
  </si>
  <si>
    <t>FAIXA ELEVADA PARA TRAVESSIA DE PEDESTRE EM BLOCO DE CONCRETO</t>
  </si>
  <si>
    <t>102509</t>
  </si>
  <si>
    <t>030</t>
  </si>
  <si>
    <t xml:space="preserve">COMPOSIÇÃO </t>
  </si>
  <si>
    <t>Canaleta de concreto para drenagem</t>
  </si>
  <si>
    <t>025</t>
  </si>
  <si>
    <t>031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</si>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</sst>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0" xfId="33" applyFont="1" applyBorder="1" applyAlignment="1">
      <alignment horizontal="left" vertical="center"/>
    </xf>
    <xf numFmtId="0" fontId="8" fillId="0" borderId="32" xfId="33" applyFont="1" applyBorder="1" applyAlignment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9" fillId="0" borderId="0" xfId="0" applyFont="1" applyAlignment="1">
      <alignment horizontal="center" textRotation="90"/>
    </xf>
    <xf numFmtId="0" fontId="0" fillId="0" borderId="0" xfId="33" applyFont="1" applyAlignment="1">
      <alignment horizontal="center" vertical="center"/>
    </xf>
    <xf numFmtId="0" fontId="0" fillId="0" borderId="32" xfId="33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23" fillId="0" borderId="32" xfId="33" applyFont="1" applyBorder="1" applyAlignment="1">
      <alignment horizontal="center"/>
    </xf>
    <xf numFmtId="4" fontId="17" fillId="0" borderId="32" xfId="33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top"/>
    </xf>
    <xf numFmtId="4" fontId="17" fillId="0" borderId="32" xfId="33" applyNumberFormat="1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24" fillId="0" borderId="31" xfId="35" applyFont="1" applyBorder="1" applyAlignment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4" fillId="0" borderId="32" xfId="33" applyFont="1" applyBorder="1" applyAlignment="1">
      <alignment horizontal="center" vertical="center"/>
    </xf>
    <xf numFmtId="0" fontId="17" fillId="0" borderId="32" xfId="33" applyFont="1" applyBorder="1" applyAlignment="1">
      <alignment horizontal="center" vertic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24" fillId="17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4" fontId="0" fillId="6" borderId="48" xfId="0" applyNumberFormat="1" applyFill="1" applyBorder="1" applyAlignment="1" applyProtection="1">
      <alignment horizontal="center"/>
      <protection locked="0"/>
    </xf>
    <xf numFmtId="176" fontId="24" fillId="8" borderId="32" xfId="0" applyNumberFormat="1" applyFont="1" applyFill="1" applyBorder="1" applyAlignment="1">
      <alignment horizontal="center" shrinkToFit="1"/>
    </xf>
    <xf numFmtId="177" fontId="56" fillId="0" borderId="30" xfId="48" applyNumberFormat="1" applyFill="1" applyBorder="1" applyAlignment="1" applyProtection="1">
      <alignment horizontal="center" shrinkToFit="1"/>
    </xf>
    <xf numFmtId="177" fontId="56" fillId="0" borderId="14" xfId="48" applyNumberFormat="1" applyFill="1" applyBorder="1" applyAlignment="1" applyProtection="1">
      <alignment horizontal="center" shrinkToFit="1"/>
    </xf>
    <xf numFmtId="10" fontId="56" fillId="0" borderId="34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1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77" fontId="56" fillId="0" borderId="47" xfId="48" applyNumberFormat="1" applyFill="1" applyBorder="1" applyAlignment="1" applyProtection="1">
      <alignment horizontal="center" shrinkToFit="1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23" fillId="0" borderId="14" xfId="37" applyNumberFormat="1" applyFont="1" applyFill="1" applyBorder="1" applyAlignment="1" applyProtection="1">
      <alignment horizontal="center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23" fillId="6" borderId="33" xfId="0" applyFont="1" applyFill="1" applyBorder="1" applyAlignment="1">
      <alignment horizontal="left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0" fillId="0" borderId="14" xfId="0" applyBorder="1" applyAlignment="1">
      <alignment horizontal="center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559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85" t="str">
        <f>CHOOSE(MATCH(Objeto,{"PM","PO"}),"PLANILHA MÚLTIPLA ","PLANILHA ORÇAMENTÁRIA ")&amp; Versao</f>
        <v>PLANILHA MÚLTIPLA v3.0.5</v>
      </c>
      <c r="F2" s="585"/>
      <c r="G2" s="585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85"/>
      <c r="F3" s="585"/>
      <c r="G3" s="585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84" t="str">
        <f>IF($O$3&lt;&gt;2,"DOCUMENTAÇÃO DA PROPOSTA","PROPOSTA: Para visualizar/preencher esta seção, altere o TIPO DE ORÇAMENTO para 'Proposto'")</f>
        <v>DOCUMENTAÇÃO DA PROPOSTA</v>
      </c>
      <c r="C8" s="584"/>
      <c r="D8" s="584"/>
      <c r="E8" s="584"/>
      <c r="F8" s="584"/>
      <c r="G8" s="584"/>
      <c r="H8" s="584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84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84"/>
      <c r="D16" s="584"/>
      <c r="E16" s="584"/>
      <c r="F16" s="584"/>
      <c r="G16" s="584"/>
      <c r="H16" s="584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84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84"/>
      <c r="D20" s="584"/>
      <c r="E20" s="584"/>
      <c r="F20" s="584"/>
      <c r="G20" s="584"/>
      <c r="H20" s="584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558" priority="70" stopIfTrue="1">
      <formula>TIPOORCAMENTO="Licitado"</formula>
    </cfRule>
  </conditionalFormatting>
  <conditionalFormatting sqref="C18:G18 E22:E24">
    <cfRule type="expression" dxfId="557" priority="71" stopIfTrue="1">
      <formula>TIPOORCAMENTO&lt;&gt;"Licitado"</formula>
    </cfRule>
  </conditionalFormatting>
  <conditionalFormatting sqref="C22">
    <cfRule type="expression" dxfId="556" priority="73" stopIfTrue="1">
      <formula>OR(TIPOORCAMENTO&lt;&gt;"Licitado",ACOMPANHAMENTO&lt;&gt;"PLE")</formula>
    </cfRule>
  </conditionalFormatting>
  <conditionalFormatting sqref="G22">
    <cfRule type="expression" dxfId="555" priority="74" stopIfTrue="1">
      <formula>OR(TIPOORCAMENTO&lt;&gt;"Licitado",ACOMPANHAMENTO&lt;&gt;"BM")</formula>
    </cfRule>
  </conditionalFormatting>
  <conditionalFormatting sqref="B16:H16 B20:H20">
    <cfRule type="expression" dxfId="554" priority="599" stopIfTrue="1">
      <formula>$O$3&lt;&gt;2</formula>
    </cfRule>
  </conditionalFormatting>
  <conditionalFormatting sqref="B8:H8">
    <cfRule type="expression" dxfId="553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7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21" sqref="A21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IF(AUTOEVENTO="Manual",IF(OFFSET(EVENTOS!$F$14,PLE!$B1,0)&gt;0,"F",""),IF(PLE!B1&lt;=MAX(CÁLCULO!$M$15:$M$49),"F",""))</f>
        <v>#REF!</v>
      </c>
      <c r="B1" s="286" t="e">
        <f ca="1">OFFSET(B1,-1,0)+1</f>
        <v>#REF!</v>
      </c>
      <c r="C1" s="671" t="e">
        <f ca="1">IF(AUTOEVENTO="Manual",IF($B1&lt;&gt;1,OFFSET(EVENTOS!$D$14,$B1,0),0),IF(B1&lt;=MAX(CÁLCULO!$M$15:$M$49),VLOOKUP($B1,CÁLCULO!$M$15:$N$49,2,FALSE),0))</f>
        <v>#REF!</v>
      </c>
      <c r="D1" s="671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612" t="s">
        <v>141</v>
      </c>
      <c r="AE3" s="612"/>
      <c r="AF3" s="612"/>
    </row>
    <row r="4" spans="1:33" ht="15.75" x14ac:dyDescent="0.2">
      <c r="B4" s="83"/>
      <c r="C4" s="83"/>
      <c r="H4" s="84" t="str">
        <f>import.recurso</f>
        <v>OGU</v>
      </c>
      <c r="AD4" s="613" t="s">
        <v>144</v>
      </c>
      <c r="AE4" s="613"/>
      <c r="AF4" s="613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74" t="str">
        <f>IF(TIPOORCAMENTO="Licitado","Nº CTEF","")</f>
        <v/>
      </c>
      <c r="AF6" s="674"/>
    </row>
    <row r="7" spans="1:33" x14ac:dyDescent="0.2">
      <c r="B7" s="645">
        <f>Import.CR</f>
        <v>0</v>
      </c>
      <c r="C7" s="645"/>
      <c r="D7" s="236">
        <f>Import.SICONV</f>
        <v>0</v>
      </c>
      <c r="E7" s="43"/>
      <c r="H7" s="644" t="str">
        <f>Import.Proponente</f>
        <v>Prefeitura Municipal de Caçapava do Sul</v>
      </c>
      <c r="I7" s="644"/>
      <c r="J7" s="644"/>
      <c r="K7" s="644"/>
      <c r="L7" s="644"/>
      <c r="M7" s="644"/>
      <c r="N7" s="644"/>
      <c r="O7" s="645" t="str">
        <f>Import.Apelido</f>
        <v>Calçamento da Rua Barão do Rio Branco</v>
      </c>
      <c r="P7" s="645"/>
      <c r="Q7" s="645"/>
      <c r="R7" s="645"/>
      <c r="S7" s="645"/>
      <c r="T7" s="645"/>
      <c r="U7" s="645"/>
      <c r="V7" s="645" t="str">
        <f>IF(TIPOORCAMENTO="Licitado",Import.empresa,Import.DescLote)</f>
        <v>Lote Único - Empreitada Preço Global</v>
      </c>
      <c r="W7" s="645"/>
      <c r="X7" s="645"/>
      <c r="Y7" s="645"/>
      <c r="Z7" s="645"/>
      <c r="AA7" s="645"/>
      <c r="AB7" s="645"/>
      <c r="AC7" s="645"/>
      <c r="AD7" s="645"/>
      <c r="AE7" s="675" t="str">
        <f>IF(TIPOORCAMENTO="Licitado",Import.CTEF,"")</f>
        <v/>
      </c>
      <c r="AF7" s="675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66">
        <v>1</v>
      </c>
      <c r="K9" s="666"/>
      <c r="M9" s="307" t="s">
        <v>285</v>
      </c>
      <c r="N9" s="667" t="str">
        <f ca="1">TEXT(IF(PLE.Medicao=1,Import.DataInicioObra,OFFSET($H$25,0,1+(PLE.Medicao-$I$26)*2-2)+1),"dd/mm/aaaa")&amp;" a "&amp;TEXT(OFFSET($H$25,0,1+(PLE.Medicao-$I$26)*2),"dd/mm/aaaa")</f>
        <v>01/07/2024 a 00/01/1900</v>
      </c>
      <c r="O9" s="667"/>
      <c r="P9" s="667"/>
      <c r="Q9" s="667"/>
      <c r="R9" s="667"/>
      <c r="S9" s="667"/>
      <c r="T9" s="667"/>
      <c r="U9" s="308"/>
      <c r="X9" s="307" t="s">
        <v>297</v>
      </c>
      <c r="Y9" s="665" t="e">
        <f ca="1">OFFSET($I$26,1+8*(ROUNDUP(($J$9-0)/((COLUMN($AG$14)-COLUMN($G$14)-1)/25*12),0)-1),ROUNDDOWN((($J$9-0)-OFFSET($I$26,8*(ROUNDUP(($J$9-0)/((COLUMN($AG$14)-COLUMN($G$14)-1)/25*12),0)-1),0))*(2+1/12),0))</f>
        <v>#DIV/0!</v>
      </c>
      <c r="Z9" s="665"/>
      <c r="AD9" s="307" t="s">
        <v>298</v>
      </c>
      <c r="AE9" s="665" t="e">
        <f ca="1">OFFSET($I$26,3+8*(ROUNDUP(($J$9-0)/((COLUMN($AG$14)-COLUMN($G$14)-1)/25*12),0)-1),ROUNDDOWN((($J$9-0)-OFFSET($I$26,8*(ROUNDUP(($J$9-0)/((COLUMN($AG$14)-COLUMN($G$14)-1)/25*12),0)-1),0))*(2+1/12),0))</f>
        <v>#DIV/0!</v>
      </c>
      <c r="AF9" s="665"/>
    </row>
    <row r="11" spans="1:33" ht="65.25" customHeight="1" x14ac:dyDescent="0.2">
      <c r="A11" s="290" t="s">
        <v>292</v>
      </c>
      <c r="C11" s="668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68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TRECHO 01 (Primeiros 31,10m)</v>
      </c>
      <c r="J11" s="292" t="str">
        <f ca="1">IF(J$12&gt;CÁLCULO.NúmeroDeFrentes,"",OFFSET(CÁLCULO!$P$12,0,J$12))</f>
        <v>TRECHO 02 (últimos 31,10m)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52" t="s">
        <v>268</v>
      </c>
      <c r="C12" s="652" t="s">
        <v>293</v>
      </c>
      <c r="D12" s="652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52"/>
      <c r="C13" s="652"/>
      <c r="D13" s="652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72" t="s">
        <v>271</v>
      </c>
      <c r="D15" s="672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IF(AUTOEVENTO="Manual",IF(OFFSET(EVENTOS!$F$14,PLE!$B16,0)&gt;0,"F",""),IF(PLE!B16&lt;=MAX(CÁLCULO!$M$15:$M$49),"F",""))</f>
        <v/>
      </c>
      <c r="B16" s="286">
        <f ca="1">OFFSET(B16,-1,0)+1</f>
        <v>2</v>
      </c>
      <c r="C16" s="671" t="str">
        <f ca="1">IF(AUTOEVENTO="Manual",IF($B16&lt;&gt;1,OFFSET(EVENTOS!$D$14,$B16,0),0),IF(B16&lt;=MAX(CÁLCULO!$M$15:$M$49),VLOOKUP($B16,CÁLCULO!$M$15:$N$49,2,FALSE),0))</f>
        <v>Serviços Preliminares</v>
      </c>
      <c r="D16" s="671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IF(AUTOEVENTO="Manual",IF(OFFSET(EVENTOS!$F$14,PLE!$B17,0)&gt;0,"F",""),IF(PLE!B17&lt;=MAX(CÁLCULO!$M$15:$M$49),"F",""))</f>
        <v/>
      </c>
      <c r="B17" s="286">
        <f ca="1">OFFSET(B17,-1,0)+1</f>
        <v>3</v>
      </c>
      <c r="C17" s="671" t="str">
        <f ca="1">IF(AUTOEVENTO="Manual",IF($B17&lt;&gt;1,OFFSET(EVENTOS!$D$14,$B17,0),0),IF(B17&lt;=MAX(CÁLCULO!$M$15:$M$49),VLOOKUP($B17,CÁLCULO!$M$15:$N$49,2,FALSE),0))</f>
        <v xml:space="preserve">Terraplanagem </v>
      </c>
      <c r="D17" s="671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IF(AUTOEVENTO="Manual",IF(OFFSET(EVENTOS!$F$14,PLE!$B18,0)&gt;0,"F",""),IF(PLE!B18&lt;=MAX(CÁLCULO!$M$15:$M$49),"F",""))</f>
        <v/>
      </c>
      <c r="B18" s="286">
        <f ca="1">OFFSET(B18,-1,0)+1</f>
        <v>4</v>
      </c>
      <c r="C18" s="671" t="str">
        <f ca="1">IF(AUTOEVENTO="Manual",IF($B18&lt;&gt;1,OFFSET(EVENTOS!$D$14,$B18,0),0),IF(B18&lt;=MAX(CÁLCULO!$M$15:$M$49),VLOOKUP($B18,CÁLCULO!$M$15:$N$49,2,FALSE),0))</f>
        <v>Pavimantação - Pista</v>
      </c>
      <c r="D18" s="671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77" customFormat="1" x14ac:dyDescent="0.2">
      <c r="A19" s="7" t="str">
        <f ca="1">IF(AUTOEVENTO="Manual",IF(OFFSET(EVENTOS!$F$14,PLE!$B19,0)&gt;0,"F",""),IF(PLE!B19&lt;=MAX(CÁLCULO!$M$15:$M$49),"F",""))</f>
        <v/>
      </c>
      <c r="B19" s="286">
        <f ca="1">OFFSET(B19,-1,0)+1</f>
        <v>5</v>
      </c>
      <c r="C19" s="671" t="str">
        <f ca="1">IF(AUTOEVENTO="Manual",IF($B19&lt;&gt;1,OFFSET(EVENTOS!$D$14,$B19,0),0),IF(B19&lt;=MAX(CÁLCULO!$M$15:$M$49),VLOOKUP($B19,CÁLCULO!$M$15:$N$49,2,FALSE),0))</f>
        <v>Passeio Público</v>
      </c>
      <c r="D19" s="671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s="573" customFormat="1" x14ac:dyDescent="0.2">
      <c r="A20" s="7" t="str">
        <f ca="1">IF(AUTOEVENTO="Manual",IF(OFFSET(EVENTOS!$F$14,PLE!$B20,0)&gt;0,"F",""),IF(PLE!B20&lt;=MAX(CÁLCULO!$M$15:$M$49),"F",""))</f>
        <v/>
      </c>
      <c r="B20" s="286">
        <f t="shared" ref="B20" ca="1" si="1">OFFSET(B20,-1,0)+1</f>
        <v>6</v>
      </c>
      <c r="C20" s="671" t="str">
        <f ca="1">IF(AUTOEVENTO="Manual",IF($B20&lt;&gt;1,OFFSET(EVENTOS!$D$14,$B20,0),0),IF(B20&lt;=MAX(CÁLCULO!$M$15:$M$49),VLOOKUP($B20,CÁLCULO!$M$15:$N$49,2,FALSE),0))</f>
        <v xml:space="preserve">Sinalização Vertical </v>
      </c>
      <c r="D20" s="671"/>
      <c r="F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</row>
    <row r="21" spans="1:32" s="583" customFormat="1" x14ac:dyDescent="0.2">
      <c r="A21" s="7" t="str">
        <f ca="1">IF(AUTOEVENTO="Manual",IF(OFFSET(EVENTOS!$F$14,PLE!$B21,0)&gt;0,"F",""),IF(PLE!B21&lt;=MAX(CÁLCULO!$M$15:$M$49),"F",""))</f>
        <v/>
      </c>
      <c r="B21" s="286">
        <f ca="1">OFFSET(B21,-1,0)+1</f>
        <v>7</v>
      </c>
      <c r="C21" s="671" t="str">
        <f ca="1">IF(AUTOEVENTO="Manual",IF($B21&lt;&gt;1,OFFSET(EVENTOS!$D$14,$B21,0),0),IF(B21&lt;=MAX(CÁLCULO!$M$15:$M$49),VLOOKUP($B21,CÁLCULO!$M$15:$N$49,2,FALSE),0))</f>
        <v>Faixa de travessia de pedestre</v>
      </c>
      <c r="D21" s="671"/>
      <c r="F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</row>
    <row r="22" spans="1:32" ht="4.5" customHeight="1" x14ac:dyDescent="0.2">
      <c r="A22" s="7" t="s">
        <v>248</v>
      </c>
      <c r="B22" s="484"/>
      <c r="C22" s="485"/>
      <c r="D22" s="486"/>
      <c r="F22" s="138"/>
      <c r="H22" s="484"/>
      <c r="I22" s="485"/>
      <c r="J22" s="485"/>
      <c r="K22" s="485"/>
      <c r="L22" s="485"/>
      <c r="M22" s="485"/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85"/>
      <c r="AB22" s="485"/>
      <c r="AC22" s="485"/>
      <c r="AD22" s="485"/>
      <c r="AE22" s="485"/>
      <c r="AF22" s="486"/>
    </row>
    <row r="23" spans="1:32" x14ac:dyDescent="0.2">
      <c r="A23" s="7" t="s">
        <v>248</v>
      </c>
    </row>
    <row r="24" spans="1:32" x14ac:dyDescent="0.2">
      <c r="A24" s="7" t="s">
        <v>248</v>
      </c>
      <c r="I24" s="669" t="s">
        <v>300</v>
      </c>
      <c r="J24" s="669"/>
      <c r="K24" s="669"/>
      <c r="L24" s="669"/>
      <c r="M24" s="669"/>
      <c r="N24" s="669"/>
      <c r="O24" s="669"/>
      <c r="P24" s="669"/>
      <c r="Q24" s="669"/>
      <c r="R24" s="669"/>
      <c r="S24" s="669"/>
      <c r="T24" s="669"/>
      <c r="U24" s="669"/>
      <c r="V24" s="669"/>
      <c r="W24" s="669"/>
      <c r="X24" s="669"/>
      <c r="Y24" s="669"/>
      <c r="Z24" s="669"/>
      <c r="AA24" s="669"/>
      <c r="AB24" s="669"/>
      <c r="AC24" s="669"/>
      <c r="AD24" s="669"/>
      <c r="AE24" s="669"/>
      <c r="AF24" s="669"/>
    </row>
    <row r="25" spans="1:32" x14ac:dyDescent="0.2">
      <c r="A25" s="7" t="s">
        <v>248</v>
      </c>
      <c r="I25" s="673"/>
      <c r="J25" s="653"/>
      <c r="K25" s="653"/>
      <c r="L25" s="653"/>
      <c r="M25" s="653"/>
      <c r="N25" s="653"/>
      <c r="O25" s="653"/>
      <c r="P25" s="653"/>
      <c r="Q25" s="653"/>
      <c r="R25" s="653"/>
      <c r="S25" s="653"/>
      <c r="T25" s="653"/>
      <c r="U25" s="653"/>
      <c r="V25" s="653"/>
      <c r="W25" s="653"/>
      <c r="X25" s="653"/>
      <c r="Y25" s="653"/>
      <c r="Z25" s="653"/>
      <c r="AA25" s="653"/>
      <c r="AB25" s="653"/>
      <c r="AC25" s="653"/>
      <c r="AD25" s="653"/>
      <c r="AE25" s="653"/>
      <c r="AF25" s="670"/>
    </row>
    <row r="26" spans="1:32" x14ac:dyDescent="0.2">
      <c r="A26" s="7" t="s">
        <v>248</v>
      </c>
      <c r="D26" s="309" t="s">
        <v>301</v>
      </c>
      <c r="I26" s="654">
        <f>IF(PLE.Medicao&lt;=12,1,TRUNC((PLE.Medicao - 2)/11,0) * 11 + 1)</f>
        <v>1</v>
      </c>
      <c r="J26" s="654"/>
      <c r="K26" s="654">
        <f>I26+1</f>
        <v>2</v>
      </c>
      <c r="L26" s="654"/>
      <c r="M26" s="654">
        <f>K26+1</f>
        <v>3</v>
      </c>
      <c r="N26" s="654"/>
      <c r="O26" s="654">
        <f>M26+1</f>
        <v>4</v>
      </c>
      <c r="P26" s="654"/>
      <c r="Q26" s="654">
        <f>O26+1</f>
        <v>5</v>
      </c>
      <c r="R26" s="654"/>
      <c r="S26" s="654">
        <f>Q26+1</f>
        <v>6</v>
      </c>
      <c r="T26" s="654"/>
      <c r="U26" s="654">
        <f>S26+1</f>
        <v>7</v>
      </c>
      <c r="V26" s="654"/>
      <c r="W26" s="654">
        <f>U26+1</f>
        <v>8</v>
      </c>
      <c r="X26" s="654"/>
      <c r="Y26" s="654">
        <f>W26+1</f>
        <v>9</v>
      </c>
      <c r="Z26" s="654"/>
      <c r="AA26" s="654">
        <f>Y26+1</f>
        <v>10</v>
      </c>
      <c r="AB26" s="654"/>
      <c r="AC26" s="654">
        <f>AA26+1</f>
        <v>11</v>
      </c>
      <c r="AD26" s="654"/>
      <c r="AE26" s="654">
        <f>AC26+1</f>
        <v>12</v>
      </c>
      <c r="AF26" s="654"/>
    </row>
    <row r="27" spans="1:32" x14ac:dyDescent="0.2">
      <c r="A27" s="7" t="s">
        <v>248</v>
      </c>
      <c r="D27" s="661" t="s">
        <v>285</v>
      </c>
      <c r="H27" s="310" t="s">
        <v>302</v>
      </c>
      <c r="I27" s="664" t="e">
        <f ca="1">ROUND(I28,2)/ORÇAMENTO!$X$15</f>
        <v>#DIV/0!</v>
      </c>
      <c r="J27" s="664"/>
      <c r="K27" s="657" t="e">
        <f ca="1">ROUND(K28,2)/ORÇAMENTO!$X$15</f>
        <v>#DIV/0!</v>
      </c>
      <c r="L27" s="657"/>
      <c r="M27" s="658" t="e">
        <f ca="1">ROUND(M28,2)/ORÇAMENTO!$X$15</f>
        <v>#DIV/0!</v>
      </c>
      <c r="N27" s="658"/>
      <c r="O27" s="657" t="e">
        <f ca="1">ROUND(O28,2)/ORÇAMENTO!$X$15</f>
        <v>#DIV/0!</v>
      </c>
      <c r="P27" s="657"/>
      <c r="Q27" s="658" t="e">
        <f ca="1">ROUND(Q28,2)/ORÇAMENTO!$X$15</f>
        <v>#DIV/0!</v>
      </c>
      <c r="R27" s="658"/>
      <c r="S27" s="657" t="e">
        <f ca="1">ROUND(S28,2)/ORÇAMENTO!$X$15</f>
        <v>#DIV/0!</v>
      </c>
      <c r="T27" s="657"/>
      <c r="U27" s="658" t="e">
        <f ca="1">ROUND(U28,2)/ORÇAMENTO!$X$15</f>
        <v>#DIV/0!</v>
      </c>
      <c r="V27" s="658"/>
      <c r="W27" s="657" t="e">
        <f ca="1">ROUND(W28,2)/ORÇAMENTO!$X$15</f>
        <v>#DIV/0!</v>
      </c>
      <c r="X27" s="657"/>
      <c r="Y27" s="658" t="e">
        <f ca="1">ROUND(Y28,2)/ORÇAMENTO!$X$15</f>
        <v>#DIV/0!</v>
      </c>
      <c r="Z27" s="658"/>
      <c r="AA27" s="657" t="e">
        <f ca="1">ROUND(AA28,2)/ORÇAMENTO!$X$15</f>
        <v>#DIV/0!</v>
      </c>
      <c r="AB27" s="657"/>
      <c r="AC27" s="658" t="e">
        <f ca="1">ROUND(AC28,2)/ORÇAMENTO!$X$15</f>
        <v>#DIV/0!</v>
      </c>
      <c r="AD27" s="658"/>
      <c r="AE27" s="657" t="e">
        <f ca="1">ROUND(AE28,2)/ORÇAMENTO!$X$15</f>
        <v>#DIV/0!</v>
      </c>
      <c r="AF27" s="657"/>
    </row>
    <row r="28" spans="1:32" x14ac:dyDescent="0.2">
      <c r="A28" s="7" t="s">
        <v>248</v>
      </c>
      <c r="D28" s="661"/>
      <c r="H28" s="12" t="s">
        <v>303</v>
      </c>
      <c r="I28" s="656" t="e">
        <f ca="1">IF(I26=1,I30,ROUND(I30,2)-ROUND(SUMIF(CÁLCULO!$AX$15:$BH$49,"&lt;="&amp;PLE!I26-1,CÁLCULO!$AB$15:$AL$49)*(1+CÁLCULO.TotalAdmLocal/(ORÇAMENTO!$X$15-CÁLCULO.TotalAdmLocal)),2))</f>
        <v>#DIV/0!</v>
      </c>
      <c r="J28" s="656"/>
      <c r="K28" s="656" t="e">
        <f ca="1">ROUND(K30,2)-ROUND(I30,2)</f>
        <v>#DIV/0!</v>
      </c>
      <c r="L28" s="656"/>
      <c r="M28" s="655" t="e">
        <f ca="1">ROUND(M30,2)-ROUND(K30,2)</f>
        <v>#DIV/0!</v>
      </c>
      <c r="N28" s="655"/>
      <c r="O28" s="656" t="e">
        <f ca="1">ROUND(O30,2)-ROUND(M30,2)</f>
        <v>#DIV/0!</v>
      </c>
      <c r="P28" s="656"/>
      <c r="Q28" s="655" t="e">
        <f ca="1">ROUND(Q30,2)-ROUND(O30,2)</f>
        <v>#DIV/0!</v>
      </c>
      <c r="R28" s="655"/>
      <c r="S28" s="656" t="e">
        <f ca="1">ROUND(S30,2)-ROUND(Q30,2)</f>
        <v>#DIV/0!</v>
      </c>
      <c r="T28" s="656"/>
      <c r="U28" s="655" t="e">
        <f ca="1">ROUND(U30,2)-ROUND(S30,2)</f>
        <v>#DIV/0!</v>
      </c>
      <c r="V28" s="655"/>
      <c r="W28" s="656" t="e">
        <f ca="1">ROUND(W30,2)-ROUND(U30,2)</f>
        <v>#DIV/0!</v>
      </c>
      <c r="X28" s="656"/>
      <c r="Y28" s="655" t="e">
        <f ca="1">ROUND(Y30,2)-ROUND(W30,2)</f>
        <v>#DIV/0!</v>
      </c>
      <c r="Z28" s="655"/>
      <c r="AA28" s="656" t="e">
        <f ca="1">ROUND(AA30,2)-ROUND(Y30,2)</f>
        <v>#DIV/0!</v>
      </c>
      <c r="AB28" s="656"/>
      <c r="AC28" s="655" t="e">
        <f ca="1">ROUND(AC30,2)-ROUND(AA30,2)</f>
        <v>#DIV/0!</v>
      </c>
      <c r="AD28" s="655"/>
      <c r="AE28" s="656" t="e">
        <f ca="1">ROUND(AE30,2)-ROUND(AC30,2)</f>
        <v>#DIV/0!</v>
      </c>
      <c r="AF28" s="656"/>
    </row>
    <row r="29" spans="1:32" x14ac:dyDescent="0.2">
      <c r="A29" s="7" t="s">
        <v>248</v>
      </c>
      <c r="D29" s="661" t="s">
        <v>289</v>
      </c>
      <c r="H29" s="310" t="s">
        <v>302</v>
      </c>
      <c r="I29" s="663" t="e">
        <f ca="1">ROUND(I30,2)/ORÇAMENTO!$X$15</f>
        <v>#DIV/0!</v>
      </c>
      <c r="J29" s="663"/>
      <c r="K29" s="660" t="e">
        <f ca="1">ROUND(K30,2)/ORÇAMENTO!$X$15</f>
        <v>#DIV/0!</v>
      </c>
      <c r="L29" s="660"/>
      <c r="M29" s="659" t="e">
        <f ca="1">ROUND(M30,2)/ORÇAMENTO!$X$15</f>
        <v>#DIV/0!</v>
      </c>
      <c r="N29" s="659"/>
      <c r="O29" s="660" t="e">
        <f ca="1">ROUND(O30,2)/ORÇAMENTO!$X$15</f>
        <v>#DIV/0!</v>
      </c>
      <c r="P29" s="660"/>
      <c r="Q29" s="659" t="e">
        <f ca="1">ROUND(Q30,2)/ORÇAMENTO!$X$15</f>
        <v>#DIV/0!</v>
      </c>
      <c r="R29" s="659"/>
      <c r="S29" s="660" t="e">
        <f ca="1">ROUND(S30,2)/ORÇAMENTO!$X$15</f>
        <v>#DIV/0!</v>
      </c>
      <c r="T29" s="660"/>
      <c r="U29" s="659" t="e">
        <f ca="1">ROUND(U30,2)/ORÇAMENTO!$X$15</f>
        <v>#DIV/0!</v>
      </c>
      <c r="V29" s="659"/>
      <c r="W29" s="660" t="e">
        <f ca="1">ROUND(W30,2)/ORÇAMENTO!$X$15</f>
        <v>#DIV/0!</v>
      </c>
      <c r="X29" s="660"/>
      <c r="Y29" s="659" t="e">
        <f ca="1">ROUND(Y30,2)/ORÇAMENTO!$X$15</f>
        <v>#DIV/0!</v>
      </c>
      <c r="Z29" s="659"/>
      <c r="AA29" s="660" t="e">
        <f ca="1">ROUND(AA30,2)/ORÇAMENTO!$X$15</f>
        <v>#DIV/0!</v>
      </c>
      <c r="AB29" s="660"/>
      <c r="AC29" s="659" t="e">
        <f ca="1">ROUND(AC30,2)/ORÇAMENTO!$X$15</f>
        <v>#DIV/0!</v>
      </c>
      <c r="AD29" s="659"/>
      <c r="AE29" s="660" t="e">
        <f ca="1">ROUND(AE30,2)/ORÇAMENTO!$X$15</f>
        <v>#DIV/0!</v>
      </c>
      <c r="AF29" s="660"/>
    </row>
    <row r="30" spans="1:32" x14ac:dyDescent="0.2">
      <c r="A30" s="7" t="s">
        <v>248</v>
      </c>
      <c r="D30" s="661"/>
      <c r="H30" s="12" t="s">
        <v>303</v>
      </c>
      <c r="I30" s="662" t="e">
        <f ca="1">SUMIF(CÁLCULO!$AX$15:$BH$49,"&lt;="&amp;PLE!I26,CÁLCULO!$AB$15:$AL$49)*(1+CÁLCULO.TotalAdmLocal/(ORÇAMENTO!$X$15-CÁLCULO.TotalAdmLocal))</f>
        <v>#DIV/0!</v>
      </c>
      <c r="J30" s="662"/>
      <c r="K30" s="656" t="e">
        <f ca="1">SUMIF(CÁLCULO!$AX$15:$BH$49,"&lt;="&amp;PLE!K26,CÁLCULO!$AB$15:$AL$49)*(1+CÁLCULO.TotalAdmLocal/(ORÇAMENTO!$X$15-CÁLCULO.TotalAdmLocal))</f>
        <v>#DIV/0!</v>
      </c>
      <c r="L30" s="656"/>
      <c r="M30" s="655" t="e">
        <f ca="1">SUMIF(CÁLCULO!$AX$15:$BH$49,"&lt;="&amp;PLE!M26,CÁLCULO!$AB$15:$AL$49)*(1+CÁLCULO.TotalAdmLocal/(ORÇAMENTO!$X$15-CÁLCULO.TotalAdmLocal))</f>
        <v>#DIV/0!</v>
      </c>
      <c r="N30" s="655"/>
      <c r="O30" s="656" t="e">
        <f ca="1">SUMIF(CÁLCULO!$AX$15:$BH$49,"&lt;="&amp;PLE!O26,CÁLCULO!$AB$15:$AL$49)*(1+CÁLCULO.TotalAdmLocal/(ORÇAMENTO!$X$15-CÁLCULO.TotalAdmLocal))</f>
        <v>#DIV/0!</v>
      </c>
      <c r="P30" s="656"/>
      <c r="Q30" s="655" t="e">
        <f ca="1">SUMIF(CÁLCULO!$AX$15:$BH$49,"&lt;="&amp;PLE!Q26,CÁLCULO!$AB$15:$AL$49)*(1+CÁLCULO.TotalAdmLocal/(ORÇAMENTO!$X$15-CÁLCULO.TotalAdmLocal))</f>
        <v>#DIV/0!</v>
      </c>
      <c r="R30" s="655"/>
      <c r="S30" s="656" t="e">
        <f ca="1">SUMIF(CÁLCULO!$AX$15:$BH$49,"&lt;="&amp;PLE!S26,CÁLCULO!$AB$15:$AL$49)*(1+CÁLCULO.TotalAdmLocal/(ORÇAMENTO!$X$15-CÁLCULO.TotalAdmLocal))</f>
        <v>#DIV/0!</v>
      </c>
      <c r="T30" s="656"/>
      <c r="U30" s="655" t="e">
        <f ca="1">SUMIF(CÁLCULO!$AX$15:$BH$49,"&lt;="&amp;PLE!U26,CÁLCULO!$AB$15:$AL$49)*(1+CÁLCULO.TotalAdmLocal/(ORÇAMENTO!$X$15-CÁLCULO.TotalAdmLocal))</f>
        <v>#DIV/0!</v>
      </c>
      <c r="V30" s="655"/>
      <c r="W30" s="656" t="e">
        <f ca="1">SUMIF(CÁLCULO!$AX$15:$BH$49,"&lt;="&amp;PLE!W26,CÁLCULO!$AB$15:$AL$49)*(1+CÁLCULO.TotalAdmLocal/(ORÇAMENTO!$X$15-CÁLCULO.TotalAdmLocal))</f>
        <v>#DIV/0!</v>
      </c>
      <c r="X30" s="656"/>
      <c r="Y30" s="655" t="e">
        <f ca="1">SUMIF(CÁLCULO!$AX$15:$BH$49,"&lt;="&amp;PLE!Y26,CÁLCULO!$AB$15:$AL$49)*(1+CÁLCULO.TotalAdmLocal/(ORÇAMENTO!$X$15-CÁLCULO.TotalAdmLocal))</f>
        <v>#DIV/0!</v>
      </c>
      <c r="Z30" s="655"/>
      <c r="AA30" s="656" t="e">
        <f ca="1">SUMIF(CÁLCULO!$AX$15:$BH$49,"&lt;="&amp;PLE!AA26,CÁLCULO!$AB$15:$AL$49)*(1+CÁLCULO.TotalAdmLocal/(ORÇAMENTO!$X$15-CÁLCULO.TotalAdmLocal))</f>
        <v>#DIV/0!</v>
      </c>
      <c r="AB30" s="656"/>
      <c r="AC30" s="655" t="e">
        <f ca="1">SUMIF(CÁLCULO!$AX$15:$BH$49,"&lt;="&amp;PLE!AC26,CÁLCULO!$AB$15:$AL$49)*(1+CÁLCULO.TotalAdmLocal/(ORÇAMENTO!$X$15-CÁLCULO.TotalAdmLocal))</f>
        <v>#DIV/0!</v>
      </c>
      <c r="AD30" s="655"/>
      <c r="AE30" s="656" t="e">
        <f ca="1">SUMIF(CÁLCULO!$AX$15:$BH$49,"&lt;="&amp;PLE!AE26,CÁLCULO!$AB$15:$AL$49)*(1+CÁLCULO.TotalAdmLocal/(ORÇAMENTO!$X$15-CÁLCULO.TotalAdmLocal))</f>
        <v>#DIV/0!</v>
      </c>
      <c r="AF30" s="656"/>
    </row>
    <row r="31" spans="1:32" ht="20.25" customHeight="1" x14ac:dyDescent="0.2">
      <c r="A31" s="7" t="s">
        <v>248</v>
      </c>
    </row>
    <row r="32" spans="1:32" ht="15" x14ac:dyDescent="0.2">
      <c r="A32" s="7" t="s">
        <v>248</v>
      </c>
      <c r="B32" s="630" t="str">
        <f>Import.Município</f>
        <v>Caçapava do Sul/RS</v>
      </c>
      <c r="C32" s="630"/>
      <c r="D32" s="630"/>
      <c r="U32" s="145"/>
      <c r="V32" s="145"/>
      <c r="W32" s="145"/>
      <c r="X32" s="145"/>
      <c r="Y32" s="193"/>
      <c r="Z32" s="193"/>
      <c r="AA32" s="193"/>
      <c r="AB32" s="193"/>
      <c r="AC32" s="193"/>
      <c r="AD32" s="193"/>
    </row>
    <row r="33" spans="1:23" x14ac:dyDescent="0.2">
      <c r="A33" s="7" t="s">
        <v>248</v>
      </c>
      <c r="B33" s="10" t="s">
        <v>190</v>
      </c>
      <c r="U33" s="194" t="s">
        <v>304</v>
      </c>
    </row>
    <row r="34" spans="1:23" x14ac:dyDescent="0.2">
      <c r="A34" s="7" t="s">
        <v>248</v>
      </c>
      <c r="I34" s="80"/>
      <c r="U34" s="78" t="s">
        <v>109</v>
      </c>
      <c r="W34" s="311">
        <f t="array" ref="W34:W37">Import.RespFiscalização</f>
        <v>0</v>
      </c>
    </row>
    <row r="35" spans="1:23" x14ac:dyDescent="0.2">
      <c r="A35" s="7" t="s">
        <v>248</v>
      </c>
      <c r="B35" s="625">
        <f ca="1">DADOS!$F$47</f>
        <v>45518</v>
      </c>
      <c r="C35" s="625"/>
      <c r="D35" s="625"/>
      <c r="I35" s="80"/>
      <c r="U35" s="78" t="s">
        <v>128</v>
      </c>
      <c r="W35" s="311">
        <v>0</v>
      </c>
    </row>
    <row r="36" spans="1:23" x14ac:dyDescent="0.2">
      <c r="A36" s="7" t="s">
        <v>248</v>
      </c>
      <c r="B36" s="146" t="s">
        <v>191</v>
      </c>
      <c r="C36" s="1"/>
      <c r="D36" s="1"/>
      <c r="I36" s="80"/>
      <c r="U36" s="78" t="s">
        <v>110</v>
      </c>
      <c r="W36" s="311">
        <v>0</v>
      </c>
    </row>
    <row r="37" spans="1:23" x14ac:dyDescent="0.2">
      <c r="U37" s="78" t="s">
        <v>111</v>
      </c>
      <c r="W37" s="13">
        <v>0</v>
      </c>
    </row>
  </sheetData>
  <sheetProtection password="BD1F" sheet="1" objects="1" scenarios="1" autoFilter="0"/>
  <autoFilter ref="A13:A36"/>
  <mergeCells count="100">
    <mergeCell ref="C1:D1"/>
    <mergeCell ref="AD3:AF3"/>
    <mergeCell ref="AD4:AF4"/>
    <mergeCell ref="AE6:AF6"/>
    <mergeCell ref="H7:N7"/>
    <mergeCell ref="O7:U7"/>
    <mergeCell ref="B7:C7"/>
    <mergeCell ref="AE7:AF7"/>
    <mergeCell ref="V7:AD7"/>
    <mergeCell ref="B12:B13"/>
    <mergeCell ref="O25:P25"/>
    <mergeCell ref="C18:D18"/>
    <mergeCell ref="C15:D15"/>
    <mergeCell ref="C16:D16"/>
    <mergeCell ref="C12:D13"/>
    <mergeCell ref="C17:D17"/>
    <mergeCell ref="I25:J25"/>
    <mergeCell ref="C20:D20"/>
    <mergeCell ref="C19:D19"/>
    <mergeCell ref="C21:D21"/>
    <mergeCell ref="Q26:R26"/>
    <mergeCell ref="J9:K9"/>
    <mergeCell ref="N9:T9"/>
    <mergeCell ref="C11:D11"/>
    <mergeCell ref="M26:N26"/>
    <mergeCell ref="O26:P26"/>
    <mergeCell ref="K25:L25"/>
    <mergeCell ref="I26:J26"/>
    <mergeCell ref="S26:T26"/>
    <mergeCell ref="Q25:R25"/>
    <mergeCell ref="S25:T25"/>
    <mergeCell ref="M25:N25"/>
    <mergeCell ref="I24:AF24"/>
    <mergeCell ref="AE25:AF25"/>
    <mergeCell ref="AC25:AD25"/>
    <mergeCell ref="W25:X25"/>
    <mergeCell ref="AA25:AB25"/>
    <mergeCell ref="Y25:Z25"/>
    <mergeCell ref="Y9:Z9"/>
    <mergeCell ref="AE9:AF9"/>
    <mergeCell ref="AE26:AF26"/>
    <mergeCell ref="S27:T27"/>
    <mergeCell ref="Y28:Z28"/>
    <mergeCell ref="U28:V28"/>
    <mergeCell ref="AA29:AB29"/>
    <mergeCell ref="AA27:AB27"/>
    <mergeCell ref="U27:V27"/>
    <mergeCell ref="W26:X26"/>
    <mergeCell ref="AE28:AF28"/>
    <mergeCell ref="AC27:AD27"/>
    <mergeCell ref="AC28:AD28"/>
    <mergeCell ref="AE27:AF27"/>
    <mergeCell ref="AC26:AD26"/>
    <mergeCell ref="D27:D28"/>
    <mergeCell ref="K30:L30"/>
    <mergeCell ref="K29:L29"/>
    <mergeCell ref="I29:J29"/>
    <mergeCell ref="K28:L28"/>
    <mergeCell ref="I28:J28"/>
    <mergeCell ref="K27:L27"/>
    <mergeCell ref="I27:J27"/>
    <mergeCell ref="O30:P30"/>
    <mergeCell ref="S29:T29"/>
    <mergeCell ref="B35:D35"/>
    <mergeCell ref="B32:D32"/>
    <mergeCell ref="D29:D30"/>
    <mergeCell ref="M29:N29"/>
    <mergeCell ref="M30:N30"/>
    <mergeCell ref="I30:J30"/>
    <mergeCell ref="O29:P29"/>
    <mergeCell ref="AC30:AD30"/>
    <mergeCell ref="AC29:AD29"/>
    <mergeCell ref="AE30:AF30"/>
    <mergeCell ref="Q30:R30"/>
    <mergeCell ref="Y30:Z30"/>
    <mergeCell ref="AA30:AB30"/>
    <mergeCell ref="AE29:AF29"/>
    <mergeCell ref="Q29:R29"/>
    <mergeCell ref="S30:T30"/>
    <mergeCell ref="W30:X30"/>
    <mergeCell ref="W29:X29"/>
    <mergeCell ref="U29:V29"/>
    <mergeCell ref="Y29:Z29"/>
    <mergeCell ref="U30:V30"/>
    <mergeCell ref="U25:V25"/>
    <mergeCell ref="K26:L26"/>
    <mergeCell ref="M28:N28"/>
    <mergeCell ref="AA28:AB28"/>
    <mergeCell ref="S28:T28"/>
    <mergeCell ref="O27:P27"/>
    <mergeCell ref="M27:N27"/>
    <mergeCell ref="Y27:Z27"/>
    <mergeCell ref="W27:X27"/>
    <mergeCell ref="Q27:R27"/>
    <mergeCell ref="O28:P28"/>
    <mergeCell ref="Q28:R28"/>
    <mergeCell ref="W28:X28"/>
    <mergeCell ref="U26:V26"/>
    <mergeCell ref="Y26:Z26"/>
    <mergeCell ref="AA26:AB26"/>
  </mergeCells>
  <phoneticPr fontId="38" type="noConversion"/>
  <conditionalFormatting sqref="F1:F2 F20">
    <cfRule type="expression" dxfId="133" priority="415" stopIfTrue="1">
      <formula>IF(OR(ACOMPANHAMENTO="BM",F$12&gt;CÁLCULO.NúmeroDeFrentes),TRUE,PLE.ValorDoEvento=0)</formula>
    </cfRule>
    <cfRule type="cellIs" dxfId="132" priority="416" stopIfTrue="1" operator="equal">
      <formula>$J$9</formula>
    </cfRule>
  </conditionalFormatting>
  <conditionalFormatting sqref="I27:AF27">
    <cfRule type="expression" dxfId="131" priority="417" stopIfTrue="1">
      <formula>I26=$J$9</formula>
    </cfRule>
  </conditionalFormatting>
  <conditionalFormatting sqref="I28:AF28">
    <cfRule type="expression" dxfId="130" priority="418" stopIfTrue="1">
      <formula>I26=$J$9</formula>
    </cfRule>
  </conditionalFormatting>
  <conditionalFormatting sqref="I29:AF29">
    <cfRule type="expression" dxfId="129" priority="419" stopIfTrue="1">
      <formula>I26=$J$9</formula>
    </cfRule>
  </conditionalFormatting>
  <conditionalFormatting sqref="I30:AF30">
    <cfRule type="expression" dxfId="128" priority="420" stopIfTrue="1">
      <formula>I26=$J$9</formula>
    </cfRule>
  </conditionalFormatting>
  <conditionalFormatting sqref="H1:AF1 H20:AF20">
    <cfRule type="expression" dxfId="127" priority="432" stopIfTrue="1">
      <formula>IF(OR(ACOMPANHAMENTO="BM",TIPOORCAMENTO="Proposto",H$12&gt;CÁLCULO.NúmeroDeFrentes),TRUE,PLE.ValorDoEvento=0)</formula>
    </cfRule>
    <cfRule type="cellIs" dxfId="126" priority="433" stopIfTrue="1" operator="equal">
      <formula>$J$9</formula>
    </cfRule>
  </conditionalFormatting>
  <conditionalFormatting sqref="AE6:AE7">
    <cfRule type="expression" dxfId="125" priority="421" stopIfTrue="1">
      <formula>TIPOORCAMENTO&lt;&gt;"Licitado"</formula>
    </cfRule>
  </conditionalFormatting>
  <conditionalFormatting sqref="N9:T9">
    <cfRule type="expression" dxfId="124" priority="422" stopIfTrue="1">
      <formula>COLUMN(N9)&gt;COLUMN($AF$12)</formula>
    </cfRule>
    <cfRule type="expression" dxfId="123" priority="423" stopIfTrue="1">
      <formula>$N$9="DIGITE A DATA DA MEDIÇÃO"</formula>
    </cfRule>
  </conditionalFormatting>
  <conditionalFormatting sqref="I9:M9 U9:AF9">
    <cfRule type="expression" dxfId="122" priority="424" stopIfTrue="1">
      <formula>COLUMN(I9)&gt;COLUMN($AF$12)</formula>
    </cfRule>
  </conditionalFormatting>
  <conditionalFormatting sqref="F16:F17">
    <cfRule type="expression" dxfId="121" priority="21" stopIfTrue="1">
      <formula>IF(OR(ACOMPANHAMENTO="BM",F$12&gt;CÁLCULO.NúmeroDeFrentes),TRUE,PLE.ValorDoEvento=0)</formula>
    </cfRule>
    <cfRule type="cellIs" dxfId="120" priority="22" stopIfTrue="1" operator="equal">
      <formula>$J$9</formula>
    </cfRule>
  </conditionalFormatting>
  <conditionalFormatting sqref="H16:AF17">
    <cfRule type="expression" dxfId="119" priority="23" stopIfTrue="1">
      <formula>IF(OR(ACOMPANHAMENTO="BM",TIPOORCAMENTO="Proposto",H$12&gt;CÁLCULO.NúmeroDeFrentes),TRUE,PLE.ValorDoEvento=0)</formula>
    </cfRule>
    <cfRule type="cellIs" dxfId="118" priority="24" stopIfTrue="1" operator="equal">
      <formula>$J$9</formula>
    </cfRule>
  </conditionalFormatting>
  <conditionalFormatting sqref="F18">
    <cfRule type="expression" dxfId="117" priority="13" stopIfTrue="1">
      <formula>IF(OR(ACOMPANHAMENTO="BM",F$12&gt;CÁLCULO.NúmeroDeFrentes),TRUE,PLE.ValorDoEvento=0)</formula>
    </cfRule>
    <cfRule type="cellIs" dxfId="116" priority="14" stopIfTrue="1" operator="equal">
      <formula>$J$9</formula>
    </cfRule>
  </conditionalFormatting>
  <conditionalFormatting sqref="H18:AF18">
    <cfRule type="expression" dxfId="115" priority="15" stopIfTrue="1">
      <formula>IF(OR(ACOMPANHAMENTO="BM",TIPOORCAMENTO="Proposto",H$12&gt;CÁLCULO.NúmeroDeFrentes),TRUE,PLE.ValorDoEvento=0)</formula>
    </cfRule>
    <cfRule type="cellIs" dxfId="114" priority="16" stopIfTrue="1" operator="equal">
      <formula>$J$9</formula>
    </cfRule>
  </conditionalFormatting>
  <conditionalFormatting sqref="F19">
    <cfRule type="expression" dxfId="113" priority="5" stopIfTrue="1">
      <formula>IF(OR(ACOMPANHAMENTO="BM",F$12&gt;CÁLCULO.NúmeroDeFrentes),TRUE,PLE.ValorDoEvento=0)</formula>
    </cfRule>
    <cfRule type="cellIs" dxfId="112" priority="6" stopIfTrue="1" operator="equal">
      <formula>$J$9</formula>
    </cfRule>
  </conditionalFormatting>
  <conditionalFormatting sqref="H19:AF19">
    <cfRule type="expression" dxfId="111" priority="7" stopIfTrue="1">
      <formula>IF(OR(ACOMPANHAMENTO="BM",TIPOORCAMENTO="Proposto",H$12&gt;CÁLCULO.NúmeroDeFrentes),TRUE,PLE.ValorDoEvento=0)</formula>
    </cfRule>
    <cfRule type="cellIs" dxfId="110" priority="8" stopIfTrue="1" operator="equal">
      <formula>$J$9</formula>
    </cfRule>
  </conditionalFormatting>
  <conditionalFormatting sqref="F21">
    <cfRule type="expression" dxfId="109" priority="1" stopIfTrue="1">
      <formula>IF(OR(ACOMPANHAMENTO="BM",F$12&gt;CÁLCULO.NúmeroDeFrentes),TRUE,PLE.ValorDoEvento=0)</formula>
    </cfRule>
    <cfRule type="cellIs" dxfId="108" priority="2" stopIfTrue="1" operator="equal">
      <formula>$J$9</formula>
    </cfRule>
  </conditionalFormatting>
  <conditionalFormatting sqref="H21:AF21">
    <cfRule type="expression" dxfId="107" priority="3" stopIfTrue="1">
      <formula>IF(OR(ACOMPANHAMENTO="BM",TIPOORCAMENTO="Proposto",H$12&gt;CÁLCULO.NúmeroDeFrentes),TRUE,PLE.ValorDoEvento=0)</formula>
    </cfRule>
    <cfRule type="cellIs" dxfId="106" priority="4" stopIfTrue="1" operator="equal">
      <formula>$J$9</formula>
    </cfRule>
  </conditionalFormatting>
  <dataValidations count="3">
    <dataValidation type="whole" operator="greaterThan" allowBlank="1" showErrorMessage="1" sqref="F1:F4 I3:AC4 J9:K9 F16:F21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21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607" t="s">
        <v>147</v>
      </c>
      <c r="E3" s="607"/>
      <c r="F3" s="89" t="s">
        <v>148</v>
      </c>
      <c r="G3" s="607" t="s">
        <v>149</v>
      </c>
      <c r="H3" s="607"/>
      <c r="I3" s="607"/>
      <c r="J3" s="681" t="s">
        <v>308</v>
      </c>
      <c r="K3" s="681"/>
      <c r="L3" s="681"/>
      <c r="M3" s="682" t="s">
        <v>309</v>
      </c>
      <c r="N3" s="682"/>
      <c r="O3" s="682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611">
        <f>Import.CR</f>
        <v>0</v>
      </c>
      <c r="E4" s="611"/>
      <c r="F4" s="57">
        <f>Import.SICONV</f>
        <v>0</v>
      </c>
      <c r="G4" s="611" t="str">
        <f>Import.Proponente</f>
        <v>Prefeitura Municipal de Caçapava do Sul</v>
      </c>
      <c r="H4" s="611"/>
      <c r="I4" s="611"/>
      <c r="J4" s="683" t="str">
        <f>Import.Município</f>
        <v>Caçapava do Sul/RS</v>
      </c>
      <c r="K4" s="683"/>
      <c r="L4" s="683"/>
      <c r="M4" s="682"/>
      <c r="N4" s="682"/>
      <c r="O4" s="682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607" t="s">
        <v>204</v>
      </c>
      <c r="E6" s="607"/>
      <c r="F6" s="607"/>
      <c r="G6" s="607"/>
      <c r="H6" s="607"/>
      <c r="I6" s="607"/>
      <c r="J6" s="607"/>
      <c r="K6" s="607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595" t="s">
        <v>211</v>
      </c>
      <c r="D7" s="611" t="str">
        <f>Import.Apelido</f>
        <v>Calçamento da Rua Barão do Rio Branco</v>
      </c>
      <c r="E7" s="611"/>
      <c r="F7" s="611"/>
      <c r="G7" s="611"/>
      <c r="H7" s="611"/>
      <c r="I7" s="611"/>
      <c r="J7" s="611"/>
      <c r="K7" s="611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595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595"/>
      <c r="G9" s="679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$49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79"/>
      <c r="I9" s="679"/>
      <c r="J9" s="679"/>
      <c r="K9" s="680" t="s">
        <v>315</v>
      </c>
      <c r="L9" s="318" t="str">
        <f>$L$13</f>
        <v>Repasse (R$)</v>
      </c>
      <c r="M9" s="318" t="s">
        <v>240</v>
      </c>
      <c r="AD9" s="677"/>
      <c r="AE9" s="677"/>
    </row>
    <row r="10" spans="1:31" ht="12.75" customHeight="1" x14ac:dyDescent="0.2">
      <c r="A10" s="676" t="s">
        <v>316</v>
      </c>
      <c r="C10" s="595"/>
      <c r="G10" s="679"/>
      <c r="H10" s="679"/>
      <c r="I10" s="679"/>
      <c r="J10" s="679"/>
      <c r="K10" s="680"/>
      <c r="L10" s="319">
        <f ca="1">Import.Repasse-L15</f>
        <v>0</v>
      </c>
      <c r="M10" s="320">
        <f ca="1">Import.Contrapartida-M15</f>
        <v>0</v>
      </c>
      <c r="Z10" s="621" t="s">
        <v>218</v>
      </c>
      <c r="AA10" s="621"/>
      <c r="AB10" s="621"/>
      <c r="AD10" s="677" t="s">
        <v>317</v>
      </c>
      <c r="AE10" s="677"/>
    </row>
    <row r="11" spans="1:31" ht="20.100000000000001" customHeight="1" x14ac:dyDescent="0.2">
      <c r="A11" s="676"/>
      <c r="C11" s="595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IF(NOT(ISBLANK(QCI.DescManual)),IF(QCI.Divisao="Calculado","Manual","SemiAuto"),IF(ISERROR(MATCH($A12,ORÇAMENTO!$E$15:$E$49,0)),"Branco","Automático"))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IF(OR($B12="Manual",$B12="SemiAuto"),QCI.DescManual,IF($B12="Automático",INDEX(ORÇAMENTO!$R$15:$R$49,MATCH($A12,ORÇAMENTO!$E$15:$E$49,0)),""))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IF($B12="Branco",0,IF(OR($B12="Manual",$B12="SemiAuto"),QCI.InvManual,INDEX(ORÇAMENTO!X$15:X$49,MATCH($A12,ORÇAMENTO!$E$15:$E$49,0))))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IF($B12="Branco",0,IF($B12="Manual",QCI.CPManual,IF($B12="SemiAuto",ROUND(QCI!$AA$3*QCI.InvManual,2),INDEX(ORÇAMENTO!$AA$15:$AA$49,MATCH($A12,ORÇAMENTO!$E$15:$E$49,0)))))</f>
        <v>0</v>
      </c>
      <c r="AB12">
        <f ca="1">IF($B12="Branco",0,IF($B12="Manual",QCI.OutrosManual,IF($B12="SemiAuto",0,INDEX(ORÇAMENTO!$AB$15:$AB$49,MATCH($A12,ORÇAMENTO!$E$15:$E$49,0)))))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ht="25.5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IF(NOT(ISBLANK(QCI.DescManual)),IF(QCI.Divisao="Calculado","Manual","SemiAuto"),IF(ISERROR(MATCH($A14,ORÇAMENTO!$E$15:$E$49,0)),"Branco","Automático"))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IF(OR($B14="Manual",$B14="SemiAuto"),QCI.DescManual,IF($B14="Automático",INDEX(ORÇAMENTO!$R$15:$R$49,MATCH($A14,ORÇAMENTO!$E$15:$E$49,0)),""))</f>
        <v>CALÇAMENTO DA RUA BARÃO DO RIO BRANCO</v>
      </c>
      <c r="H14" s="120" t="s">
        <v>450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IF($B14="Branco",0,IF(OR($B14="Manual",$B14="SemiAuto"),QCI.InvManual,INDEX(ORÇAMENTO!X$15:X$49,MATCH($A14,ORÇAMENTO!$E$15:$E$49,0))))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IF($B14="Branco",0,IF($B14="Manual",QCI.CPManual,IF($B14="SemiAuto",ROUND(QCI!$AA$3*QCI.InvManual,2),INDEX(ORÇAMENTO!$AA$15:$AA$49,MATCH($A14,ORÇAMENTO!$E$15:$E$49,0)))))</f>
        <v>0</v>
      </c>
      <c r="AB14">
        <f ca="1">IF($B14="Branco",0,IF($B14="Manual",QCI.OutrosManual,IF($B14="SemiAuto",0,INDEX(ORÇAMENTO!$AB$15:$AB$49,MATCH($A14,ORÇAMENTO!$E$15:$E$49,0)))))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78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78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28" t="s">
        <v>462</v>
      </c>
      <c r="E19" s="628"/>
      <c r="F19" s="628"/>
      <c r="G19" s="628"/>
      <c r="H19" s="628"/>
      <c r="I19" s="628"/>
      <c r="J19" s="628"/>
      <c r="K19" s="628"/>
      <c r="L19" s="628"/>
      <c r="M19" s="628"/>
      <c r="N19" s="628"/>
      <c r="O19" s="628"/>
    </row>
    <row r="20" spans="4:15" ht="12.75" customHeight="1" x14ac:dyDescent="0.2">
      <c r="D20" s="628"/>
      <c r="E20" s="628"/>
      <c r="F20" s="628"/>
      <c r="G20" s="628"/>
      <c r="H20" s="628"/>
      <c r="I20" s="628"/>
      <c r="J20" s="628"/>
      <c r="K20" s="628"/>
      <c r="L20" s="628"/>
      <c r="M20" s="628"/>
      <c r="N20" s="628"/>
      <c r="O20" s="628"/>
    </row>
    <row r="21" spans="4:15" ht="12.75" customHeight="1" x14ac:dyDescent="0.2">
      <c r="D21" s="628"/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</row>
    <row r="24" spans="4:15" ht="15" x14ac:dyDescent="0.2">
      <c r="D24" s="630" t="str">
        <f>Import.Município</f>
        <v>Caçapava do Sul/RS</v>
      </c>
      <c r="E24" s="630"/>
      <c r="F24" s="630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25">
        <f ca="1">DADOS!$F$25</f>
        <v>45518</v>
      </c>
      <c r="E27" s="625"/>
      <c r="F27" s="625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D3:E3"/>
    <mergeCell ref="G3:I3"/>
    <mergeCell ref="J3:L3"/>
    <mergeCell ref="M3:O4"/>
    <mergeCell ref="D4:E4"/>
    <mergeCell ref="G4:I4"/>
    <mergeCell ref="J4:L4"/>
    <mergeCell ref="D6:K6"/>
    <mergeCell ref="AD10:AE10"/>
    <mergeCell ref="K15:K16"/>
    <mergeCell ref="C7:C11"/>
    <mergeCell ref="G9:J10"/>
    <mergeCell ref="K9:K10"/>
    <mergeCell ref="AD9:AE9"/>
    <mergeCell ref="D7:K7"/>
    <mergeCell ref="A10:A11"/>
    <mergeCell ref="Z10:AB10"/>
    <mergeCell ref="D27:F27"/>
    <mergeCell ref="D19:O21"/>
    <mergeCell ref="D24:F24"/>
  </mergeCells>
  <phoneticPr fontId="38" type="noConversion"/>
  <conditionalFormatting sqref="T12:V12">
    <cfRule type="expression" dxfId="105" priority="161" stopIfTrue="1">
      <formula>OR($B12="Automático",$B12="Branco")</formula>
    </cfRule>
  </conditionalFormatting>
  <conditionalFormatting sqref="L12">
    <cfRule type="expression" dxfId="104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103" priority="163" stopIfTrue="1">
      <formula>OR($B12="Automático",$B12="Branco",$V12&lt;&gt;"Calculado")</formula>
    </cfRule>
  </conditionalFormatting>
  <conditionalFormatting sqref="M16">
    <cfRule type="expression" dxfId="102" priority="165" stopIfTrue="1">
      <formula>AND($G$9&lt;&gt;"",OR($M$16&lt;Import.CPMinPerc,$M$16&gt;Import.CPMaxPerc))</formula>
    </cfRule>
  </conditionalFormatting>
  <conditionalFormatting sqref="M15">
    <cfRule type="expression" dxfId="101" priority="166" stopIfTrue="1">
      <formula>AND($G$9&lt;&gt;"",$M$15&lt;Import.CPMinAbsoluta)</formula>
    </cfRule>
  </conditionalFormatting>
  <conditionalFormatting sqref="L10:M10">
    <cfRule type="cellIs" dxfId="100" priority="167" stopIfTrue="1" operator="lessThan">
      <formula>0</formula>
    </cfRule>
  </conditionalFormatting>
  <conditionalFormatting sqref="G12">
    <cfRule type="cellIs" dxfId="99" priority="168" stopIfTrue="1" operator="equal">
      <formula>"(digite a descrição aqui)"</formula>
    </cfRule>
  </conditionalFormatting>
  <conditionalFormatting sqref="T14:V14">
    <cfRule type="expression" dxfId="98" priority="1" stopIfTrue="1">
      <formula>OR($B14="Automático",$B14="Branco")</formula>
    </cfRule>
  </conditionalFormatting>
  <conditionalFormatting sqref="W14:X14">
    <cfRule type="expression" dxfId="97" priority="3" stopIfTrue="1">
      <formula>OR($B14="Automático",$B14="Branco",$V14&lt;&gt;"Calculado")</formula>
    </cfRule>
  </conditionalFormatting>
  <conditionalFormatting sqref="G14">
    <cfRule type="cellIs" dxfId="96" priority="4" stopIfTrue="1" operator="equal">
      <formula>"(digite a descrição aqui)"</formula>
    </cfRule>
  </conditionalFormatting>
  <conditionalFormatting sqref="L14">
    <cfRule type="expression" dxfId="95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64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45" sqref="A45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96" t="b">
        <v>0</v>
      </c>
      <c r="B3" s="696"/>
      <c r="E3" s="87"/>
    </row>
    <row r="4" spans="1:41" x14ac:dyDescent="0.2">
      <c r="D4" s="607" t="s">
        <v>149</v>
      </c>
      <c r="E4" s="607"/>
      <c r="F4" s="619" t="s">
        <v>147</v>
      </c>
      <c r="G4" s="619"/>
      <c r="H4" s="619"/>
      <c r="I4" s="151" t="s">
        <v>148</v>
      </c>
      <c r="J4" s="607" t="s">
        <v>204</v>
      </c>
      <c r="K4" s="607"/>
      <c r="L4" s="607"/>
      <c r="M4" s="607"/>
      <c r="N4" s="607"/>
      <c r="O4" s="153" t="s">
        <v>334</v>
      </c>
    </row>
    <row r="5" spans="1:41" ht="12.75" customHeight="1" x14ac:dyDescent="0.2">
      <c r="A5" t="s">
        <v>335</v>
      </c>
      <c r="D5" s="611" t="str">
        <f>Import.Proponente</f>
        <v>Prefeitura Municipal de Caçapava do Sul</v>
      </c>
      <c r="E5" s="611"/>
      <c r="F5" s="624">
        <f>Import.CR</f>
        <v>0</v>
      </c>
      <c r="G5" s="624"/>
      <c r="H5" s="624"/>
      <c r="I5" s="366">
        <f>Import.SICONV</f>
        <v>0</v>
      </c>
      <c r="J5" s="611" t="str">
        <f>Import.Apelido</f>
        <v>Calçamento da Rua Barão do Rio Branco</v>
      </c>
      <c r="K5" s="611"/>
      <c r="L5" s="611"/>
      <c r="M5" s="611"/>
      <c r="N5" s="611"/>
      <c r="O5" s="367">
        <f>Import.DataInicioObra</f>
        <v>45474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607" t="s">
        <v>339</v>
      </c>
      <c r="G7" s="607"/>
      <c r="H7" s="607"/>
      <c r="I7" s="607" t="str">
        <f>IF(TIPOORCAMENTO="Licitado","REGIME DE EXECUÇÃO","MUNICÍPIO / UF")</f>
        <v>MUNICÍPIO / UF</v>
      </c>
      <c r="J7" s="607"/>
      <c r="K7" s="607"/>
      <c r="L7" s="607"/>
      <c r="M7" s="607" t="s">
        <v>340</v>
      </c>
      <c r="N7" s="607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595" t="s">
        <v>211</v>
      </c>
      <c r="D8" s="370">
        <f>Import.CTEF</f>
        <v>0</v>
      </c>
      <c r="E8" s="57">
        <f>Import.empresa</f>
        <v>0</v>
      </c>
      <c r="F8" s="611">
        <f>Import.CNPJ</f>
        <v>0</v>
      </c>
      <c r="G8" s="611"/>
      <c r="H8" s="611"/>
      <c r="I8" s="611" t="str">
        <f>IF(TIPOORCAMENTO="Licitado",Import.RegimeExecução,Import.Município)</f>
        <v>Caçapava do Sul/RS</v>
      </c>
      <c r="J8" s="611"/>
      <c r="K8" s="611"/>
      <c r="L8" s="611"/>
      <c r="M8" s="611" t="str">
        <f ca="1">TEXT(IF(BM.medicao=1,Import.DataInicioObra,OFFSET($AB$12,0,BM.medicao-1-$AB$13)+1),"dd/mm/aaaa")&amp;" a "&amp;TEXT(OFFSET($AB$12,0,BM.medicao-$AB$13),"dd/mm/aaaa")</f>
        <v>01/07/2024 a 00/01/1900</v>
      </c>
      <c r="N8" s="611"/>
      <c r="O8" s="490">
        <v>1</v>
      </c>
    </row>
    <row r="9" spans="1:41" ht="12.75" customHeight="1" x14ac:dyDescent="0.2">
      <c r="A9" s="531" t="b">
        <v>1</v>
      </c>
      <c r="B9" s="43"/>
      <c r="C9" s="595"/>
    </row>
    <row r="10" spans="1:41" x14ac:dyDescent="0.2">
      <c r="C10" s="595"/>
      <c r="E10" s="694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94"/>
      <c r="G10" s="694"/>
      <c r="H10" s="694"/>
      <c r="I10" s="694"/>
      <c r="N10" s="695" t="str">
        <f ca="1">"Realizado Acumulado: "&amp;TEXT(ROUND($O$15/($I$15+10^-12),4),"0,00%")</f>
        <v>Realizado Acumulado: 0,00%</v>
      </c>
      <c r="O10" s="695"/>
    </row>
    <row r="11" spans="1:41" ht="15" customHeight="1" x14ac:dyDescent="0.25">
      <c r="C11" s="595"/>
      <c r="E11" s="694"/>
      <c r="F11" s="694"/>
      <c r="G11" s="694"/>
      <c r="H11" s="694"/>
      <c r="I11" s="694"/>
      <c r="N11" s="695"/>
      <c r="O11" s="695"/>
      <c r="T11" s="693" t="s">
        <v>343</v>
      </c>
      <c r="U11" s="693"/>
      <c r="Z11" s="4"/>
      <c r="AB11" s="669" t="s">
        <v>344</v>
      </c>
      <c r="AC11" s="669"/>
      <c r="AD11" s="669"/>
      <c r="AE11" s="669"/>
      <c r="AF11" s="669"/>
      <c r="AG11" s="669"/>
      <c r="AH11" s="669"/>
      <c r="AI11" s="669"/>
      <c r="AJ11" s="669"/>
      <c r="AK11" s="669"/>
      <c r="AL11" s="669"/>
      <c r="AM11" s="669"/>
    </row>
    <row r="12" spans="1:41" ht="15" customHeight="1" x14ac:dyDescent="0.25">
      <c r="C12" s="595"/>
      <c r="E12" s="85" t="s">
        <v>345</v>
      </c>
      <c r="J12" s="613" t="str">
        <f ca="1">"Evolução Física "&amp;CHOOSE(MATCH(RegimeExecucao,{"Unitário","Global"},0),"(Qtde.)","(%)")</f>
        <v>Evolução Física (%)</v>
      </c>
      <c r="K12" s="613"/>
      <c r="L12" s="613"/>
      <c r="M12" s="613" t="s">
        <v>346</v>
      </c>
      <c r="N12" s="613"/>
      <c r="O12" s="613"/>
      <c r="Q12" s="613" t="str">
        <f ca="1">"Aferido (CAIXA) "&amp;CHOOSE(MATCH(RegimeExecucao,{"Unitário","Global"},0),"(Qtde.)","(%)")</f>
        <v>Aferido (CAIXA) (%)</v>
      </c>
      <c r="R12" s="613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92" t="str">
        <f>"Objeto do CTEF: "&amp;Import.DescLote</f>
        <v>Objeto do CTEF: Lote Único - Empreitada Preço Global</v>
      </c>
      <c r="E15" s="692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IF(OR(ACOMPANHAMENTO="PLE",TIPOORCAMENTO="Proposto"),0,SUMIF(OFFSET($A15,1,0):$A$49,"S",OFFSET(M15,1,0):M$49))</f>
        <v>0</v>
      </c>
      <c r="N15" s="386">
        <f ca="1">O15-M15</f>
        <v>0</v>
      </c>
      <c r="O15" s="386">
        <f ca="1">IF(OR(ACOMPANHAMENTO="PLE",TIPOORCAMENTO="Proposto"),0,SUMIF(OFFSET($A15,1,0):$A$49,"S",OFFSET(O15,1,0):O$49))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88" t="str">
        <f ca="1">"Preencher abaixo com a "&amp;CHOOSE(MATCH(RegimeExecucao,{"Unitário","Global"},0),"QUANTIDADE","PORCENTAGEM")&amp;" executada no PERÍODO"</f>
        <v>Preencher abaixo com a PORCENTAGEM executada no PERÍODO</v>
      </c>
      <c r="AC15" s="688"/>
      <c r="AD15" s="688"/>
      <c r="AE15" s="688"/>
      <c r="AF15" s="688"/>
      <c r="AG15" s="688"/>
      <c r="AH15" s="688"/>
      <c r="AI15" s="688"/>
      <c r="AJ15" s="688"/>
      <c r="AK15" s="688"/>
      <c r="AL15" s="688"/>
      <c r="AM15" s="688"/>
    </row>
    <row r="16" spans="1:41" x14ac:dyDescent="0.2">
      <c r="A16">
        <f ca="1">ORÇAMENTO!C16</f>
        <v>1</v>
      </c>
      <c r="B16">
        <f ca="1">ORÇAMENTO!D16</f>
        <v>33</v>
      </c>
      <c r="C16" s="116" t="str">
        <f t="shared" ref="C16:C40" ca="1" si="1">IF(OR($I16&gt;0,$A16=1,$A16=2,$A16=3,$A16=4),"F","")</f>
        <v>F</v>
      </c>
      <c r="D16" s="119" t="str">
        <f ca="1">ORÇAMENTO!O16</f>
        <v>1.</v>
      </c>
      <c r="E16" s="171" t="str">
        <f t="shared" ref="E16:E40" si="2">ORÇAMENTO.Descricao</f>
        <v>CALÇAMENTO DA RUA BARÃO DO RIO BRANCO</v>
      </c>
      <c r="F16" s="172" t="str">
        <f t="shared" ref="F16:F40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40" ca="1" si="4">IF($A16="S",IF(CAIXA.Modo,BM.AFAnterior,BM.MEDAnterior),IF(AND(RegimeExecucao="Global",$I16&gt;0,COUNTIF($AB$13:$AM$13,BM.medicao-1)&gt;0),M16/$I16*100,0))</f>
        <v>0</v>
      </c>
      <c r="K16" s="124">
        <f t="shared" ref="K16:K40" ca="1" si="5">L16-J16</f>
        <v>0</v>
      </c>
      <c r="L16" s="378">
        <f t="shared" ref="L16:L40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40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40" ca="1" si="8">IF($W16&gt;0,$D16,"")</f>
        <v/>
      </c>
      <c r="U16" s="171" t="str">
        <f t="shared" ref="U16:U40" ca="1" si="9">IF($W16&gt;0,$E16,"")</f>
        <v/>
      </c>
      <c r="V16" s="172" t="str">
        <f t="shared" ref="V16:V40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40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3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16" t="str">
        <f t="shared" ca="1" si="1"/>
        <v/>
      </c>
      <c r="D21" s="119" t="str">
        <f ca="1">ORÇAMENTO!O21</f>
        <v>-</v>
      </c>
      <c r="E21" s="171" t="str">
        <f t="shared" ca="1" si="2"/>
        <v>(abra o arquivo 'Referência 04-2024.xls)</v>
      </c>
      <c r="F21" s="172" t="str">
        <f t="shared" ca="1" si="3"/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t="shared" ca="1" si="4"/>
        <v>0</v>
      </c>
      <c r="K21" s="124">
        <f t="shared" ca="1" si="5"/>
        <v>0</v>
      </c>
      <c r="L21" s="378">
        <f t="shared" ca="1" si="6"/>
        <v>0</v>
      </c>
      <c r="M21" s="379">
        <f ca="1">IF($A21="S",VTOTALBM,IF($A21=0,0,ROUND(SomaAgrupBM,15-13*ORÇAMENTO!$AF$11)))</f>
        <v>0</v>
      </c>
      <c r="N21" s="380">
        <f t="shared" ca="1" si="7"/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ca="1" si="8"/>
        <v/>
      </c>
      <c r="U21" s="171" t="str">
        <f t="shared" ca="1" si="9"/>
        <v/>
      </c>
      <c r="V21" s="172" t="str">
        <f t="shared" ca="1" si="10"/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ca="1" si="11"/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>
        <f ca="1">ORÇAMENTO!C22</f>
        <v>2</v>
      </c>
      <c r="B22">
        <f ca="1">ORÇAMENTO!D22</f>
        <v>2</v>
      </c>
      <c r="C22" s="116" t="str">
        <f t="shared" ref="C22:C23" ca="1" si="12">IF(OR($I22&gt;0,$A22=1,$A22=2,$A22=3,$A22=4),"F","")</f>
        <v>F</v>
      </c>
      <c r="D22" s="119" t="str">
        <f ca="1">ORÇAMENTO!O22</f>
        <v>1.3.</v>
      </c>
      <c r="E22" s="171" t="str">
        <f>ORÇAMENTO.Descricao</f>
        <v>TERRAPLANAGEM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ref="K22:K23" ca="1" si="13">L22-J22</f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ref="N22:N23" ca="1" si="14">O22-M22</f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ref="T22:T23" ca="1" si="15">IF($W22&gt;0,$D22,"")</f>
        <v/>
      </c>
      <c r="U22" s="171" t="str">
        <f t="shared" ref="U22:U23" ca="1" si="16">IF($W22&gt;0,$E22,"")</f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ref="Y22:Y23" ca="1" si="17">AO22-O22</f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5.5" x14ac:dyDescent="0.2">
      <c r="A23" t="str">
        <f ca="1">ORÇAMENTO!C23</f>
        <v>S</v>
      </c>
      <c r="B23">
        <f ca="1">ORÇAMENTO!D23</f>
        <v>0</v>
      </c>
      <c r="C23" s="116" t="str">
        <f t="shared" ca="1" si="12"/>
        <v/>
      </c>
      <c r="D23" s="119" t="str">
        <f ca="1">ORÇAMENTO!O23</f>
        <v>-</v>
      </c>
      <c r="E23" s="171" t="str">
        <f ca="1">ORÇAMENTO.Descricao</f>
        <v>(abra o arquivo 'Referência 04-2024.xls)</v>
      </c>
      <c r="F23" s="172" t="str">
        <f ca="1">IF(RegimeExecucao="Global","",ORÇAMENTO.Unidade)</f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ca="1">IF($A23="S",IF(CAIXA.Modo,BM.AFAnterior,BM.MEDAnterior),IF(AND(RegimeExecucao="Global",$I23&gt;0,COUNTIF($AB$13:$AM$13,BM.medicao-1)&gt;0),M23/$I23*100,0))</f>
        <v>0</v>
      </c>
      <c r="K23" s="124">
        <f t="shared" ca="1" si="1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14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15"/>
        <v/>
      </c>
      <c r="U23" s="171" t="str">
        <f t="shared" ca="1" si="16"/>
        <v/>
      </c>
      <c r="V23" s="172" t="str">
        <f ca="1">IF(AND($W23&gt;0,RegimeExecucao="Unitário"),$F23,"")</f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7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2</v>
      </c>
      <c r="B24">
        <f ca="1">ORÇAMENTO!D24</f>
        <v>10</v>
      </c>
      <c r="C24" s="116" t="str">
        <f t="shared" ca="1" si="1"/>
        <v>F</v>
      </c>
      <c r="D24" s="119" t="str">
        <f ca="1">ORÇAMENTO!O24</f>
        <v>1.4.</v>
      </c>
      <c r="E24" s="171" t="str">
        <f t="shared" si="2"/>
        <v xml:space="preserve">PAVIMENTAÇÃO </v>
      </c>
      <c r="F24" s="172" t="str">
        <f t="shared" ca="1" si="3"/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t="shared" ca="1" si="4"/>
        <v>0</v>
      </c>
      <c r="K24" s="124">
        <f t="shared" ca="1" si="5"/>
        <v>0</v>
      </c>
      <c r="L24" s="378">
        <f t="shared" ca="1" si="6"/>
        <v>0</v>
      </c>
      <c r="M24" s="379">
        <f ca="1">IF($A24="S",VTOTALBM,IF($A24=0,0,ROUND(SomaAgrupBM,15-13*ORÇAMENTO!$AF$11)))</f>
        <v>0</v>
      </c>
      <c r="N24" s="380">
        <f t="shared" ca="1" si="7"/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t="shared" ca="1" si="8"/>
        <v/>
      </c>
      <c r="U24" s="171" t="str">
        <f t="shared" ca="1" si="9"/>
        <v/>
      </c>
      <c r="V24" s="172" t="str">
        <f t="shared" ca="1" si="10"/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11"/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>
        <f ca="1">ORÇAMENTO!C25</f>
        <v>3</v>
      </c>
      <c r="B25">
        <f ca="1">ORÇAMENTO!D25</f>
        <v>4</v>
      </c>
      <c r="C25" s="116" t="str">
        <f ca="1">IF(OR($I25&gt;0,$A25=1,$A25=2,$A25=3,$A25=4),"F","")</f>
        <v>F</v>
      </c>
      <c r="D25" s="119" t="str">
        <f ca="1">ORÇAMENTO!O25</f>
        <v>1.4.1.</v>
      </c>
      <c r="E25" s="171" t="str">
        <f>ORÇAMENTO.Descricao</f>
        <v>Meio-Fio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51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s="579" customFormat="1" ht="38.25" x14ac:dyDescent="0.2">
      <c r="A27" s="579" t="str">
        <f ca="1">ORÇAMENTO!C27</f>
        <v>S</v>
      </c>
      <c r="B27" s="579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 s="579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s="579" customFormat="1" ht="38.25" x14ac:dyDescent="0.2">
      <c r="A28" s="579" t="str">
        <f ca="1">ORÇAMENTO!C28</f>
        <v>S</v>
      </c>
      <c r="B28" s="579">
        <f ca="1">ORÇAMENTO!D28</f>
        <v>0</v>
      </c>
      <c r="C28" s="116" t="str">
        <f t="shared" ca="1" si="1"/>
        <v/>
      </c>
      <c r="D28" s="119" t="str">
        <f ca="1">ORÇAMENTO!O28</f>
        <v>-</v>
      </c>
      <c r="E28" s="171" t="str">
        <f t="shared" ca="1" si="2"/>
        <v>(abra o arquivo 'Referência 04-2024.xls)</v>
      </c>
      <c r="F28" s="172" t="str">
        <f t="shared" ca="1" si="3"/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t="shared" ca="1" si="4"/>
        <v>0</v>
      </c>
      <c r="K28" s="124">
        <f t="shared" ca="1" si="5"/>
        <v>0</v>
      </c>
      <c r="L28" s="378">
        <f t="shared" ca="1" si="6"/>
        <v>0</v>
      </c>
      <c r="M28" s="379">
        <f ca="1">IF($A28="S",VTOTALBM,IF($A28=0,0,ROUND(SomaAgrupBM,15-13*ORÇAMENTO!$AF$11)))</f>
        <v>0</v>
      </c>
      <c r="N28" s="380">
        <f t="shared" ca="1" si="7"/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t="shared" ca="1" si="8"/>
        <v/>
      </c>
      <c r="U28" s="171" t="str">
        <f t="shared" ca="1" si="9"/>
        <v/>
      </c>
      <c r="V28" s="172" t="str">
        <f t="shared" ca="1" si="10"/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t="shared" ca="1" si="11"/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 s="579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3</v>
      </c>
      <c r="B29">
        <f ca="1">ORÇAMENTO!D29</f>
        <v>5</v>
      </c>
      <c r="C29" s="116" t="str">
        <f ca="1">IF(OR($I29&gt;0,$A29=1,$A29=2,$A29=3,$A29=4),"F","")</f>
        <v>F</v>
      </c>
      <c r="D29" s="119" t="str">
        <f ca="1">ORÇAMENTO!O29</f>
        <v>1.4.2.</v>
      </c>
      <c r="E29" s="171" t="str">
        <f>ORÇAMENTO.Descricao</f>
        <v>Pavimentação da pista de rolamento com bloco de concreto 16 faces</v>
      </c>
      <c r="F29" s="172" t="str">
        <f ca="1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ca="1">IF($A29="S",IF(CAIXA.Modo,BM.AFAnterior,BM.MEDAnterior),IF(AND(RegimeExecucao="Global",$I29&gt;0,COUNTIF($AB$13:$AM$13,BM.medicao-1)&gt;0),M29/$I29*100,0))</f>
        <v>0</v>
      </c>
      <c r="K29" s="124">
        <f ca="1">L29-J29</f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ca="1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ca="1">IF($W29&gt;0,$D29,"")</f>
        <v/>
      </c>
      <c r="U29" s="171" t="str">
        <f ca="1">IF($W29&gt;0,$E29,"")</f>
        <v/>
      </c>
      <c r="V29" s="172" t="str">
        <f ca="1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ca="1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ca="1">IF(OR($I30&gt;0,$A30=1,$A30=2,$A30=3,$A30=4),"F","")</f>
        <v/>
      </c>
      <c r="D30" s="119" t="str">
        <f ca="1">ORÇAMENTO!O30</f>
        <v>-</v>
      </c>
      <c r="E30" s="171" t="str">
        <f ca="1">ORÇAMENTO.Descricao</f>
        <v>(abra o arquivo 'Referência 04-2024.xls)</v>
      </c>
      <c r="F30" s="172" t="str">
        <f ca="1">IF(RegimeExecucao="Global","",ORÇAMENTO.Unidade)</f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ca="1">IF($A30="S",IF(CAIXA.Modo,BM.AFAnterior,BM.MEDAnterior),IF(AND(RegimeExecucao="Global",$I30&gt;0,COUNTIF($AB$13:$AM$13,BM.medicao-1)&gt;0),M30/$I30*100,0))</f>
        <v>0</v>
      </c>
      <c r="K30" s="124">
        <f ca="1">L30-J30</f>
        <v>0</v>
      </c>
      <c r="L30" s="378">
        <f ca="1">IF($A30="S",IF(CAIXA.Modo,BM.AFAcumulado,BM.MEDAcumulado),IF(AND(RegimeExecucao="Global",$I30&gt;0,COUNTIF($AB$13:$AM$13,BM.medicao)&gt;0),O30/$I30*100,0))</f>
        <v>0</v>
      </c>
      <c r="M30" s="379">
        <f ca="1">IF($A30="S",VTOTALBM,IF($A30=0,0,ROUND(SomaAgrupBM,15-13*ORÇAMENTO!$AF$11)))</f>
        <v>0</v>
      </c>
      <c r="N30" s="380">
        <f ca="1">O30-M30</f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ca="1">IF($W30&gt;0,$D30,"")</f>
        <v/>
      </c>
      <c r="U30" s="171" t="str">
        <f ca="1">IF($W30&gt;0,$E30,"")</f>
        <v/>
      </c>
      <c r="V30" s="172" t="str">
        <f ca="1">IF(AND($W30&gt;0,RegimeExecucao="Unitário"),$F30,"")</f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ca="1">AO30-O30</f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16" t="str">
        <f t="shared" ca="1" si="1"/>
        <v/>
      </c>
      <c r="D32" s="119" t="str">
        <f ca="1">ORÇAMENTO!O32</f>
        <v>-</v>
      </c>
      <c r="E32" s="171" t="str">
        <f t="shared" ca="1" si="2"/>
        <v>(abra o arquivo 'Referência 04-2024.xls)</v>
      </c>
      <c r="F32" s="172" t="str">
        <f t="shared" ca="1" si="3"/>
        <v/>
      </c>
      <c r="G32" s="124" t="str">
        <f ca="1">IF(RegimeExecucao="Global","",ORÇAMENTO!T32)</f>
        <v/>
      </c>
      <c r="H32" s="124" t="str">
        <f ca="1">IF(RegimeExecucao="Global","",ORÇAMENTO!W32)</f>
        <v/>
      </c>
      <c r="I32" s="127">
        <f ca="1">ORÇAMENTO!X32</f>
        <v>0</v>
      </c>
      <c r="J32" s="377">
        <f t="shared" ca="1" si="4"/>
        <v>0</v>
      </c>
      <c r="K32" s="124">
        <f t="shared" ca="1" si="5"/>
        <v>0</v>
      </c>
      <c r="L32" s="378">
        <f t="shared" ca="1" si="6"/>
        <v>0</v>
      </c>
      <c r="M32" s="379">
        <f ca="1">IF($A32="S",VTOTALBM,IF($A32=0,0,ROUND(SomaAgrupBM,15-13*ORÇAMENTO!$AF$11)))</f>
        <v>0</v>
      </c>
      <c r="N32" s="380">
        <f t="shared" ca="1" si="7"/>
        <v>0</v>
      </c>
      <c r="O32" s="127">
        <f ca="1">IF($A32="S",VTOTALBM,IF($A32=0,0,ROUND(SomaAgrupBM,15-13*ORÇAMENTO!$AF$11)))</f>
        <v>0</v>
      </c>
      <c r="Q32" s="381"/>
      <c r="R32" s="382"/>
      <c r="T32" s="119" t="str">
        <f t="shared" ca="1" si="8"/>
        <v/>
      </c>
      <c r="U32" s="171" t="str">
        <f t="shared" ca="1" si="9"/>
        <v/>
      </c>
      <c r="V32" s="172" t="str">
        <f t="shared" ca="1" si="10"/>
        <v/>
      </c>
      <c r="W32" s="547">
        <f ca="1">IF($Y32&gt;0,CHOOSE(MATCH(RegimeExecucao,{"Unitário","Global"},0),IF($A32="S",$Y32/$X32,""),($Y32/$X32)*100),0)</f>
        <v>0</v>
      </c>
      <c r="X32" s="383" t="str">
        <f ca="1">IF($Y32&gt;0,CHOOSE(MATCH(RegimeExecucao,{"Unitário","Global"},0),IF($A32="S",ROUND($H32,ORÇAMENTO!$AF$10),""),ROUND($I32,ORÇAMENTO!$AF$11)),"")</f>
        <v/>
      </c>
      <c r="Y32" s="383">
        <f t="shared" ca="1" si="11"/>
        <v>0</v>
      </c>
      <c r="Z32" s="384"/>
      <c r="AB32" s="381"/>
      <c r="AC32" s="516"/>
      <c r="AD32" s="516"/>
      <c r="AE32" s="516"/>
      <c r="AF32" s="516"/>
      <c r="AG32" s="516"/>
      <c r="AH32" s="516"/>
      <c r="AI32" s="516"/>
      <c r="AJ32" s="516"/>
      <c r="AK32" s="516"/>
      <c r="AL32" s="516"/>
      <c r="AM32" s="382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38.25" x14ac:dyDescent="0.2">
      <c r="A33" t="str">
        <f ca="1">ORÇAMENTO!C33</f>
        <v>S</v>
      </c>
      <c r="B33">
        <f ca="1">ORÇAMENTO!D33</f>
        <v>0</v>
      </c>
      <c r="C33" s="116" t="str">
        <f t="shared" ca="1" si="1"/>
        <v/>
      </c>
      <c r="D33" s="119" t="str">
        <f ca="1">ORÇAMENTO!O33</f>
        <v>-</v>
      </c>
      <c r="E33" s="171" t="str">
        <f t="shared" ca="1" si="2"/>
        <v>(abra o arquivo 'Referência 04-2024.xls)</v>
      </c>
      <c r="F33" s="172" t="str">
        <f t="shared" ca="1" si="3"/>
        <v/>
      </c>
      <c r="G33" s="124" t="str">
        <f ca="1">IF(RegimeExecucao="Global","",ORÇAMENTO!T33)</f>
        <v/>
      </c>
      <c r="H33" s="124" t="str">
        <f ca="1">IF(RegimeExecucao="Global","",ORÇAMENTO!W33)</f>
        <v/>
      </c>
      <c r="I33" s="127">
        <f ca="1">ORÇAMENTO!X33</f>
        <v>0</v>
      </c>
      <c r="J33" s="377">
        <f t="shared" ca="1" si="4"/>
        <v>0</v>
      </c>
      <c r="K33" s="124">
        <f t="shared" ca="1" si="5"/>
        <v>0</v>
      </c>
      <c r="L33" s="378">
        <f t="shared" ca="1" si="6"/>
        <v>0</v>
      </c>
      <c r="M33" s="379">
        <f ca="1">IF($A33="S",VTOTALBM,IF($A33=0,0,ROUND(SomaAgrupBM,15-13*ORÇAMENTO!$AF$11)))</f>
        <v>0</v>
      </c>
      <c r="N33" s="380">
        <f t="shared" ca="1" si="7"/>
        <v>0</v>
      </c>
      <c r="O33" s="127">
        <f ca="1">IF($A33="S",VTOTALBM,IF($A33=0,0,ROUND(SomaAgrupBM,15-13*ORÇAMENTO!$AF$11)))</f>
        <v>0</v>
      </c>
      <c r="Q33" s="381"/>
      <c r="R33" s="382"/>
      <c r="T33" s="119" t="str">
        <f t="shared" ca="1" si="8"/>
        <v/>
      </c>
      <c r="U33" s="171" t="str">
        <f t="shared" ca="1" si="9"/>
        <v/>
      </c>
      <c r="V33" s="172" t="str">
        <f t="shared" ca="1" si="10"/>
        <v/>
      </c>
      <c r="W33" s="547">
        <f ca="1">IF($Y33&gt;0,CHOOSE(MATCH(RegimeExecucao,{"Unitário","Global"},0),IF($A33="S",$Y33/$X33,""),($Y33/$X33)*100),0)</f>
        <v>0</v>
      </c>
      <c r="X33" s="383" t="str">
        <f ca="1">IF($Y33&gt;0,CHOOSE(MATCH(RegimeExecucao,{"Unitário","Global"},0),IF($A33="S",ROUND($H33,ORÇAMENTO!$AF$10),""),ROUND($I33,ORÇAMENTO!$AF$11)),"")</f>
        <v/>
      </c>
      <c r="Y33" s="383">
        <f t="shared" ca="1" si="11"/>
        <v>0</v>
      </c>
      <c r="Z33" s="384"/>
      <c r="AB33" s="381"/>
      <c r="AC33" s="516"/>
      <c r="AD33" s="516"/>
      <c r="AE33" s="516"/>
      <c r="AF33" s="516"/>
      <c r="AG33" s="516"/>
      <c r="AH33" s="516"/>
      <c r="AI33" s="516"/>
      <c r="AJ33" s="516"/>
      <c r="AK33" s="516"/>
      <c r="AL33" s="516"/>
      <c r="AM33" s="382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s="583" customFormat="1" ht="25.5" x14ac:dyDescent="0.2">
      <c r="A34" s="583">
        <f ca="1">ORÇAMENTO!C34</f>
        <v>2</v>
      </c>
      <c r="B34" s="583">
        <f ca="1">ORÇAMENTO!D34</f>
        <v>3</v>
      </c>
      <c r="C34" s="116" t="str">
        <f t="shared" ca="1" si="1"/>
        <v>F</v>
      </c>
      <c r="D34" s="119" t="str">
        <f ca="1">ORÇAMENTO!O34</f>
        <v>1.5.</v>
      </c>
      <c r="E34" s="171" t="str">
        <f t="shared" si="2"/>
        <v>FAIXA ELEVADA PARA TRAVESSIA DE PEDESTRE EM BLOCO DE CONCRETO</v>
      </c>
      <c r="F34" s="172" t="str">
        <f t="shared" ca="1" si="3"/>
        <v/>
      </c>
      <c r="G34" s="124" t="str">
        <f ca="1">IF(RegimeExecucao="Global","",ORÇAMENTO!T34)</f>
        <v/>
      </c>
      <c r="H34" s="124" t="str">
        <f ca="1">IF(RegimeExecucao="Global","",ORÇAMENTO!W34)</f>
        <v/>
      </c>
      <c r="I34" s="127">
        <f ca="1">ORÇAMENTO!X34</f>
        <v>0</v>
      </c>
      <c r="J34" s="377">
        <f t="shared" ca="1" si="4"/>
        <v>0</v>
      </c>
      <c r="K34" s="124">
        <f t="shared" ca="1" si="5"/>
        <v>0</v>
      </c>
      <c r="L34" s="378">
        <f t="shared" ca="1" si="6"/>
        <v>0</v>
      </c>
      <c r="M34" s="379">
        <f ca="1">IF($A34="S",VTOTALBM,IF($A34=0,0,ROUND(SomaAgrupBM,15-13*ORÇAMENTO!$AF$11)))</f>
        <v>0</v>
      </c>
      <c r="N34" s="380">
        <f t="shared" ca="1" si="7"/>
        <v>0</v>
      </c>
      <c r="O34" s="127">
        <f ca="1">IF($A34="S",VTOTALBM,IF($A34=0,0,ROUND(SomaAgrupBM,15-13*ORÇAMENTO!$AF$11)))</f>
        <v>0</v>
      </c>
      <c r="Q34" s="381"/>
      <c r="R34" s="382"/>
      <c r="T34" s="119" t="str">
        <f t="shared" ca="1" si="8"/>
        <v/>
      </c>
      <c r="U34" s="171" t="str">
        <f t="shared" ca="1" si="9"/>
        <v/>
      </c>
      <c r="V34" s="172" t="str">
        <f t="shared" ca="1" si="10"/>
        <v/>
      </c>
      <c r="W34" s="547">
        <f ca="1">IF($Y34&gt;0,CHOOSE(MATCH(RegimeExecucao,{"Unitário","Global"},0),IF($A34="S",$Y34/$X34,""),($Y34/$X34)*100),0)</f>
        <v>0</v>
      </c>
      <c r="X34" s="383" t="str">
        <f ca="1">IF($Y34&gt;0,CHOOSE(MATCH(RegimeExecucao,{"Unitário","Global"},0),IF($A34="S",ROUND($H34,ORÇAMENTO!$AF$10),""),ROUND($I34,ORÇAMENTO!$AF$11)),"")</f>
        <v/>
      </c>
      <c r="Y34" s="383">
        <f t="shared" ca="1" si="11"/>
        <v>0</v>
      </c>
      <c r="Z34" s="384"/>
      <c r="AB34" s="381"/>
      <c r="AC34" s="516"/>
      <c r="AD34" s="516"/>
      <c r="AE34" s="516"/>
      <c r="AF34" s="516"/>
      <c r="AG34" s="516"/>
      <c r="AH34" s="516"/>
      <c r="AI34" s="516"/>
      <c r="AJ34" s="516"/>
      <c r="AK34" s="516"/>
      <c r="AL34" s="516"/>
      <c r="AM34" s="382"/>
      <c r="AO34" s="583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s="583" customFormat="1" ht="25.5" x14ac:dyDescent="0.2">
      <c r="A35" s="583" t="str">
        <f ca="1">ORÇAMENTO!C35</f>
        <v>S</v>
      </c>
      <c r="B35" s="583">
        <f ca="1">ORÇAMENTO!D35</f>
        <v>0</v>
      </c>
      <c r="C35" s="116" t="str">
        <f t="shared" ca="1" si="1"/>
        <v/>
      </c>
      <c r="D35" s="119" t="str">
        <f ca="1">ORÇAMENTO!O35</f>
        <v>-</v>
      </c>
      <c r="E35" s="171" t="str">
        <f t="shared" ca="1" si="2"/>
        <v>(abra o arquivo 'Referência 04-2024.xls)</v>
      </c>
      <c r="F35" s="172" t="str">
        <f t="shared" ca="1" si="3"/>
        <v/>
      </c>
      <c r="G35" s="124" t="str">
        <f ca="1">IF(RegimeExecucao="Global","",ORÇAMENTO!T35)</f>
        <v/>
      </c>
      <c r="H35" s="124" t="str">
        <f ca="1">IF(RegimeExecucao="Global","",ORÇAMENTO!W35)</f>
        <v/>
      </c>
      <c r="I35" s="127">
        <f ca="1">ORÇAMENTO!X35</f>
        <v>0</v>
      </c>
      <c r="J35" s="377">
        <f t="shared" ca="1" si="4"/>
        <v>0</v>
      </c>
      <c r="K35" s="124">
        <f t="shared" ca="1" si="5"/>
        <v>0</v>
      </c>
      <c r="L35" s="378">
        <f t="shared" ca="1" si="6"/>
        <v>0</v>
      </c>
      <c r="M35" s="379">
        <f ca="1">IF($A35="S",VTOTALBM,IF($A35=0,0,ROUND(SomaAgrupBM,15-13*ORÇAMENTO!$AF$11)))</f>
        <v>0</v>
      </c>
      <c r="N35" s="380">
        <f t="shared" ca="1" si="7"/>
        <v>0</v>
      </c>
      <c r="O35" s="127">
        <f ca="1">IF($A35="S",VTOTALBM,IF($A35=0,0,ROUND(SomaAgrupBM,15-13*ORÇAMENTO!$AF$11)))</f>
        <v>0</v>
      </c>
      <c r="Q35" s="381"/>
      <c r="R35" s="382"/>
      <c r="T35" s="119" t="str">
        <f t="shared" ca="1" si="8"/>
        <v/>
      </c>
      <c r="U35" s="171" t="str">
        <f t="shared" ca="1" si="9"/>
        <v/>
      </c>
      <c r="V35" s="172" t="str">
        <f t="shared" ca="1" si="10"/>
        <v/>
      </c>
      <c r="W35" s="547">
        <f ca="1">IF($Y35&gt;0,CHOOSE(MATCH(RegimeExecucao,{"Unitário","Global"},0),IF($A35="S",$Y35/$X35,""),($Y35/$X35)*100),0)</f>
        <v>0</v>
      </c>
      <c r="X35" s="383" t="str">
        <f ca="1">IF($Y35&gt;0,CHOOSE(MATCH(RegimeExecucao,{"Unitário","Global"},0),IF($A35="S",ROUND($H35,ORÇAMENTO!$AF$10),""),ROUND($I35,ORÇAMENTO!$AF$11)),"")</f>
        <v/>
      </c>
      <c r="Y35" s="383">
        <f t="shared" ca="1" si="11"/>
        <v>0</v>
      </c>
      <c r="Z35" s="384"/>
      <c r="AB35" s="381"/>
      <c r="AC35" s="516"/>
      <c r="AD35" s="516"/>
      <c r="AE35" s="516"/>
      <c r="AF35" s="516"/>
      <c r="AG35" s="516"/>
      <c r="AH35" s="516"/>
      <c r="AI35" s="516"/>
      <c r="AJ35" s="516"/>
      <c r="AK35" s="516"/>
      <c r="AL35" s="516"/>
      <c r="AM35" s="382"/>
      <c r="AO35" s="583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s="583" customFormat="1" ht="51" x14ac:dyDescent="0.2">
      <c r="A36" s="583" t="str">
        <f ca="1">ORÇAMENTO!C36</f>
        <v>S</v>
      </c>
      <c r="B36" s="583">
        <f ca="1">ORÇAMENTO!D36</f>
        <v>0</v>
      </c>
      <c r="C36" s="116" t="str">
        <f t="shared" ca="1" si="1"/>
        <v/>
      </c>
      <c r="D36" s="119" t="str">
        <f ca="1">ORÇAMENTO!O36</f>
        <v>-</v>
      </c>
      <c r="E36" s="171" t="str">
        <f t="shared" ca="1" si="2"/>
        <v>(abra o arquivo 'Referência 04-2024.xls)</v>
      </c>
      <c r="F36" s="172" t="str">
        <f t="shared" ca="1" si="3"/>
        <v/>
      </c>
      <c r="G36" s="124" t="str">
        <f ca="1">IF(RegimeExecucao="Global","",ORÇAMENTO!T36)</f>
        <v/>
      </c>
      <c r="H36" s="124" t="str">
        <f ca="1">IF(RegimeExecucao="Global","",ORÇAMENTO!W36)</f>
        <v/>
      </c>
      <c r="I36" s="127">
        <f ca="1">ORÇAMENTO!X36</f>
        <v>0</v>
      </c>
      <c r="J36" s="377">
        <f t="shared" ca="1" si="4"/>
        <v>0</v>
      </c>
      <c r="K36" s="124">
        <f t="shared" ca="1" si="5"/>
        <v>0</v>
      </c>
      <c r="L36" s="378">
        <f t="shared" ca="1" si="6"/>
        <v>0</v>
      </c>
      <c r="M36" s="379">
        <f ca="1">IF($A36="S",VTOTALBM,IF($A36=0,0,ROUND(SomaAgrupBM,15-13*ORÇAMENTO!$AF$11)))</f>
        <v>0</v>
      </c>
      <c r="N36" s="380">
        <f t="shared" ca="1" si="7"/>
        <v>0</v>
      </c>
      <c r="O36" s="127">
        <f ca="1">IF($A36="S",VTOTALBM,IF($A36=0,0,ROUND(SomaAgrupBM,15-13*ORÇAMENTO!$AF$11)))</f>
        <v>0</v>
      </c>
      <c r="Q36" s="381"/>
      <c r="R36" s="382"/>
      <c r="T36" s="119" t="str">
        <f t="shared" ca="1" si="8"/>
        <v/>
      </c>
      <c r="U36" s="171" t="str">
        <f t="shared" ca="1" si="9"/>
        <v/>
      </c>
      <c r="V36" s="172" t="str">
        <f t="shared" ca="1" si="10"/>
        <v/>
      </c>
      <c r="W36" s="547">
        <f ca="1">IF($Y36&gt;0,CHOOSE(MATCH(RegimeExecucao,{"Unitário","Global"},0),IF($A36="S",$Y36/$X36,""),($Y36/$X36)*100),0)</f>
        <v>0</v>
      </c>
      <c r="X36" s="383" t="str">
        <f ca="1">IF($Y36&gt;0,CHOOSE(MATCH(RegimeExecucao,{"Unitário","Global"},0),IF($A36="S",ROUND($H36,ORÇAMENTO!$AF$10),""),ROUND($I36,ORÇAMENTO!$AF$11)),"")</f>
        <v/>
      </c>
      <c r="Y36" s="383">
        <f t="shared" ca="1" si="11"/>
        <v>0</v>
      </c>
      <c r="Z36" s="384"/>
      <c r="AB36" s="381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382"/>
      <c r="AO36" s="583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s="583" customFormat="1" x14ac:dyDescent="0.2">
      <c r="A37" s="583">
        <f ca="1">ORÇAMENTO!C37</f>
        <v>2</v>
      </c>
      <c r="B37" s="583">
        <f ca="1">ORÇAMENTO!D37</f>
        <v>3</v>
      </c>
      <c r="C37" s="116" t="str">
        <f ca="1">IF(OR($I37&gt;0,$A37=1,$A37=2,$A37=3,$A37=4),"F","")</f>
        <v>F</v>
      </c>
      <c r="D37" s="119" t="str">
        <f ca="1">ORÇAMENTO!O37</f>
        <v>1.6.</v>
      </c>
      <c r="E37" s="171" t="str">
        <f>ORÇAMENTO.Descricao</f>
        <v>Canaleta de concreto para drenagem</v>
      </c>
      <c r="F37" s="172" t="str">
        <f ca="1">IF(RegimeExecucao="Global","",ORÇAMENTO.Unidade)</f>
        <v/>
      </c>
      <c r="G37" s="124" t="str">
        <f ca="1">IF(RegimeExecucao="Global","",ORÇAMENTO!T37)</f>
        <v/>
      </c>
      <c r="H37" s="124" t="str">
        <f ca="1">IF(RegimeExecucao="Global","",ORÇAMENTO!W37)</f>
        <v/>
      </c>
      <c r="I37" s="127">
        <f ca="1">ORÇAMENTO!X37</f>
        <v>0</v>
      </c>
      <c r="J37" s="377">
        <f ca="1">IF($A37="S",IF(CAIXA.Modo,BM.AFAnterior,BM.MEDAnterior),IF(AND(RegimeExecucao="Global",$I37&gt;0,COUNTIF($AB$13:$AM$13,BM.medicao-1)&gt;0),M37/$I37*100,0))</f>
        <v>0</v>
      </c>
      <c r="K37" s="124">
        <f ca="1">L37-J37</f>
        <v>0</v>
      </c>
      <c r="L37" s="378">
        <f ca="1">IF($A37="S",IF(CAIXA.Modo,BM.AFAcumulado,BM.MEDAcumulado),IF(AND(RegimeExecucao="Global",$I37&gt;0,COUNTIF($AB$13:$AM$13,BM.medicao)&gt;0),O37/$I37*100,0))</f>
        <v>0</v>
      </c>
      <c r="M37" s="379">
        <f ca="1">IF($A37="S",VTOTALBM,IF($A37=0,0,ROUND(SomaAgrupBM,15-13*ORÇAMENTO!$AF$11)))</f>
        <v>0</v>
      </c>
      <c r="N37" s="380">
        <f ca="1">O37-M37</f>
        <v>0</v>
      </c>
      <c r="O37" s="127">
        <f ca="1">IF($A37="S",VTOTALBM,IF($A37=0,0,ROUND(SomaAgrupBM,15-13*ORÇAMENTO!$AF$11)))</f>
        <v>0</v>
      </c>
      <c r="Q37" s="381"/>
      <c r="R37" s="382"/>
      <c r="T37" s="119" t="str">
        <f ca="1">IF($W37&gt;0,$D37,"")</f>
        <v/>
      </c>
      <c r="U37" s="171" t="str">
        <f ca="1">IF($W37&gt;0,$E37,"")</f>
        <v/>
      </c>
      <c r="V37" s="172" t="str">
        <f ca="1">IF(AND($W37&gt;0,RegimeExecucao="Unitário"),$F37,"")</f>
        <v/>
      </c>
      <c r="W37" s="547">
        <f ca="1">IF($Y37&gt;0,CHOOSE(MATCH(RegimeExecucao,{"Unitário","Global"},0),IF($A37="S",$Y37/$X37,""),($Y37/$X37)*100),0)</f>
        <v>0</v>
      </c>
      <c r="X37" s="383" t="str">
        <f ca="1">IF($Y37&gt;0,CHOOSE(MATCH(RegimeExecucao,{"Unitário","Global"},0),IF($A37="S",ROUND($H37,ORÇAMENTO!$AF$10),""),ROUND($I37,ORÇAMENTO!$AF$11)),"")</f>
        <v/>
      </c>
      <c r="Y37" s="383">
        <f ca="1">AO37-O37</f>
        <v>0</v>
      </c>
      <c r="Z37" s="384"/>
      <c r="AB37" s="381"/>
      <c r="AC37" s="516"/>
      <c r="AD37" s="516"/>
      <c r="AE37" s="516"/>
      <c r="AF37" s="516"/>
      <c r="AG37" s="516"/>
      <c r="AH37" s="516"/>
      <c r="AI37" s="516"/>
      <c r="AJ37" s="516"/>
      <c r="AK37" s="516"/>
      <c r="AL37" s="516"/>
      <c r="AM37" s="382"/>
      <c r="AO37" s="583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s="583" customFormat="1" ht="51" x14ac:dyDescent="0.2">
      <c r="A38" s="583" t="str">
        <f ca="1">ORÇAMENTO!C38</f>
        <v>S</v>
      </c>
      <c r="B38" s="583">
        <f ca="1">ORÇAMENTO!D38</f>
        <v>0</v>
      </c>
      <c r="C38" s="116" t="str">
        <f t="shared" ca="1" si="1"/>
        <v/>
      </c>
      <c r="D38" s="119" t="str">
        <f ca="1">ORÇAMENTO!O38</f>
        <v>-</v>
      </c>
      <c r="E38" s="171" t="str">
        <f t="shared" ca="1" si="2"/>
        <v>(abra o arquivo 'Referência 04-2024.xls)</v>
      </c>
      <c r="F38" s="172" t="str">
        <f t="shared" ca="1" si="3"/>
        <v/>
      </c>
      <c r="G38" s="124" t="str">
        <f ca="1">IF(RegimeExecucao="Global","",ORÇAMENTO!T38)</f>
        <v/>
      </c>
      <c r="H38" s="124" t="str">
        <f ca="1">IF(RegimeExecucao="Global","",ORÇAMENTO!W38)</f>
        <v/>
      </c>
      <c r="I38" s="127">
        <f ca="1">ORÇAMENTO!X38</f>
        <v>0</v>
      </c>
      <c r="J38" s="377">
        <f t="shared" ca="1" si="4"/>
        <v>0</v>
      </c>
      <c r="K38" s="124">
        <f t="shared" ca="1" si="5"/>
        <v>0</v>
      </c>
      <c r="L38" s="378">
        <f t="shared" ca="1" si="6"/>
        <v>0</v>
      </c>
      <c r="M38" s="379">
        <f ca="1">IF($A38="S",VTOTALBM,IF($A38=0,0,ROUND(SomaAgrupBM,15-13*ORÇAMENTO!$AF$11)))</f>
        <v>0</v>
      </c>
      <c r="N38" s="380">
        <f t="shared" ca="1" si="7"/>
        <v>0</v>
      </c>
      <c r="O38" s="127">
        <f ca="1">IF($A38="S",VTOTALBM,IF($A38=0,0,ROUND(SomaAgrupBM,15-13*ORÇAMENTO!$AF$11)))</f>
        <v>0</v>
      </c>
      <c r="Q38" s="381"/>
      <c r="R38" s="382"/>
      <c r="T38" s="119" t="str">
        <f t="shared" ca="1" si="8"/>
        <v/>
      </c>
      <c r="U38" s="171" t="str">
        <f t="shared" ca="1" si="9"/>
        <v/>
      </c>
      <c r="V38" s="172" t="str">
        <f t="shared" ca="1" si="10"/>
        <v/>
      </c>
      <c r="W38" s="547">
        <f ca="1">IF($Y38&gt;0,CHOOSE(MATCH(RegimeExecucao,{"Unitário","Global"},0),IF($A38="S",$Y38/$X38,""),($Y38/$X38)*100),0)</f>
        <v>0</v>
      </c>
      <c r="X38" s="383" t="str">
        <f ca="1">IF($Y38&gt;0,CHOOSE(MATCH(RegimeExecucao,{"Unitário","Global"},0),IF($A38="S",ROUND($H38,ORÇAMENTO!$AF$10),""),ROUND($I38,ORÇAMENTO!$AF$11)),"")</f>
        <v/>
      </c>
      <c r="Y38" s="383">
        <f t="shared" ca="1" si="11"/>
        <v>0</v>
      </c>
      <c r="Z38" s="384"/>
      <c r="AB38" s="381"/>
      <c r="AC38" s="516"/>
      <c r="AD38" s="516"/>
      <c r="AE38" s="516"/>
      <c r="AF38" s="516"/>
      <c r="AG38" s="516"/>
      <c r="AH38" s="516"/>
      <c r="AI38" s="516"/>
      <c r="AJ38" s="516"/>
      <c r="AK38" s="516"/>
      <c r="AL38" s="516"/>
      <c r="AM38" s="382"/>
      <c r="AO38" s="583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s="583" customFormat="1" ht="38.25" x14ac:dyDescent="0.2">
      <c r="A39" s="583" t="str">
        <f ca="1">ORÇAMENTO!C39</f>
        <v>S</v>
      </c>
      <c r="B39" s="583">
        <f ca="1">ORÇAMENTO!D39</f>
        <v>0</v>
      </c>
      <c r="C39" s="116" t="str">
        <f ca="1">IF(OR($I39&gt;0,$A39=1,$A39=2,$A39=3,$A39=4),"F","")</f>
        <v/>
      </c>
      <c r="D39" s="119" t="str">
        <f ca="1">ORÇAMENTO!O39</f>
        <v>-</v>
      </c>
      <c r="E39" s="171" t="str">
        <f ca="1">ORÇAMENTO.Descricao</f>
        <v>(abra o arquivo 'Referência 04-2024.xls)</v>
      </c>
      <c r="F39" s="172" t="str">
        <f ca="1">IF(RegimeExecucao="Global","",ORÇAMENTO.Unidade)</f>
        <v/>
      </c>
      <c r="G39" s="124" t="str">
        <f ca="1">IF(RegimeExecucao="Global","",ORÇAMENTO!T39)</f>
        <v/>
      </c>
      <c r="H39" s="124" t="str">
        <f ca="1">IF(RegimeExecucao="Global","",ORÇAMENTO!W39)</f>
        <v/>
      </c>
      <c r="I39" s="127">
        <f ca="1">ORÇAMENTO!X39</f>
        <v>0</v>
      </c>
      <c r="J39" s="377">
        <f ca="1">IF($A39="S",IF(CAIXA.Modo,BM.AFAnterior,BM.MEDAnterior),IF(AND(RegimeExecucao="Global",$I39&gt;0,COUNTIF($AB$13:$AM$13,BM.medicao-1)&gt;0),M39/$I39*100,0))</f>
        <v>0</v>
      </c>
      <c r="K39" s="124">
        <f ca="1">L39-J39</f>
        <v>0</v>
      </c>
      <c r="L39" s="378">
        <f ca="1">IF($A39="S",IF(CAIXA.Modo,BM.AFAcumulado,BM.MEDAcumulado),IF(AND(RegimeExecucao="Global",$I39&gt;0,COUNTIF($AB$13:$AM$13,BM.medicao)&gt;0),O39/$I39*100,0))</f>
        <v>0</v>
      </c>
      <c r="M39" s="379">
        <f ca="1">IF($A39="S",VTOTALBM,IF($A39=0,0,ROUND(SomaAgrupBM,15-13*ORÇAMENTO!$AF$11)))</f>
        <v>0</v>
      </c>
      <c r="N39" s="380">
        <f ca="1">O39-M39</f>
        <v>0</v>
      </c>
      <c r="O39" s="127">
        <f ca="1">IF($A39="S",VTOTALBM,IF($A39=0,0,ROUND(SomaAgrupBM,15-13*ORÇAMENTO!$AF$11)))</f>
        <v>0</v>
      </c>
      <c r="Q39" s="381"/>
      <c r="R39" s="382"/>
      <c r="T39" s="119" t="str">
        <f ca="1">IF($W39&gt;0,$D39,"")</f>
        <v/>
      </c>
      <c r="U39" s="171" t="str">
        <f ca="1">IF($W39&gt;0,$E39,"")</f>
        <v/>
      </c>
      <c r="V39" s="172" t="str">
        <f ca="1">IF(AND($W39&gt;0,RegimeExecucao="Unitário"),$F39,"")</f>
        <v/>
      </c>
      <c r="W39" s="547">
        <f ca="1">IF($Y39&gt;0,CHOOSE(MATCH(RegimeExecucao,{"Unitário","Global"},0),IF($A39="S",$Y39/$X39,""),($Y39/$X39)*100),0)</f>
        <v>0</v>
      </c>
      <c r="X39" s="383" t="str">
        <f ca="1">IF($Y39&gt;0,CHOOSE(MATCH(RegimeExecucao,{"Unitário","Global"},0),IF($A39="S",ROUND($H39,ORÇAMENTO!$AF$10),""),ROUND($I39,ORÇAMENTO!$AF$11)),"")</f>
        <v/>
      </c>
      <c r="Y39" s="383">
        <f ca="1">AO39-O39</f>
        <v>0</v>
      </c>
      <c r="Z39" s="384"/>
      <c r="AB39" s="381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382"/>
      <c r="AO39" s="583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x14ac:dyDescent="0.2">
      <c r="A40">
        <f ca="1">ORÇAMENTO!C40</f>
        <v>2</v>
      </c>
      <c r="B40">
        <f ca="1">ORÇAMENTO!D40</f>
        <v>1</v>
      </c>
      <c r="C40" s="116" t="str">
        <f t="shared" ca="1" si="1"/>
        <v>F</v>
      </c>
      <c r="D40" s="119" t="str">
        <f ca="1">ORÇAMENTO!O40</f>
        <v>1.7.</v>
      </c>
      <c r="E40" s="171" t="str">
        <f t="shared" si="2"/>
        <v>PASSEIO PÚBLICO</v>
      </c>
      <c r="F40" s="172" t="str">
        <f t="shared" ca="1" si="3"/>
        <v/>
      </c>
      <c r="G40" s="124" t="str">
        <f ca="1">IF(RegimeExecucao="Global","",ORÇAMENTO!T40)</f>
        <v/>
      </c>
      <c r="H40" s="124" t="str">
        <f ca="1">IF(RegimeExecucao="Global","",ORÇAMENTO!W40)</f>
        <v/>
      </c>
      <c r="I40" s="127">
        <f ca="1">ORÇAMENTO!X40</f>
        <v>0</v>
      </c>
      <c r="J40" s="377">
        <f t="shared" ca="1" si="4"/>
        <v>0</v>
      </c>
      <c r="K40" s="124">
        <f t="shared" ca="1" si="5"/>
        <v>0</v>
      </c>
      <c r="L40" s="378">
        <f t="shared" ca="1" si="6"/>
        <v>0</v>
      </c>
      <c r="M40" s="379">
        <f ca="1">IF($A40="S",VTOTALBM,IF($A40=0,0,ROUND(SomaAgrupBM,15-13*ORÇAMENTO!$AF$11)))</f>
        <v>0</v>
      </c>
      <c r="N40" s="380">
        <f t="shared" ca="1" si="7"/>
        <v>0</v>
      </c>
      <c r="O40" s="127">
        <f ca="1">IF($A40="S",VTOTALBM,IF($A40=0,0,ROUND(SomaAgrupBM,15-13*ORÇAMENTO!$AF$11)))</f>
        <v>0</v>
      </c>
      <c r="Q40" s="381"/>
      <c r="R40" s="382"/>
      <c r="T40" s="119" t="str">
        <f t="shared" ca="1" si="8"/>
        <v/>
      </c>
      <c r="U40" s="171" t="str">
        <f t="shared" ca="1" si="9"/>
        <v/>
      </c>
      <c r="V40" s="172" t="str">
        <f t="shared" ca="1" si="10"/>
        <v/>
      </c>
      <c r="W40" s="547">
        <f ca="1">IF($Y40&gt;0,CHOOSE(MATCH(RegimeExecucao,{"Unitário","Global"},0),IF($A40="S",$Y40/$X40,""),($Y40/$X40)*100),0)</f>
        <v>0</v>
      </c>
      <c r="X40" s="383" t="str">
        <f ca="1">IF($Y40&gt;0,CHOOSE(MATCH(RegimeExecucao,{"Unitário","Global"},0),IF($A40="S",ROUND($H40,ORÇAMENTO!$AF$10),""),ROUND($I40,ORÇAMENTO!$AF$11)),"")</f>
        <v/>
      </c>
      <c r="Y40" s="383">
        <f t="shared" ca="1" si="11"/>
        <v>0</v>
      </c>
      <c r="Z40" s="384"/>
      <c r="AB40" s="381"/>
      <c r="AC40" s="516"/>
      <c r="AD40" s="516"/>
      <c r="AE40" s="516"/>
      <c r="AF40" s="516"/>
      <c r="AG40" s="516"/>
      <c r="AH40" s="516"/>
      <c r="AI40" s="516"/>
      <c r="AJ40" s="516"/>
      <c r="AK40" s="516"/>
      <c r="AL40" s="516"/>
      <c r="AM40" s="382"/>
      <c r="AO40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s="577" customFormat="1" x14ac:dyDescent="0.2">
      <c r="A41" s="577">
        <f ca="1">ORÇAMENTO!C41</f>
        <v>2</v>
      </c>
      <c r="B41" s="577">
        <f ca="1">ORÇAMENTO!D41</f>
        <v>2</v>
      </c>
      <c r="C41" s="116" t="str">
        <f ca="1">IF(OR($I41&gt;0,$A41=1,$A41=2,$A41=3,$A41=4),"F","")</f>
        <v>F</v>
      </c>
      <c r="D41" s="119" t="str">
        <f ca="1">ORÇAMENTO!O41</f>
        <v>1.8.</v>
      </c>
      <c r="E41" s="171" t="str">
        <f t="shared" ref="E41:E44" si="18">ORÇAMENTO.Descricao</f>
        <v>Lado Direito</v>
      </c>
      <c r="F41" s="172" t="str">
        <f ca="1">IF(RegimeExecucao="Global","",ORÇAMENTO.Unidade)</f>
        <v/>
      </c>
      <c r="G41" s="124" t="str">
        <f ca="1">IF(RegimeExecucao="Global","",ORÇAMENTO!T41)</f>
        <v/>
      </c>
      <c r="H41" s="124" t="str">
        <f ca="1">IF(RegimeExecucao="Global","",ORÇAMENTO!W41)</f>
        <v/>
      </c>
      <c r="I41" s="127">
        <f ca="1">ORÇAMENTO!X41</f>
        <v>0</v>
      </c>
      <c r="J41" s="377">
        <f ca="1">IF($A41="S",IF(CAIXA.Modo,BM.AFAnterior,BM.MEDAnterior),IF(AND(RegimeExecucao="Global",$I41&gt;0,COUNTIF($AB$13:$AM$13,BM.medicao-1)&gt;0),M41/$I41*100,0))</f>
        <v>0</v>
      </c>
      <c r="K41" s="124">
        <f ca="1">L41-J41</f>
        <v>0</v>
      </c>
      <c r="L41" s="378">
        <f ca="1">IF($A41="S",IF(CAIXA.Modo,BM.AFAcumulado,BM.MEDAcumulado),IF(AND(RegimeExecucao="Global",$I41&gt;0,COUNTIF($AB$13:$AM$13,BM.medicao)&gt;0),O41/$I41*100,0))</f>
        <v>0</v>
      </c>
      <c r="M41" s="379">
        <f ca="1">IF($A41="S",VTOTALBM,IF($A41=0,0,ROUND(SomaAgrupBM,15-13*ORÇAMENTO!$AF$11)))</f>
        <v>0</v>
      </c>
      <c r="N41" s="380">
        <f ca="1">O41-M41</f>
        <v>0</v>
      </c>
      <c r="O41" s="127">
        <f ca="1">IF($A41="S",VTOTALBM,IF($A41=0,0,ROUND(SomaAgrupBM,15-13*ORÇAMENTO!$AF$11)))</f>
        <v>0</v>
      </c>
      <c r="Q41" s="381"/>
      <c r="R41" s="382"/>
      <c r="T41" s="119" t="str">
        <f ca="1">IF($W41&gt;0,$D41,"")</f>
        <v/>
      </c>
      <c r="U41" s="171" t="str">
        <f ca="1">IF($W41&gt;0,$E41,"")</f>
        <v/>
      </c>
      <c r="V41" s="172" t="str">
        <f ca="1">IF(AND($W41&gt;0,RegimeExecucao="Unitário"),$F41,"")</f>
        <v/>
      </c>
      <c r="W41" s="547">
        <f ca="1">IF($Y41&gt;0,CHOOSE(MATCH(RegimeExecucao,{"Unitário","Global"},0),IF($A41="S",$Y41/$X41,""),($Y41/$X41)*100),0)</f>
        <v>0</v>
      </c>
      <c r="X41" s="383" t="str">
        <f ca="1">IF($Y41&gt;0,CHOOSE(MATCH(RegimeExecucao,{"Unitário","Global"},0),IF($A41="S",ROUND($H41,ORÇAMENTO!$AF$10),""),ROUND($I41,ORÇAMENTO!$AF$11)),"")</f>
        <v/>
      </c>
      <c r="Y41" s="383">
        <f ca="1">AO41-O41</f>
        <v>0</v>
      </c>
      <c r="Z41" s="384"/>
      <c r="AB41" s="381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382"/>
      <c r="AO41" s="577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s="577" customFormat="1" ht="25.5" x14ac:dyDescent="0.2">
      <c r="A42" s="577" t="str">
        <f ca="1">ORÇAMENTO!C42</f>
        <v>S</v>
      </c>
      <c r="B42" s="577">
        <f ca="1">ORÇAMENTO!D42</f>
        <v>0</v>
      </c>
      <c r="C42" s="116" t="str">
        <f ca="1">IF(OR($I42&gt;0,$A42=1,$A42=2,$A42=3,$A42=4),"F","")</f>
        <v/>
      </c>
      <c r="D42" s="119" t="str">
        <f ca="1">ORÇAMENTO!O42</f>
        <v>-</v>
      </c>
      <c r="E42" s="171" t="str">
        <f t="shared" ca="1" si="18"/>
        <v>(abra o arquivo 'Referência 04-2024.xls)</v>
      </c>
      <c r="F42" s="172" t="str">
        <f ca="1">IF(RegimeExecucao="Global","",ORÇAMENTO.Unidade)</f>
        <v/>
      </c>
      <c r="G42" s="124" t="str">
        <f ca="1">IF(RegimeExecucao="Global","",ORÇAMENTO!T42)</f>
        <v/>
      </c>
      <c r="H42" s="124" t="str">
        <f ca="1">IF(RegimeExecucao="Global","",ORÇAMENTO!W42)</f>
        <v/>
      </c>
      <c r="I42" s="127">
        <f ca="1">ORÇAMENTO!X42</f>
        <v>0</v>
      </c>
      <c r="J42" s="377">
        <f ca="1">IF($A42="S",IF(CAIXA.Modo,BM.AFAnterior,BM.MEDAnterior),IF(AND(RegimeExecucao="Global",$I42&gt;0,COUNTIF($AB$13:$AM$13,BM.medicao-1)&gt;0),M42/$I42*100,0))</f>
        <v>0</v>
      </c>
      <c r="K42" s="124">
        <f ca="1">L42-J42</f>
        <v>0</v>
      </c>
      <c r="L42" s="378">
        <f ca="1">IF($A42="S",IF(CAIXA.Modo,BM.AFAcumulado,BM.MEDAcumulado),IF(AND(RegimeExecucao="Global",$I42&gt;0,COUNTIF($AB$13:$AM$13,BM.medicao)&gt;0),O42/$I42*100,0))</f>
        <v>0</v>
      </c>
      <c r="M42" s="379">
        <f ca="1">IF($A42="S",VTOTALBM,IF($A42=0,0,ROUND(SomaAgrupBM,15-13*ORÇAMENTO!$AF$11)))</f>
        <v>0</v>
      </c>
      <c r="N42" s="380">
        <f ca="1">O42-M42</f>
        <v>0</v>
      </c>
      <c r="O42" s="127">
        <f ca="1">IF($A42="S",VTOTALBM,IF($A42=0,0,ROUND(SomaAgrupBM,15-13*ORÇAMENTO!$AF$11)))</f>
        <v>0</v>
      </c>
      <c r="Q42" s="381"/>
      <c r="R42" s="382"/>
      <c r="T42" s="119" t="str">
        <f ca="1">IF($W42&gt;0,$D42,"")</f>
        <v/>
      </c>
      <c r="U42" s="171" t="str">
        <f ca="1">IF($W42&gt;0,$E42,"")</f>
        <v/>
      </c>
      <c r="V42" s="172" t="str">
        <f ca="1">IF(AND($W42&gt;0,RegimeExecucao="Unitário"),$F42,"")</f>
        <v/>
      </c>
      <c r="W42" s="547">
        <f ca="1">IF($Y42&gt;0,CHOOSE(MATCH(RegimeExecucao,{"Unitário","Global"},0),IF($A42="S",$Y42/$X42,""),($Y42/$X42)*100),0)</f>
        <v>0</v>
      </c>
      <c r="X42" s="383" t="str">
        <f ca="1">IF($Y42&gt;0,CHOOSE(MATCH(RegimeExecucao,{"Unitário","Global"},0),IF($A42="S",ROUND($H42,ORÇAMENTO!$AF$10),""),ROUND($I42,ORÇAMENTO!$AF$11)),"")</f>
        <v/>
      </c>
      <c r="Y42" s="383">
        <f ca="1">AO42-O42</f>
        <v>0</v>
      </c>
      <c r="Z42" s="384"/>
      <c r="AB42" s="381"/>
      <c r="AC42" s="516"/>
      <c r="AD42" s="516"/>
      <c r="AE42" s="516"/>
      <c r="AF42" s="516"/>
      <c r="AG42" s="516"/>
      <c r="AH42" s="516"/>
      <c r="AI42" s="516"/>
      <c r="AJ42" s="516"/>
      <c r="AK42" s="516"/>
      <c r="AL42" s="516"/>
      <c r="AM42" s="382"/>
      <c r="AO42" s="577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s="577" customFormat="1" x14ac:dyDescent="0.2">
      <c r="A43" s="577">
        <f ca="1">ORÇAMENTO!C43</f>
        <v>2</v>
      </c>
      <c r="B43" s="577">
        <f ca="1">ORÇAMENTO!D43</f>
        <v>2</v>
      </c>
      <c r="C43" s="116" t="str">
        <f t="shared" ref="C43:C44" ca="1" si="19">IF(OR($I43&gt;0,$A43=1,$A43=2,$A43=3,$A43=4),"F","")</f>
        <v>F</v>
      </c>
      <c r="D43" s="119" t="str">
        <f ca="1">ORÇAMENTO!O43</f>
        <v>1.9.</v>
      </c>
      <c r="E43" s="171" t="str">
        <f t="shared" si="18"/>
        <v>Lado Esquerdo</v>
      </c>
      <c r="F43" s="172" t="str">
        <f ca="1">IF(RegimeExecucao="Global","",ORÇAMENTO.Unidade)</f>
        <v/>
      </c>
      <c r="G43" s="124" t="str">
        <f ca="1">IF(RegimeExecucao="Global","",ORÇAMENTO!T43)</f>
        <v/>
      </c>
      <c r="H43" s="124" t="str">
        <f ca="1">IF(RegimeExecucao="Global","",ORÇAMENTO!W43)</f>
        <v/>
      </c>
      <c r="I43" s="127">
        <f ca="1">ORÇAMENTO!X43</f>
        <v>0</v>
      </c>
      <c r="J43" s="377">
        <f ca="1">IF($A43="S",IF(CAIXA.Modo,BM.AFAnterior,BM.MEDAnterior),IF(AND(RegimeExecucao="Global",$I43&gt;0,COUNTIF($AB$13:$AM$13,BM.medicao-1)&gt;0),M43/$I43*100,0))</f>
        <v>0</v>
      </c>
      <c r="K43" s="124">
        <f t="shared" ref="K43:K44" ca="1" si="20">L43-J43</f>
        <v>0</v>
      </c>
      <c r="L43" s="378">
        <f ca="1">IF($A43="S",IF(CAIXA.Modo,BM.AFAcumulado,BM.MEDAcumulado),IF(AND(RegimeExecucao="Global",$I43&gt;0,COUNTIF($AB$13:$AM$13,BM.medicao)&gt;0),O43/$I43*100,0))</f>
        <v>0</v>
      </c>
      <c r="M43" s="379">
        <f ca="1">IF($A43="S",VTOTALBM,IF($A43=0,0,ROUND(SomaAgrupBM,15-13*ORÇAMENTO!$AF$11)))</f>
        <v>0</v>
      </c>
      <c r="N43" s="380">
        <f t="shared" ref="N43:N44" ca="1" si="21">O43-M43</f>
        <v>0</v>
      </c>
      <c r="O43" s="127">
        <f ca="1">IF($A43="S",VTOTALBM,IF($A43=0,0,ROUND(SomaAgrupBM,15-13*ORÇAMENTO!$AF$11)))</f>
        <v>0</v>
      </c>
      <c r="Q43" s="381"/>
      <c r="R43" s="382"/>
      <c r="T43" s="119" t="str">
        <f t="shared" ref="T43:T44" ca="1" si="22">IF($W43&gt;0,$D43,"")</f>
        <v/>
      </c>
      <c r="U43" s="171" t="str">
        <f t="shared" ref="U43:U44" ca="1" si="23">IF($W43&gt;0,$E43,"")</f>
        <v/>
      </c>
      <c r="V43" s="172" t="str">
        <f ca="1">IF(AND($W43&gt;0,RegimeExecucao="Unitário"),$F43,"")</f>
        <v/>
      </c>
      <c r="W43" s="547">
        <f ca="1">IF($Y43&gt;0,CHOOSE(MATCH(RegimeExecucao,{"Unitário","Global"},0),IF($A43="S",$Y43/$X43,""),($Y43/$X43)*100),0)</f>
        <v>0</v>
      </c>
      <c r="X43" s="383" t="str">
        <f ca="1">IF($Y43&gt;0,CHOOSE(MATCH(RegimeExecucao,{"Unitário","Global"},0),IF($A43="S",ROUND($H43,ORÇAMENTO!$AF$10),""),ROUND($I43,ORÇAMENTO!$AF$11)),"")</f>
        <v/>
      </c>
      <c r="Y43" s="383">
        <f t="shared" ref="Y43:Y44" ca="1" si="24">AO43-O43</f>
        <v>0</v>
      </c>
      <c r="Z43" s="384"/>
      <c r="AB43" s="381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382"/>
      <c r="AO43" s="577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s="577" customFormat="1" ht="25.5" x14ac:dyDescent="0.2">
      <c r="A44" s="577" t="str">
        <f ca="1">ORÇAMENTO!C44</f>
        <v>S</v>
      </c>
      <c r="B44" s="577">
        <f ca="1">ORÇAMENTO!D44</f>
        <v>0</v>
      </c>
      <c r="C44" s="116" t="str">
        <f t="shared" ca="1" si="19"/>
        <v/>
      </c>
      <c r="D44" s="119" t="str">
        <f ca="1">ORÇAMENTO!O44</f>
        <v>-</v>
      </c>
      <c r="E44" s="171" t="str">
        <f t="shared" ca="1" si="18"/>
        <v>(abra o arquivo 'Referência 04-2024.xls)</v>
      </c>
      <c r="F44" s="172" t="str">
        <f ca="1">IF(RegimeExecucao="Global","",ORÇAMENTO.Unidade)</f>
        <v/>
      </c>
      <c r="G44" s="124" t="str">
        <f ca="1">IF(RegimeExecucao="Global","",ORÇAMENTO!T44)</f>
        <v/>
      </c>
      <c r="H44" s="124" t="str">
        <f ca="1">IF(RegimeExecucao="Global","",ORÇAMENTO!W44)</f>
        <v/>
      </c>
      <c r="I44" s="127">
        <f ca="1">ORÇAMENTO!X44</f>
        <v>0</v>
      </c>
      <c r="J44" s="377">
        <f ca="1">IF($A44="S",IF(CAIXA.Modo,BM.AFAnterior,BM.MEDAnterior),IF(AND(RegimeExecucao="Global",$I44&gt;0,COUNTIF($AB$13:$AM$13,BM.medicao-1)&gt;0),M44/$I44*100,0))</f>
        <v>0</v>
      </c>
      <c r="K44" s="124">
        <f t="shared" ca="1" si="20"/>
        <v>0</v>
      </c>
      <c r="L44" s="378">
        <f ca="1">IF($A44="S",IF(CAIXA.Modo,BM.AFAcumulado,BM.MEDAcumulado),IF(AND(RegimeExecucao="Global",$I44&gt;0,COUNTIF($AB$13:$AM$13,BM.medicao)&gt;0),O44/$I44*100,0))</f>
        <v>0</v>
      </c>
      <c r="M44" s="379">
        <f ca="1">IF($A44="S",VTOTALBM,IF($A44=0,0,ROUND(SomaAgrupBM,15-13*ORÇAMENTO!$AF$11)))</f>
        <v>0</v>
      </c>
      <c r="N44" s="380">
        <f t="shared" ca="1" si="21"/>
        <v>0</v>
      </c>
      <c r="O44" s="127">
        <f ca="1">IF($A44="S",VTOTALBM,IF($A44=0,0,ROUND(SomaAgrupBM,15-13*ORÇAMENTO!$AF$11)))</f>
        <v>0</v>
      </c>
      <c r="Q44" s="381"/>
      <c r="R44" s="382"/>
      <c r="T44" s="119" t="str">
        <f t="shared" ca="1" si="22"/>
        <v/>
      </c>
      <c r="U44" s="171" t="str">
        <f t="shared" ca="1" si="23"/>
        <v/>
      </c>
      <c r="V44" s="172" t="str">
        <f ca="1">IF(AND($W44&gt;0,RegimeExecucao="Unitário"),$F44,"")</f>
        <v/>
      </c>
      <c r="W44" s="547">
        <f ca="1">IF($Y44&gt;0,CHOOSE(MATCH(RegimeExecucao,{"Unitário","Global"},0),IF($A44="S",$Y44/$X44,""),($Y44/$X44)*100),0)</f>
        <v>0</v>
      </c>
      <c r="X44" s="383" t="str">
        <f ca="1">IF($Y44&gt;0,CHOOSE(MATCH(RegimeExecucao,{"Unitário","Global"},0),IF($A44="S",ROUND($H44,ORÇAMENTO!$AF$10),""),ROUND($I44,ORÇAMENTO!$AF$11)),"")</f>
        <v/>
      </c>
      <c r="Y44" s="383">
        <f t="shared" ca="1" si="24"/>
        <v>0</v>
      </c>
      <c r="Z44" s="384"/>
      <c r="AB44" s="381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382"/>
      <c r="AO44" s="577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x14ac:dyDescent="0.2">
      <c r="A45">
        <f ca="1">ORÇAMENTO!C45</f>
        <v>2</v>
      </c>
      <c r="B45">
        <f ca="1">ORÇAMENTO!D45</f>
        <v>4</v>
      </c>
      <c r="C45" s="116" t="str">
        <f t="shared" ref="C45:C48" ca="1" si="25">IF(OR($I45&gt;0,$A45=1,$A45=2,$A45=3,$A45=4),"F","")</f>
        <v>F</v>
      </c>
      <c r="D45" s="119" t="str">
        <f ca="1">ORÇAMENTO!O45</f>
        <v>1.10.</v>
      </c>
      <c r="E45" s="171" t="str">
        <f t="shared" ref="E45:E48" si="26">ORÇAMENTO.Descricao</f>
        <v>SINALIZAÇÃO VERTICAL</v>
      </c>
      <c r="F45" s="172" t="str">
        <f t="shared" ref="F45:F48" ca="1" si="27">IF(RegimeExecucao="Global","",ORÇAMENTO.Unidade)</f>
        <v/>
      </c>
      <c r="G45" s="124" t="str">
        <f ca="1">IF(RegimeExecucao="Global","",ORÇAMENTO!T45)</f>
        <v/>
      </c>
      <c r="H45" s="124" t="str">
        <f ca="1">IF(RegimeExecucao="Global","",ORÇAMENTO!W45)</f>
        <v/>
      </c>
      <c r="I45" s="127">
        <f ca="1">ORÇAMENTO!X45</f>
        <v>0</v>
      </c>
      <c r="J45" s="377">
        <f t="shared" ref="J45:J48" ca="1" si="28">IF($A45="S",IF(CAIXA.Modo,BM.AFAnterior,BM.MEDAnterior),IF(AND(RegimeExecucao="Global",$I45&gt;0,COUNTIF($AB$13:$AM$13,BM.medicao-1)&gt;0),M45/$I45*100,0))</f>
        <v>0</v>
      </c>
      <c r="K45" s="124">
        <f t="shared" ref="K45:K48" ca="1" si="29">L45-J45</f>
        <v>0</v>
      </c>
      <c r="L45" s="378">
        <f t="shared" ref="L45:L48" ca="1" si="30">IF($A45="S",IF(CAIXA.Modo,BM.AFAcumulado,BM.MEDAcumulado),IF(AND(RegimeExecucao="Global",$I45&gt;0,COUNTIF($AB$13:$AM$13,BM.medicao)&gt;0),O45/$I45*100,0))</f>
        <v>0</v>
      </c>
      <c r="M45" s="379">
        <f ca="1">IF($A45="S",VTOTALBM,IF($A45=0,0,ROUND(SomaAgrupBM,15-13*ORÇAMENTO!$AF$11)))</f>
        <v>0</v>
      </c>
      <c r="N45" s="380">
        <f t="shared" ref="N45:N48" ca="1" si="31">O45-M45</f>
        <v>0</v>
      </c>
      <c r="O45" s="127">
        <f ca="1">IF($A45="S",VTOTALBM,IF($A45=0,0,ROUND(SomaAgrupBM,15-13*ORÇAMENTO!$AF$11)))</f>
        <v>0</v>
      </c>
      <c r="Q45" s="381"/>
      <c r="R45" s="382"/>
      <c r="T45" s="119" t="str">
        <f t="shared" ref="T45:T48" ca="1" si="32">IF($W45&gt;0,$D45,"")</f>
        <v/>
      </c>
      <c r="U45" s="171" t="str">
        <f t="shared" ref="U45:U48" ca="1" si="33">IF($W45&gt;0,$E45,"")</f>
        <v/>
      </c>
      <c r="V45" s="172" t="str">
        <f t="shared" ref="V45:V48" ca="1" si="34">IF(AND($W45&gt;0,RegimeExecucao="Unitário"),$F45,"")</f>
        <v/>
      </c>
      <c r="W45" s="547">
        <f ca="1">IF($Y45&gt;0,CHOOSE(MATCH(RegimeExecucao,{"Unitário","Global"},0),IF($A45="S",$Y45/$X45,""),($Y45/$X45)*100),0)</f>
        <v>0</v>
      </c>
      <c r="X45" s="383" t="str">
        <f ca="1">IF($Y45&gt;0,CHOOSE(MATCH(RegimeExecucao,{"Unitário","Global"},0),IF($A45="S",ROUND($H45,ORÇAMENTO!$AF$10),""),ROUND($I45,ORÇAMENTO!$AF$11)),"")</f>
        <v/>
      </c>
      <c r="Y45" s="383">
        <f t="shared" ref="Y45:Y48" ca="1" si="35">AO45-O45</f>
        <v>0</v>
      </c>
      <c r="Z45" s="384"/>
      <c r="AB45" s="381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382"/>
      <c r="AO45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ht="25.5" x14ac:dyDescent="0.2">
      <c r="A46" t="str">
        <f ca="1">ORÇAMENTO!C46</f>
        <v>S</v>
      </c>
      <c r="B46">
        <f ca="1">ORÇAMENTO!D46</f>
        <v>0</v>
      </c>
      <c r="C46" s="116" t="str">
        <f t="shared" ca="1" si="25"/>
        <v/>
      </c>
      <c r="D46" s="119" t="str">
        <f ca="1">ORÇAMENTO!O46</f>
        <v>-</v>
      </c>
      <c r="E46" s="171" t="str">
        <f t="shared" ca="1" si="26"/>
        <v>(abra o arquivo 'Referência 04-2024.xls)</v>
      </c>
      <c r="F46" s="172" t="str">
        <f t="shared" ca="1" si="27"/>
        <v/>
      </c>
      <c r="G46" s="124" t="str">
        <f ca="1">IF(RegimeExecucao="Global","",ORÇAMENTO!T46)</f>
        <v/>
      </c>
      <c r="H46" s="124" t="str">
        <f ca="1">IF(RegimeExecucao="Global","",ORÇAMENTO!W46)</f>
        <v/>
      </c>
      <c r="I46" s="127">
        <f ca="1">ORÇAMENTO!X46</f>
        <v>0</v>
      </c>
      <c r="J46" s="377">
        <f t="shared" ca="1" si="28"/>
        <v>0</v>
      </c>
      <c r="K46" s="124">
        <f t="shared" ca="1" si="29"/>
        <v>0</v>
      </c>
      <c r="L46" s="378">
        <f t="shared" ca="1" si="30"/>
        <v>0</v>
      </c>
      <c r="M46" s="379">
        <f ca="1">IF($A46="S",VTOTALBM,IF($A46=0,0,ROUND(SomaAgrupBM,15-13*ORÇAMENTO!$AF$11)))</f>
        <v>0</v>
      </c>
      <c r="N46" s="380">
        <f t="shared" ca="1" si="31"/>
        <v>0</v>
      </c>
      <c r="O46" s="127">
        <f ca="1">IF($A46="S",VTOTALBM,IF($A46=0,0,ROUND(SomaAgrupBM,15-13*ORÇAMENTO!$AF$11)))</f>
        <v>0</v>
      </c>
      <c r="Q46" s="381"/>
      <c r="R46" s="382"/>
      <c r="T46" s="119" t="str">
        <f t="shared" ca="1" si="32"/>
        <v/>
      </c>
      <c r="U46" s="171" t="str">
        <f t="shared" ca="1" si="33"/>
        <v/>
      </c>
      <c r="V46" s="172" t="str">
        <f t="shared" ca="1" si="34"/>
        <v/>
      </c>
      <c r="W46" s="547">
        <f ca="1">IF($Y46&gt;0,CHOOSE(MATCH(RegimeExecucao,{"Unitário","Global"},0),IF($A46="S",$Y46/$X46,""),($Y46/$X46)*100),0)</f>
        <v>0</v>
      </c>
      <c r="X46" s="383" t="str">
        <f ca="1">IF($Y46&gt;0,CHOOSE(MATCH(RegimeExecucao,{"Unitário","Global"},0),IF($A46="S",ROUND($H46,ORÇAMENTO!$AF$10),""),ROUND($I46,ORÇAMENTO!$AF$11)),"")</f>
        <v/>
      </c>
      <c r="Y46" s="383">
        <f t="shared" ca="1" si="35"/>
        <v>0</v>
      </c>
      <c r="Z46" s="384"/>
      <c r="AB46" s="381"/>
      <c r="AC46" s="516"/>
      <c r="AD46" s="516"/>
      <c r="AE46" s="516"/>
      <c r="AF46" s="516"/>
      <c r="AG46" s="516"/>
      <c r="AH46" s="516"/>
      <c r="AI46" s="516"/>
      <c r="AJ46" s="516"/>
      <c r="AK46" s="516"/>
      <c r="AL46" s="516"/>
      <c r="AM46" s="382"/>
      <c r="AO46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s="583" customFormat="1" ht="25.5" x14ac:dyDescent="0.2">
      <c r="A47" s="583" t="str">
        <f ca="1">ORÇAMENTO!C47</f>
        <v>S</v>
      </c>
      <c r="B47" s="583">
        <f ca="1">ORÇAMENTO!D47</f>
        <v>0</v>
      </c>
      <c r="C47" s="116" t="str">
        <f t="shared" ca="1" si="25"/>
        <v/>
      </c>
      <c r="D47" s="119" t="str">
        <f ca="1">ORÇAMENTO!O47</f>
        <v>-</v>
      </c>
      <c r="E47" s="171" t="str">
        <f t="shared" ca="1" si="26"/>
        <v>(abra o arquivo 'Referência 04-2024.xls)</v>
      </c>
      <c r="F47" s="172" t="str">
        <f t="shared" ca="1" si="27"/>
        <v/>
      </c>
      <c r="G47" s="124" t="str">
        <f ca="1">IF(RegimeExecucao="Global","",ORÇAMENTO!T47)</f>
        <v/>
      </c>
      <c r="H47" s="124" t="str">
        <f ca="1">IF(RegimeExecucao="Global","",ORÇAMENTO!W47)</f>
        <v/>
      </c>
      <c r="I47" s="127">
        <f ca="1">ORÇAMENTO!X47</f>
        <v>0</v>
      </c>
      <c r="J47" s="377">
        <f t="shared" ca="1" si="28"/>
        <v>0</v>
      </c>
      <c r="K47" s="124">
        <f t="shared" ca="1" si="29"/>
        <v>0</v>
      </c>
      <c r="L47" s="378">
        <f t="shared" ca="1" si="30"/>
        <v>0</v>
      </c>
      <c r="M47" s="379">
        <f ca="1">IF($A47="S",VTOTALBM,IF($A47=0,0,ROUND(SomaAgrupBM,15-13*ORÇAMENTO!$AF$11)))</f>
        <v>0</v>
      </c>
      <c r="N47" s="380">
        <f t="shared" ca="1" si="31"/>
        <v>0</v>
      </c>
      <c r="O47" s="127">
        <f ca="1">IF($A47="S",VTOTALBM,IF($A47=0,0,ROUND(SomaAgrupBM,15-13*ORÇAMENTO!$AF$11)))</f>
        <v>0</v>
      </c>
      <c r="Q47" s="381"/>
      <c r="R47" s="382"/>
      <c r="T47" s="119" t="str">
        <f t="shared" ca="1" si="32"/>
        <v/>
      </c>
      <c r="U47" s="171" t="str">
        <f t="shared" ca="1" si="33"/>
        <v/>
      </c>
      <c r="V47" s="172" t="str">
        <f t="shared" ca="1" si="34"/>
        <v/>
      </c>
      <c r="W47" s="547">
        <f ca="1">IF($Y47&gt;0,CHOOSE(MATCH(RegimeExecucao,{"Unitário","Global"},0),IF($A47="S",$Y47/$X47,""),($Y47/$X47)*100),0)</f>
        <v>0</v>
      </c>
      <c r="X47" s="383" t="str">
        <f ca="1">IF($Y47&gt;0,CHOOSE(MATCH(RegimeExecucao,{"Unitário","Global"},0),IF($A47="S",ROUND($H47,ORÇAMENTO!$AF$10),""),ROUND($I47,ORÇAMENTO!$AF$11)),"")</f>
        <v/>
      </c>
      <c r="Y47" s="383">
        <f t="shared" ca="1" si="35"/>
        <v>0</v>
      </c>
      <c r="Z47" s="384"/>
      <c r="AB47" s="381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382"/>
      <c r="AO47" s="583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s="583" customFormat="1" ht="25.5" x14ac:dyDescent="0.2">
      <c r="A48" s="583" t="str">
        <f ca="1">ORÇAMENTO!C48</f>
        <v>S</v>
      </c>
      <c r="B48" s="583">
        <f ca="1">ORÇAMENTO!D48</f>
        <v>0</v>
      </c>
      <c r="C48" s="116" t="str">
        <f t="shared" ca="1" si="25"/>
        <v/>
      </c>
      <c r="D48" s="119" t="str">
        <f ca="1">ORÇAMENTO!O48</f>
        <v>-</v>
      </c>
      <c r="E48" s="171" t="str">
        <f t="shared" ca="1" si="26"/>
        <v>(abra o arquivo 'Referência 04-2024.xls)</v>
      </c>
      <c r="F48" s="172" t="str">
        <f t="shared" ca="1" si="27"/>
        <v/>
      </c>
      <c r="G48" s="124" t="str">
        <f ca="1">IF(RegimeExecucao="Global","",ORÇAMENTO!T48)</f>
        <v/>
      </c>
      <c r="H48" s="124" t="str">
        <f ca="1">IF(RegimeExecucao="Global","",ORÇAMENTO!W48)</f>
        <v/>
      </c>
      <c r="I48" s="127">
        <f ca="1">ORÇAMENTO!X48</f>
        <v>0</v>
      </c>
      <c r="J48" s="377">
        <f t="shared" ca="1" si="28"/>
        <v>0</v>
      </c>
      <c r="K48" s="124">
        <f t="shared" ca="1" si="29"/>
        <v>0</v>
      </c>
      <c r="L48" s="378">
        <f t="shared" ca="1" si="30"/>
        <v>0</v>
      </c>
      <c r="M48" s="379">
        <f ca="1">IF($A48="S",VTOTALBM,IF($A48=0,0,ROUND(SomaAgrupBM,15-13*ORÇAMENTO!$AF$11)))</f>
        <v>0</v>
      </c>
      <c r="N48" s="380">
        <f t="shared" ca="1" si="31"/>
        <v>0</v>
      </c>
      <c r="O48" s="127">
        <f ca="1">IF($A48="S",VTOTALBM,IF($A48=0,0,ROUND(SomaAgrupBM,15-13*ORÇAMENTO!$AF$11)))</f>
        <v>0</v>
      </c>
      <c r="Q48" s="381"/>
      <c r="R48" s="382"/>
      <c r="T48" s="119" t="str">
        <f t="shared" ca="1" si="32"/>
        <v/>
      </c>
      <c r="U48" s="171" t="str">
        <f t="shared" ca="1" si="33"/>
        <v/>
      </c>
      <c r="V48" s="172" t="str">
        <f t="shared" ca="1" si="34"/>
        <v/>
      </c>
      <c r="W48" s="547">
        <f ca="1">IF($Y48&gt;0,CHOOSE(MATCH(RegimeExecucao,{"Unitário","Global"},0),IF($A48="S",$Y48/$X48,""),($Y48/$X48)*100),0)</f>
        <v>0</v>
      </c>
      <c r="X48" s="383" t="str">
        <f ca="1">IF($Y48&gt;0,CHOOSE(MATCH(RegimeExecucao,{"Unitário","Global"},0),IF($A48="S",ROUND($H48,ORÇAMENTO!$AF$10),""),ROUND($I48,ORÇAMENTO!$AF$11)),"")</f>
        <v/>
      </c>
      <c r="Y48" s="383">
        <f t="shared" ca="1" si="35"/>
        <v>0</v>
      </c>
      <c r="Z48" s="384"/>
      <c r="AB48" s="381"/>
      <c r="AC48" s="516"/>
      <c r="AD48" s="516"/>
      <c r="AE48" s="516"/>
      <c r="AF48" s="516"/>
      <c r="AG48" s="516"/>
      <c r="AH48" s="516"/>
      <c r="AI48" s="516"/>
      <c r="AJ48" s="516"/>
      <c r="AK48" s="516"/>
      <c r="AL48" s="516"/>
      <c r="AM48" s="382"/>
      <c r="AO48" s="583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3:39" ht="5.0999999999999996" customHeight="1" x14ac:dyDescent="0.2">
      <c r="C49" s="116" t="s">
        <v>248</v>
      </c>
      <c r="D49" s="484"/>
      <c r="E49" s="485"/>
      <c r="F49" s="485"/>
      <c r="G49" s="485"/>
      <c r="H49" s="485"/>
      <c r="I49" s="486"/>
      <c r="J49" s="484"/>
      <c r="K49" s="485"/>
      <c r="L49" s="486"/>
      <c r="M49" s="513"/>
      <c r="N49" s="514"/>
      <c r="O49" s="515"/>
      <c r="Q49" s="484"/>
      <c r="R49" s="486"/>
      <c r="T49" s="484"/>
      <c r="U49" s="485"/>
      <c r="V49" s="485"/>
      <c r="W49" s="485"/>
      <c r="X49" s="485"/>
      <c r="Y49" s="485"/>
      <c r="Z49" s="486"/>
      <c r="AB49" s="484"/>
      <c r="AC49" s="485"/>
      <c r="AD49" s="485"/>
      <c r="AE49" s="485"/>
      <c r="AF49" s="485"/>
      <c r="AG49" s="485"/>
      <c r="AH49" s="485"/>
      <c r="AI49" s="485"/>
      <c r="AJ49" s="485"/>
      <c r="AK49" s="485"/>
      <c r="AL49" s="485"/>
      <c r="AM49" s="486"/>
    </row>
    <row r="51" spans="3:39" ht="14.25" x14ac:dyDescent="0.2">
      <c r="D51" s="689" t="s">
        <v>189</v>
      </c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89"/>
      <c r="T51" s="690" t="s">
        <v>355</v>
      </c>
      <c r="U51" s="690"/>
      <c r="V51" s="690"/>
      <c r="W51" s="690"/>
      <c r="X51" s="690"/>
      <c r="Y51" s="690"/>
      <c r="Z51" s="690"/>
    </row>
    <row r="52" spans="3:39" ht="12.75" customHeight="1" x14ac:dyDescent="0.2">
      <c r="D52" s="628"/>
      <c r="E52" s="628"/>
      <c r="F52" s="628"/>
      <c r="G52" s="628"/>
      <c r="H52" s="628"/>
      <c r="I52" s="628"/>
      <c r="J52" s="628"/>
      <c r="K52" s="628"/>
      <c r="L52" s="628"/>
      <c r="M52" s="628"/>
      <c r="N52" s="628"/>
      <c r="O52" s="628"/>
      <c r="T52" s="691"/>
      <c r="U52" s="691"/>
      <c r="V52" s="691"/>
      <c r="W52" s="691"/>
      <c r="X52" s="691"/>
      <c r="Y52" s="691"/>
      <c r="Z52" s="691"/>
    </row>
    <row r="53" spans="3:39" ht="12.75" customHeight="1" x14ac:dyDescent="0.2">
      <c r="D53" s="628"/>
      <c r="E53" s="628"/>
      <c r="F53" s="628"/>
      <c r="G53" s="628"/>
      <c r="H53" s="628"/>
      <c r="I53" s="628"/>
      <c r="J53" s="628"/>
      <c r="K53" s="628"/>
      <c r="L53" s="628"/>
      <c r="M53" s="628"/>
      <c r="N53" s="628"/>
      <c r="O53" s="628"/>
      <c r="T53" s="691"/>
      <c r="U53" s="691"/>
      <c r="V53" s="691"/>
      <c r="W53" s="691"/>
      <c r="X53" s="691"/>
      <c r="Y53" s="691"/>
      <c r="Z53" s="691"/>
    </row>
    <row r="54" spans="3:39" ht="12.75" customHeight="1" x14ac:dyDescent="0.2">
      <c r="D54" s="628"/>
      <c r="E54" s="628"/>
      <c r="F54" s="628"/>
      <c r="G54" s="628"/>
      <c r="H54" s="628"/>
      <c r="I54" s="628"/>
      <c r="J54" s="628"/>
      <c r="K54" s="628"/>
      <c r="L54" s="628"/>
      <c r="M54" s="628"/>
      <c r="N54" s="628"/>
      <c r="O54" s="628"/>
      <c r="T54" s="691"/>
      <c r="U54" s="691"/>
      <c r="V54" s="691"/>
      <c r="W54" s="691"/>
      <c r="X54" s="691"/>
      <c r="Y54" s="691"/>
      <c r="Z54" s="691"/>
    </row>
    <row r="55" spans="3:39" ht="14.25" x14ac:dyDescent="0.2">
      <c r="D55" s="534"/>
      <c r="E55" s="534"/>
      <c r="F55" s="534"/>
      <c r="G55" s="534"/>
      <c r="H55" s="534"/>
      <c r="I55" s="534"/>
      <c r="J55" s="534"/>
      <c r="K55" s="534"/>
      <c r="L55" s="534"/>
      <c r="M55" s="534"/>
      <c r="N55" s="534"/>
      <c r="O55" s="534"/>
    </row>
    <row r="56" spans="3:39" ht="15" customHeight="1" x14ac:dyDescent="0.25">
      <c r="D56" s="629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56" s="629"/>
      <c r="F56" s="629"/>
      <c r="G56" s="629"/>
      <c r="H56" s="629"/>
      <c r="I56" s="629"/>
      <c r="J56" s="629"/>
      <c r="K56" s="629"/>
      <c r="L56" s="629"/>
    </row>
    <row r="57" spans="3:39" x14ac:dyDescent="0.2">
      <c r="D57" s="687"/>
      <c r="E57" s="687"/>
      <c r="F57" s="687"/>
      <c r="G57" s="687"/>
      <c r="H57" s="687"/>
      <c r="I57" s="687"/>
    </row>
    <row r="58" spans="3:39" x14ac:dyDescent="0.2">
      <c r="D58" s="685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58" s="685"/>
      <c r="F58" s="685"/>
      <c r="G58" s="685"/>
      <c r="H58" s="685"/>
      <c r="I58" s="685"/>
      <c r="J58" s="685"/>
      <c r="K58" s="685"/>
      <c r="L58" s="685"/>
      <c r="M58" s="685"/>
      <c r="N58" s="685"/>
      <c r="O58" s="685"/>
    </row>
    <row r="59" spans="3:39" ht="39.950000000000003" customHeight="1" x14ac:dyDescent="0.2">
      <c r="E59" s="144" t="str">
        <f>Import.Município</f>
        <v>Caçapava do Sul/RS</v>
      </c>
      <c r="J59" s="686"/>
      <c r="K59" s="686"/>
      <c r="L59" s="686"/>
      <c r="M59" s="686"/>
      <c r="W59" s="686"/>
      <c r="X59" s="686"/>
      <c r="Y59" s="686"/>
      <c r="Z59" s="686"/>
    </row>
    <row r="60" spans="3:39" x14ac:dyDescent="0.2">
      <c r="E60" s="10" t="s">
        <v>190</v>
      </c>
      <c r="J60" s="194" t="s">
        <v>304</v>
      </c>
      <c r="W60" s="194" t="s">
        <v>356</v>
      </c>
    </row>
    <row r="61" spans="3:39" x14ac:dyDescent="0.2">
      <c r="J61" s="78" t="s">
        <v>109</v>
      </c>
      <c r="K61" s="311">
        <f t="array" ref="K61:K64">Import.RespFiscalização</f>
        <v>0</v>
      </c>
      <c r="L61" s="79"/>
      <c r="W61" s="78" t="s">
        <v>109</v>
      </c>
      <c r="X61" s="684"/>
      <c r="Y61" s="684"/>
      <c r="Z61" s="684"/>
    </row>
    <row r="62" spans="3:39" x14ac:dyDescent="0.2">
      <c r="E62" s="552">
        <f ca="1">DADOS!$F$47</f>
        <v>45518</v>
      </c>
      <c r="J62" s="78" t="s">
        <v>128</v>
      </c>
      <c r="K62" s="311">
        <v>0</v>
      </c>
      <c r="L62" s="79"/>
      <c r="W62" s="78" t="s">
        <v>357</v>
      </c>
      <c r="X62" s="684"/>
      <c r="Y62" s="684"/>
      <c r="Z62" s="684"/>
    </row>
    <row r="63" spans="3:39" x14ac:dyDescent="0.2">
      <c r="E63" s="146" t="s">
        <v>191</v>
      </c>
      <c r="J63" s="78" t="s">
        <v>110</v>
      </c>
      <c r="K63" s="311">
        <v>0</v>
      </c>
      <c r="L63" s="79"/>
      <c r="W63" s="78" t="s">
        <v>110</v>
      </c>
      <c r="X63" s="684"/>
      <c r="Y63" s="684"/>
      <c r="Z63" s="684"/>
    </row>
    <row r="64" spans="3:39" x14ac:dyDescent="0.2">
      <c r="J64" s="78" t="s">
        <v>111</v>
      </c>
      <c r="K64" s="13">
        <v>0</v>
      </c>
      <c r="W64" s="78"/>
      <c r="X64" s="13"/>
    </row>
  </sheetData>
  <sheetProtection password="BD1F" sheet="1" objects="1" scenarios="1" autoFilter="0"/>
  <autoFilter ref="C15:C49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56:L56"/>
    <mergeCell ref="D57:I57"/>
    <mergeCell ref="AB15:AM15"/>
    <mergeCell ref="D51:O51"/>
    <mergeCell ref="T51:Z51"/>
    <mergeCell ref="D52:O54"/>
    <mergeCell ref="T52:Z54"/>
    <mergeCell ref="D15:E15"/>
    <mergeCell ref="X63:Z63"/>
    <mergeCell ref="D58:O58"/>
    <mergeCell ref="J59:M59"/>
    <mergeCell ref="W59:Z59"/>
    <mergeCell ref="X61:Z61"/>
    <mergeCell ref="X62:Z62"/>
  </mergeCells>
  <phoneticPr fontId="38" type="noConversion"/>
  <conditionalFormatting sqref="D14:O14 T14:Z14 T24:Z24 D24:O24 D20:O20 T20:Z20 D32:O33 T32:Z33 D46:O46 T46:Z46 D26:O26 T26:Z26 D43:O44 T43:Z44">
    <cfRule type="expression" dxfId="94" priority="2748" stopIfTrue="1">
      <formula>OR(ACOMPANHAMENTO="PLE",TIPOORCAMENTO="Proposto",$L14&lt;0,AND($L14&gt;100,RegimeExecucao="Global"),$O14&gt;$I14,$O14&lt;0)</formula>
    </cfRule>
    <cfRule type="expression" dxfId="93" priority="2749" stopIfTrue="1">
      <formula>$A14=1</formula>
    </cfRule>
    <cfRule type="expression" dxfId="92" priority="2750" stopIfTrue="1">
      <formula>$A14&lt;&gt;"S"</formula>
    </cfRule>
  </conditionalFormatting>
  <conditionalFormatting sqref="Q14:R14 AB14:AM14 AB24:AM24 Q24:R24 Q20:R20 AB20:AM20 Q32:R33 AB32:AM33 Q46:R46 AB46:AM46 Q26:R26 AB26:AM26 Q43:R44 AB43:AM44">
    <cfRule type="expression" dxfId="91" priority="2751" stopIfTrue="1">
      <formula>$A14=1</formula>
    </cfRule>
    <cfRule type="expression" dxfId="90" priority="2752" stopIfTrue="1">
      <formula>$A14&lt;&gt;"S"</formula>
    </cfRule>
  </conditionalFormatting>
  <conditionalFormatting sqref="E2">
    <cfRule type="expression" dxfId="89" priority="2753" stopIfTrue="1">
      <formula>Import.RegimeExecução="(SELECIONAR)"</formula>
    </cfRule>
  </conditionalFormatting>
  <conditionalFormatting sqref="F13:H13">
    <cfRule type="expression" dxfId="88" priority="2754" stopIfTrue="1">
      <formula>RegimeExecucao="Global"</formula>
    </cfRule>
  </conditionalFormatting>
  <conditionalFormatting sqref="D15:O15">
    <cfRule type="expression" dxfId="87" priority="2755" stopIfTrue="1">
      <formula>OR(ACOMPANHAMENTO="PLE",TIPOORCAMENTO="Proposto")</formula>
    </cfRule>
  </conditionalFormatting>
  <conditionalFormatting sqref="D16:O16 T16:Z16 T19:Z19 D19:O19 D21:O21 T21:Z21">
    <cfRule type="expression" dxfId="86" priority="606" stopIfTrue="1">
      <formula>OR(ACOMPANHAMENTO="PLE",TIPOORCAMENTO="Proposto",$L16&lt;0,AND($L16&gt;100,RegimeExecucao="Global"),$O16&gt;$I16,$O16&lt;0)</formula>
    </cfRule>
    <cfRule type="expression" dxfId="85" priority="607" stopIfTrue="1">
      <formula>$A16=1</formula>
    </cfRule>
    <cfRule type="expression" dxfId="84" priority="608" stopIfTrue="1">
      <formula>$A16&lt;&gt;"S"</formula>
    </cfRule>
  </conditionalFormatting>
  <conditionalFormatting sqref="Q16:R16 AB16:AM16 AB19:AM19 Q19:R19 Q21:R21 AB21:AM21">
    <cfRule type="expression" dxfId="83" priority="609" stopIfTrue="1">
      <formula>$A16=1</formula>
    </cfRule>
    <cfRule type="expression" dxfId="82" priority="610" stopIfTrue="1">
      <formula>$A16&lt;&gt;"S"</formula>
    </cfRule>
  </conditionalFormatting>
  <conditionalFormatting sqref="D45:O45 T45:Z45">
    <cfRule type="expression" dxfId="81" priority="326" stopIfTrue="1">
      <formula>OR(ACOMPANHAMENTO="PLE",TIPOORCAMENTO="Proposto",$L45&lt;0,AND($L45&gt;100,RegimeExecucao="Global"),$O45&gt;$I45,$O45&lt;0)</formula>
    </cfRule>
    <cfRule type="expression" dxfId="80" priority="327" stopIfTrue="1">
      <formula>$A45=1</formula>
    </cfRule>
    <cfRule type="expression" dxfId="79" priority="328" stopIfTrue="1">
      <formula>$A45&lt;&gt;"S"</formula>
    </cfRule>
  </conditionalFormatting>
  <conditionalFormatting sqref="Q45:R45 AB45:AM45">
    <cfRule type="expression" dxfId="78" priority="329" stopIfTrue="1">
      <formula>$A45=1</formula>
    </cfRule>
    <cfRule type="expression" dxfId="77" priority="330" stopIfTrue="1">
      <formula>$A45&lt;&gt;"S"</formula>
    </cfRule>
  </conditionalFormatting>
  <conditionalFormatting sqref="D30:O30 T30:Z30">
    <cfRule type="expression" dxfId="76" priority="231" stopIfTrue="1">
      <formula>OR(ACOMPANHAMENTO="PLE",TIPOORCAMENTO="Proposto",$L30&lt;0,AND($L30&gt;100,RegimeExecucao="Global"),$O30&gt;$I30,$O30&lt;0)</formula>
    </cfRule>
    <cfRule type="expression" dxfId="75" priority="232" stopIfTrue="1">
      <formula>$A30=1</formula>
    </cfRule>
    <cfRule type="expression" dxfId="74" priority="233" stopIfTrue="1">
      <formula>$A30&lt;&gt;"S"</formula>
    </cfRule>
  </conditionalFormatting>
  <conditionalFormatting sqref="Q30:R30 AB30:AM30">
    <cfRule type="expression" dxfId="73" priority="234" stopIfTrue="1">
      <formula>$A30=1</formula>
    </cfRule>
    <cfRule type="expression" dxfId="72" priority="235" stopIfTrue="1">
      <formula>$A30&lt;&gt;"S"</formula>
    </cfRule>
  </conditionalFormatting>
  <conditionalFormatting sqref="D31:O31 T31:Z31">
    <cfRule type="expression" dxfId="71" priority="201" stopIfTrue="1">
      <formula>OR(ACOMPANHAMENTO="PLE",TIPOORCAMENTO="Proposto",$L31&lt;0,AND($L31&gt;100,RegimeExecucao="Global"),$O31&gt;$I31,$O31&lt;0)</formula>
    </cfRule>
    <cfRule type="expression" dxfId="70" priority="202" stopIfTrue="1">
      <formula>$A31=1</formula>
    </cfRule>
    <cfRule type="expression" dxfId="69" priority="203" stopIfTrue="1">
      <formula>$A31&lt;&gt;"S"</formula>
    </cfRule>
  </conditionalFormatting>
  <conditionalFormatting sqref="Q31:R31 AB31:AM31">
    <cfRule type="expression" dxfId="68" priority="204" stopIfTrue="1">
      <formula>$A31=1</formula>
    </cfRule>
    <cfRule type="expression" dxfId="67" priority="205" stopIfTrue="1">
      <formula>$A31&lt;&gt;"S"</formula>
    </cfRule>
  </conditionalFormatting>
  <conditionalFormatting sqref="D25:O25 T25:Z25">
    <cfRule type="expression" dxfId="66" priority="151" stopIfTrue="1">
      <formula>OR(ACOMPANHAMENTO="PLE",TIPOORCAMENTO="Proposto",$L25&lt;0,AND($L25&gt;100,RegimeExecucao="Global"),$O25&gt;$I25,$O25&lt;0)</formula>
    </cfRule>
    <cfRule type="expression" dxfId="65" priority="152" stopIfTrue="1">
      <formula>$A25=1</formula>
    </cfRule>
    <cfRule type="expression" dxfId="64" priority="153" stopIfTrue="1">
      <formula>$A25&lt;&gt;"S"</formula>
    </cfRule>
  </conditionalFormatting>
  <conditionalFormatting sqref="Q25:R25 AB25:AM25">
    <cfRule type="expression" dxfId="63" priority="154" stopIfTrue="1">
      <formula>$A25=1</formula>
    </cfRule>
    <cfRule type="expression" dxfId="62" priority="155" stopIfTrue="1">
      <formula>$A25&lt;&gt;"S"</formula>
    </cfRule>
  </conditionalFormatting>
  <conditionalFormatting sqref="D29:O29 T29:Z29">
    <cfRule type="expression" dxfId="61" priority="146" stopIfTrue="1">
      <formula>OR(ACOMPANHAMENTO="PLE",TIPOORCAMENTO="Proposto",$L29&lt;0,AND($L29&gt;100,RegimeExecucao="Global"),$O29&gt;$I29,$O29&lt;0)</formula>
    </cfRule>
    <cfRule type="expression" dxfId="60" priority="147" stopIfTrue="1">
      <formula>$A29=1</formula>
    </cfRule>
    <cfRule type="expression" dxfId="59" priority="148" stopIfTrue="1">
      <formula>$A29&lt;&gt;"S"</formula>
    </cfRule>
  </conditionalFormatting>
  <conditionalFormatting sqref="Q29:R29 AB29:AM29">
    <cfRule type="expression" dxfId="58" priority="149" stopIfTrue="1">
      <formula>$A29=1</formula>
    </cfRule>
    <cfRule type="expression" dxfId="57" priority="150" stopIfTrue="1">
      <formula>$A29&lt;&gt;"S"</formula>
    </cfRule>
  </conditionalFormatting>
  <conditionalFormatting sqref="T40:Z40 D40:O40">
    <cfRule type="expression" dxfId="56" priority="136" stopIfTrue="1">
      <formula>OR(ACOMPANHAMENTO="PLE",TIPOORCAMENTO="Proposto",$L40&lt;0,AND($L40&gt;100,RegimeExecucao="Global"),$O40&gt;$I40,$O40&lt;0)</formula>
    </cfRule>
    <cfRule type="expression" dxfId="55" priority="137" stopIfTrue="1">
      <formula>$A40=1</formula>
    </cfRule>
    <cfRule type="expression" dxfId="54" priority="138" stopIfTrue="1">
      <formula>$A40&lt;&gt;"S"</formula>
    </cfRule>
  </conditionalFormatting>
  <conditionalFormatting sqref="AB40:AM40 Q40:R40">
    <cfRule type="expression" dxfId="53" priority="139" stopIfTrue="1">
      <formula>$A40=1</formula>
    </cfRule>
    <cfRule type="expression" dxfId="52" priority="140" stopIfTrue="1">
      <formula>$A40&lt;&gt;"S"</formula>
    </cfRule>
  </conditionalFormatting>
  <conditionalFormatting sqref="D17:O18 T17:Z18">
    <cfRule type="expression" dxfId="51" priority="106" stopIfTrue="1">
      <formula>OR(ACOMPANHAMENTO="PLE",TIPOORCAMENTO="Proposto",$L17&lt;0,AND($L17&gt;100,RegimeExecucao="Global"),$O17&gt;$I17,$O17&lt;0)</formula>
    </cfRule>
    <cfRule type="expression" dxfId="50" priority="107" stopIfTrue="1">
      <formula>$A17=1</formula>
    </cfRule>
    <cfRule type="expression" dxfId="49" priority="108" stopIfTrue="1">
      <formula>$A17&lt;&gt;"S"</formula>
    </cfRule>
  </conditionalFormatting>
  <conditionalFormatting sqref="Q17:R18 AB17:AM18">
    <cfRule type="expression" dxfId="48" priority="109" stopIfTrue="1">
      <formula>$A17=1</formula>
    </cfRule>
    <cfRule type="expression" dxfId="47" priority="110" stopIfTrue="1">
      <formula>$A17&lt;&gt;"S"</formula>
    </cfRule>
  </conditionalFormatting>
  <conditionalFormatting sqref="D22:O23 T22:Z23">
    <cfRule type="expression" dxfId="46" priority="91" stopIfTrue="1">
      <formula>OR(ACOMPANHAMENTO="PLE",TIPOORCAMENTO="Proposto",$L22&lt;0,AND($L22&gt;100,RegimeExecucao="Global"),$O22&gt;$I22,$O22&lt;0)</formula>
    </cfRule>
    <cfRule type="expression" dxfId="45" priority="92" stopIfTrue="1">
      <formula>$A22=1</formula>
    </cfRule>
    <cfRule type="expression" dxfId="44" priority="93" stopIfTrue="1">
      <formula>$A22&lt;&gt;"S"</formula>
    </cfRule>
  </conditionalFormatting>
  <conditionalFormatting sqref="Q22:R23 AB22:AM23">
    <cfRule type="expression" dxfId="43" priority="94" stopIfTrue="1">
      <formula>$A22=1</formula>
    </cfRule>
    <cfRule type="expression" dxfId="42" priority="95" stopIfTrue="1">
      <formula>$A22&lt;&gt;"S"</formula>
    </cfRule>
  </conditionalFormatting>
  <conditionalFormatting sqref="D42:O42 T42:Z42">
    <cfRule type="expression" dxfId="41" priority="61" stopIfTrue="1">
      <formula>OR(ACOMPANHAMENTO="PLE",TIPOORCAMENTO="Proposto",$L42&lt;0,AND($L42&gt;100,RegimeExecucao="Global"),$O42&gt;$I42,$O42&lt;0)</formula>
    </cfRule>
    <cfRule type="expression" dxfId="40" priority="62" stopIfTrue="1">
      <formula>$A42=1</formula>
    </cfRule>
    <cfRule type="expression" dxfId="39" priority="63" stopIfTrue="1">
      <formula>$A42&lt;&gt;"S"</formula>
    </cfRule>
  </conditionalFormatting>
  <conditionalFormatting sqref="Q42:R42 AB42:AM42">
    <cfRule type="expression" dxfId="38" priority="64" stopIfTrue="1">
      <formula>$A42=1</formula>
    </cfRule>
    <cfRule type="expression" dxfId="37" priority="65" stopIfTrue="1">
      <formula>$A42&lt;&gt;"S"</formula>
    </cfRule>
  </conditionalFormatting>
  <conditionalFormatting sqref="D41:O41 T41:Z41">
    <cfRule type="expression" dxfId="36" priority="51" stopIfTrue="1">
      <formula>OR(ACOMPANHAMENTO="PLE",TIPOORCAMENTO="Proposto",$L41&lt;0,AND($L41&gt;100,RegimeExecucao="Global"),$O41&gt;$I41,$O41&lt;0)</formula>
    </cfRule>
    <cfRule type="expression" dxfId="35" priority="52" stopIfTrue="1">
      <formula>$A41=1</formula>
    </cfRule>
    <cfRule type="expression" dxfId="34" priority="53" stopIfTrue="1">
      <formula>$A41&lt;&gt;"S"</formula>
    </cfRule>
  </conditionalFormatting>
  <conditionalFormatting sqref="Q41:R41 AB41:AM41">
    <cfRule type="expression" dxfId="33" priority="54" stopIfTrue="1">
      <formula>$A41=1</formula>
    </cfRule>
    <cfRule type="expression" dxfId="32" priority="55" stopIfTrue="1">
      <formula>$A41&lt;&gt;"S"</formula>
    </cfRule>
  </conditionalFormatting>
  <conditionalFormatting sqref="D27:O28 T27:Z28">
    <cfRule type="expression" dxfId="31" priority="31" stopIfTrue="1">
      <formula>OR(ACOMPANHAMENTO="PLE",TIPOORCAMENTO="Proposto",$L27&lt;0,AND($L27&gt;100,RegimeExecucao="Global"),$O27&gt;$I27,$O27&lt;0)</formula>
    </cfRule>
    <cfRule type="expression" dxfId="30" priority="32" stopIfTrue="1">
      <formula>$A27=1</formula>
    </cfRule>
    <cfRule type="expression" dxfId="29" priority="33" stopIfTrue="1">
      <formula>$A27&lt;&gt;"S"</formula>
    </cfRule>
  </conditionalFormatting>
  <conditionalFormatting sqref="Q27:R28 AB27:AM28">
    <cfRule type="expression" dxfId="28" priority="34" stopIfTrue="1">
      <formula>$A27=1</formula>
    </cfRule>
    <cfRule type="expression" dxfId="27" priority="35" stopIfTrue="1">
      <formula>$A27&lt;&gt;"S"</formula>
    </cfRule>
  </conditionalFormatting>
  <conditionalFormatting sqref="D34:O36 T34:Z36 T38:Z38 D38:O38">
    <cfRule type="expression" dxfId="26" priority="26" stopIfTrue="1">
      <formula>OR(ACOMPANHAMENTO="PLE",TIPOORCAMENTO="Proposto",$L34&lt;0,AND($L34&gt;100,RegimeExecucao="Global"),$O34&gt;$I34,$O34&lt;0)</formula>
    </cfRule>
    <cfRule type="expression" dxfId="25" priority="27" stopIfTrue="1">
      <formula>$A34=1</formula>
    </cfRule>
    <cfRule type="expression" dxfId="24" priority="28" stopIfTrue="1">
      <formula>$A34&lt;&gt;"S"</formula>
    </cfRule>
  </conditionalFormatting>
  <conditionalFormatting sqref="Q34:R36 AB34:AM36 AB38:AM38 Q38:R38">
    <cfRule type="expression" dxfId="23" priority="29" stopIfTrue="1">
      <formula>$A34=1</formula>
    </cfRule>
    <cfRule type="expression" dxfId="22" priority="30" stopIfTrue="1">
      <formula>$A34&lt;&gt;"S"</formula>
    </cfRule>
  </conditionalFormatting>
  <conditionalFormatting sqref="D37:O37 T37:Z37">
    <cfRule type="expression" dxfId="21" priority="16" stopIfTrue="1">
      <formula>OR(ACOMPANHAMENTO="PLE",TIPOORCAMENTO="Proposto",$L37&lt;0,AND($L37&gt;100,RegimeExecucao="Global"),$O37&gt;$I37,$O37&lt;0)</formula>
    </cfRule>
    <cfRule type="expression" dxfId="20" priority="17" stopIfTrue="1">
      <formula>$A37=1</formula>
    </cfRule>
    <cfRule type="expression" dxfId="19" priority="18" stopIfTrue="1">
      <formula>$A37&lt;&gt;"S"</formula>
    </cfRule>
  </conditionalFormatting>
  <conditionalFormatting sqref="Q37:R37 AB37:AM37">
    <cfRule type="expression" dxfId="18" priority="19" stopIfTrue="1">
      <formula>$A37=1</formula>
    </cfRule>
    <cfRule type="expression" dxfId="17" priority="20" stopIfTrue="1">
      <formula>$A37&lt;&gt;"S"</formula>
    </cfRule>
  </conditionalFormatting>
  <conditionalFormatting sqref="D39:O39 T39:Z39">
    <cfRule type="expression" dxfId="16" priority="6" stopIfTrue="1">
      <formula>OR(ACOMPANHAMENTO="PLE",TIPOORCAMENTO="Proposto",$L39&lt;0,AND($L39&gt;100,RegimeExecucao="Global"),$O39&gt;$I39,$O39&lt;0)</formula>
    </cfRule>
    <cfRule type="expression" dxfId="15" priority="7" stopIfTrue="1">
      <formula>$A39=1</formula>
    </cfRule>
    <cfRule type="expression" dxfId="14" priority="8" stopIfTrue="1">
      <formula>$A39&lt;&gt;"S"</formula>
    </cfRule>
  </conditionalFormatting>
  <conditionalFormatting sqref="Q39:R39 AB39:AM39">
    <cfRule type="expression" dxfId="13" priority="9" stopIfTrue="1">
      <formula>$A39=1</formula>
    </cfRule>
    <cfRule type="expression" dxfId="12" priority="10" stopIfTrue="1">
      <formula>$A39&lt;&gt;"S"</formula>
    </cfRule>
  </conditionalFormatting>
  <conditionalFormatting sqref="D47:O48 T47:Z48">
    <cfRule type="expression" dxfId="11" priority="1" stopIfTrue="1">
      <formula>OR(ACOMPANHAMENTO="PLE",TIPOORCAMENTO="Proposto",$L47&lt;0,AND($L47&gt;100,RegimeExecucao="Global"),$O47&gt;$I47,$O47&lt;0)</formula>
    </cfRule>
    <cfRule type="expression" dxfId="10" priority="2" stopIfTrue="1">
      <formula>$A47=1</formula>
    </cfRule>
    <cfRule type="expression" dxfId="9" priority="3" stopIfTrue="1">
      <formula>$A47&lt;&gt;"S"</formula>
    </cfRule>
  </conditionalFormatting>
  <conditionalFormatting sqref="Q47:R48 AB47:AM48">
    <cfRule type="expression" dxfId="8" priority="4" stopIfTrue="1">
      <formula>$A47=1</formula>
    </cfRule>
    <cfRule type="expression" dxfId="7" priority="5" stopIfTrue="1">
      <formula>$A47&lt;&gt;"S"</formula>
    </cfRule>
  </conditionalFormatting>
  <dataValidations count="4">
    <dataValidation type="list" allowBlank="1" showErrorMessage="1" sqref="Z14 Z16:Z48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48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48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19" t="s">
        <v>149</v>
      </c>
      <c r="F3" s="619"/>
      <c r="G3" s="619"/>
      <c r="H3" s="619"/>
      <c r="I3" s="607" t="s">
        <v>147</v>
      </c>
      <c r="J3" s="607"/>
      <c r="K3" s="607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24" t="str">
        <f>Import.Proponente</f>
        <v>Prefeitura Municipal de Caçapava do Sul</v>
      </c>
      <c r="F4" s="624"/>
      <c r="G4" s="624"/>
      <c r="H4" s="624"/>
      <c r="I4" s="611">
        <f>Import.CR</f>
        <v>0</v>
      </c>
      <c r="J4" s="611"/>
      <c r="K4" s="611"/>
      <c r="L4" s="57">
        <f>Import.SICONV</f>
        <v>0</v>
      </c>
      <c r="M4" s="697" t="s">
        <v>309</v>
      </c>
      <c r="N4" s="698"/>
      <c r="O4" s="699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607" t="s">
        <v>204</v>
      </c>
      <c r="F6" s="607"/>
      <c r="G6" s="607"/>
      <c r="H6" s="607"/>
      <c r="I6" s="724" t="s">
        <v>308</v>
      </c>
      <c r="J6" s="724"/>
      <c r="K6" s="724"/>
      <c r="L6" s="724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595" t="s">
        <v>211</v>
      </c>
      <c r="E7" s="611" t="str">
        <f>Import.Apelido</f>
        <v>Calçamento da Rua Barão do Rio Branco</v>
      </c>
      <c r="F7" s="611"/>
      <c r="G7" s="611"/>
      <c r="H7" s="611"/>
      <c r="I7" s="721" t="str">
        <f>Import.Município</f>
        <v>Caçapava do Sul/RS</v>
      </c>
      <c r="J7" s="721"/>
      <c r="K7" s="721"/>
      <c r="L7" s="721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595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595"/>
      <c r="G9" s="722" t="s">
        <v>363</v>
      </c>
      <c r="H9" s="722"/>
      <c r="I9" s="722" t="s">
        <v>364</v>
      </c>
      <c r="J9" s="722"/>
      <c r="K9" s="401"/>
      <c r="L9" s="723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595"/>
      <c r="G10" s="613" t="e">
        <f ca="1">IF(J10="-","-",IF($P$15&lt;J10,"Atrasada",IF($P$15&gt;J10,"Adiantada","Normal")))</f>
        <v>#DIV/0!</v>
      </c>
      <c r="H10" s="613"/>
      <c r="I10" s="404">
        <f ca="1">DATE(YEAR($L$26),MONTH($L$26),1)</f>
        <v>45505</v>
      </c>
      <c r="J10" s="405" t="e">
        <f ca="1">IF($I$10&lt;DATE(YEAR(CRONO!$T$13),MONTH(CRONO!$T$13),1),0,IF($I$10&gt;CRONO!$AE$13,1,INDEX(CRONO!$S$53:$AG$53,MATCH(RRE!$I$10,CRONO!$S$13:$AG$13,0))))</f>
        <v>#DIV/0!</v>
      </c>
      <c r="K10" s="401"/>
      <c r="L10" s="723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18" t="s">
        <v>366</v>
      </c>
      <c r="AD10" s="718"/>
      <c r="AE10" s="718"/>
      <c r="AF10" s="718"/>
      <c r="AG10" s="718"/>
      <c r="AH10" s="718"/>
      <c r="AJ10" s="718" t="s">
        <v>4</v>
      </c>
      <c r="AK10" s="718"/>
      <c r="AL10" s="718"/>
      <c r="AM10" s="718"/>
      <c r="AN10" s="718"/>
      <c r="AO10" s="718"/>
    </row>
    <row r="11" spans="1:41" ht="20.100000000000001" customHeight="1" x14ac:dyDescent="0.2">
      <c r="D11" s="595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19" t="str">
        <f>IF(CAIXA.Modo,"Valores Aferidos (R$)","Valores Medidos (R$)")</f>
        <v>Valores Medidos (R$)</v>
      </c>
      <c r="Z11" s="719"/>
      <c r="AC11" s="720" t="s">
        <v>367</v>
      </c>
      <c r="AD11" s="720"/>
      <c r="AE11" s="720"/>
      <c r="AF11" s="720" t="s">
        <v>368</v>
      </c>
      <c r="AG11" s="720"/>
      <c r="AH11" s="720"/>
      <c r="AJ11" s="720" t="s">
        <v>367</v>
      </c>
      <c r="AK11" s="720"/>
      <c r="AL11" s="720"/>
      <c r="AM11" s="720" t="s">
        <v>368</v>
      </c>
      <c r="AN11" s="720"/>
      <c r="AO11" s="720"/>
    </row>
    <row r="12" spans="1:41" hidden="1" x14ac:dyDescent="0.2">
      <c r="A12" t="e">
        <f ca="1">MATCH(E12,ORÇAMENTO!$E$15:$E$49,0)-1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MATCH(E14,ORÇAMENTO!$E$15:$E$49,0)-1</f>
        <v>1</v>
      </c>
      <c r="B14">
        <f ca="1">IF(ISERROR($A14),NA(),OFFSET(ORÇAMENTO!$D$15,$A14,0))</f>
        <v>33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DA RUA BARÃO DO RIO BRANCO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06" t="s">
        <v>378</v>
      </c>
      <c r="K15" s="707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08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09" t="str">
        <f>IF(import.recurso="FGTS","Financiamento","Repasse")</f>
        <v>Repasse</v>
      </c>
      <c r="K16" s="710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08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11" t="s">
        <v>383</v>
      </c>
      <c r="K17" s="712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08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713" t="s">
        <v>360</v>
      </c>
      <c r="K18" s="714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08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15" t="s">
        <v>362</v>
      </c>
      <c r="K19" s="716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08"/>
      <c r="X19" s="358"/>
      <c r="Y19" s="360"/>
      <c r="Z19" s="361"/>
    </row>
    <row r="20" spans="4:30" x14ac:dyDescent="0.2">
      <c r="O20" s="717" t="e">
        <f ca="1">"Acumulado Anterior:  "&amp;TEXT($M$19/($L$19+10^-12),"0,00%")</f>
        <v>#DIV/0!</v>
      </c>
      <c r="P20" s="717"/>
    </row>
    <row r="21" spans="4:30" ht="14.25" x14ac:dyDescent="0.2">
      <c r="E21" s="141" t="s">
        <v>189</v>
      </c>
      <c r="P21" s="476"/>
    </row>
    <row r="22" spans="4:30" ht="12.75" customHeight="1" x14ac:dyDescent="0.2">
      <c r="E22" s="700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2"/>
    </row>
    <row r="23" spans="4:30" ht="12.75" customHeight="1" x14ac:dyDescent="0.2">
      <c r="E23" s="700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2"/>
      <c r="Y23" s="438"/>
      <c r="Z23" s="438"/>
    </row>
    <row r="24" spans="4:30" ht="12.75" customHeight="1" x14ac:dyDescent="0.2">
      <c r="E24" s="703"/>
      <c r="F24" s="704"/>
      <c r="G24" s="704"/>
      <c r="H24" s="704"/>
      <c r="I24" s="704"/>
      <c r="J24" s="704"/>
      <c r="K24" s="704"/>
      <c r="L24" s="704"/>
      <c r="M24" s="704"/>
      <c r="N24" s="704"/>
      <c r="O24" s="704"/>
      <c r="P24" s="705"/>
    </row>
    <row r="26" spans="4:30" ht="15" x14ac:dyDescent="0.2">
      <c r="E26" s="630" t="str">
        <f>Import.Município</f>
        <v>Caçapava do Sul/RS</v>
      </c>
      <c r="F26" s="630"/>
      <c r="G26" s="630"/>
      <c r="I26" s="439"/>
      <c r="L26" s="640">
        <f ca="1">DADOS!$F$25</f>
        <v>45518</v>
      </c>
      <c r="M26" s="640"/>
      <c r="N26" s="640"/>
      <c r="O26" s="640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85">
        <f>IF(CAIXA.Modo,BM!X61,DADOS!F50)</f>
        <v>0</v>
      </c>
      <c r="N31" s="685"/>
      <c r="O31" s="685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85">
        <f>IF(CAIXA.Modo,BM!X62,DADOS!F51)</f>
        <v>0</v>
      </c>
      <c r="N32" s="685"/>
      <c r="O32" s="685"/>
    </row>
    <row r="33" spans="5:15" x14ac:dyDescent="0.2">
      <c r="L33" s="78" t="s">
        <v>110</v>
      </c>
      <c r="M33" s="685">
        <f>IF(CAIXA.Modo,BM!X63,DADOS!F52)</f>
        <v>0</v>
      </c>
      <c r="N33" s="685"/>
      <c r="O33" s="685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84"/>
      <c r="G38" s="684"/>
      <c r="L38" s="78" t="s">
        <v>109</v>
      </c>
      <c r="M38" s="684"/>
      <c r="N38" s="684"/>
      <c r="O38" s="684"/>
    </row>
    <row r="39" spans="5:15" x14ac:dyDescent="0.2">
      <c r="E39" s="78" t="str">
        <f>IF(CAIXA.Modo,"Função:","Cargo:")</f>
        <v>Cargo:</v>
      </c>
      <c r="F39" s="684"/>
      <c r="G39" s="684"/>
      <c r="L39" s="78" t="str">
        <f>IF(CAIXA.Modo,"Função:","Cargo:")</f>
        <v>Cargo:</v>
      </c>
      <c r="M39" s="684"/>
      <c r="N39" s="684"/>
      <c r="O39" s="684"/>
    </row>
    <row r="40" spans="5:15" x14ac:dyDescent="0.2">
      <c r="E40" s="78" t="str">
        <f>IF(CAIXA.Modo,"Matr:","")</f>
        <v/>
      </c>
      <c r="F40" s="684"/>
      <c r="G40" s="684"/>
      <c r="L40" s="78" t="str">
        <f>IF(CAIXA.Modo,"Matrícula:","")</f>
        <v/>
      </c>
      <c r="M40" s="684"/>
      <c r="N40" s="684"/>
      <c r="O40" s="684"/>
    </row>
  </sheetData>
  <sheetProtection password="BD1F" sheet="1" objects="1" scenarios="1" autoFilter="0"/>
  <autoFilter ref="D13:D21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44"/>
      <c r="C1" s="744"/>
      <c r="D1" s="50"/>
      <c r="E1" s="50"/>
      <c r="F1" s="50"/>
      <c r="G1" s="53" t="s">
        <v>141</v>
      </c>
    </row>
    <row r="2" spans="2:17" x14ac:dyDescent="0.2">
      <c r="B2" s="744"/>
      <c r="C2" s="744"/>
      <c r="D2" s="50"/>
      <c r="E2" s="50"/>
      <c r="F2" s="50"/>
      <c r="G2" s="12" t="s">
        <v>384</v>
      </c>
    </row>
    <row r="3" spans="2:17" ht="26.1" customHeight="1" thickBot="1" x14ac:dyDescent="0.25">
      <c r="B3" s="744"/>
      <c r="C3" s="744"/>
      <c r="D3" s="50"/>
      <c r="E3" s="50"/>
      <c r="F3" s="50"/>
      <c r="G3" s="441"/>
      <c r="I3" s="442" t="s">
        <v>385</v>
      </c>
    </row>
    <row r="4" spans="2:17" ht="12.75" customHeight="1" x14ac:dyDescent="0.2">
      <c r="B4" s="744"/>
      <c r="C4" s="744"/>
      <c r="D4" s="50"/>
      <c r="E4" s="50"/>
      <c r="F4" s="50"/>
      <c r="G4" s="50"/>
      <c r="I4" s="745" t="s">
        <v>386</v>
      </c>
      <c r="J4" s="747" t="s">
        <v>387</v>
      </c>
      <c r="K4" s="747" t="s">
        <v>388</v>
      </c>
      <c r="L4" s="740" t="s">
        <v>389</v>
      </c>
    </row>
    <row r="5" spans="2:17" x14ac:dyDescent="0.2">
      <c r="I5" s="746"/>
      <c r="J5" s="748"/>
      <c r="K5" s="748"/>
      <c r="L5" s="741"/>
    </row>
    <row r="6" spans="2:17" x14ac:dyDescent="0.2">
      <c r="B6" s="443" t="s">
        <v>390</v>
      </c>
      <c r="C6" s="742"/>
      <c r="D6" s="742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43" t="str">
        <f ca="1">CONCATENATE(RRE!$E$26,", ",TEXT(RRE!$L$26,"dd"" de ""mmmm"" de ""aaaa"))</f>
        <v>Caçapava do Sul/RS, 14 de agosto de 2024</v>
      </c>
      <c r="C8" s="743"/>
      <c r="D8" s="743"/>
      <c r="E8" s="743"/>
      <c r="F8" s="743"/>
      <c r="G8" s="743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36" t="s">
        <v>392</v>
      </c>
      <c r="C10" s="736"/>
      <c r="D10" s="736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84"/>
      <c r="D11" s="684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36" t="str">
        <f ca="1">CONCATENATE(RRE.Numero,"ª"," Solicitação de ",IF(import.recurso="OGU","Desbloqueio","Desembolso")," de Recursos.")</f>
        <v>1ª Solicitação de Desbloqueio de Recursos.</v>
      </c>
      <c r="D14" s="736"/>
      <c r="E14" s="736"/>
      <c r="F14" s="736"/>
      <c r="G14" s="736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37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37"/>
      <c r="E15" s="737"/>
      <c r="F15" s="737"/>
      <c r="G15" s="737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37"/>
      <c r="D16" s="737"/>
      <c r="E16" s="737"/>
      <c r="F16" s="737"/>
      <c r="G16" s="737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32" t="str">
        <f>Import.DescLote</f>
        <v>Lote Único - Empreitada Preço Global</v>
      </c>
      <c r="D18" s="732"/>
      <c r="E18" s="732"/>
      <c r="F18" s="732"/>
      <c r="G18" s="732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34" t="s">
        <v>396</v>
      </c>
      <c r="C19" s="735" t="str">
        <f>Import.Proponente</f>
        <v>Prefeitura Municipal de Caçapava do Sul</v>
      </c>
      <c r="D19" s="735"/>
      <c r="E19" s="735"/>
      <c r="F19" s="735"/>
      <c r="G19" s="735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34"/>
      <c r="C20" s="735"/>
      <c r="D20" s="735"/>
      <c r="E20" s="735"/>
      <c r="F20" s="735"/>
      <c r="G20" s="735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32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32"/>
      <c r="D24" s="732"/>
      <c r="E24" s="732"/>
      <c r="F24" s="732"/>
      <c r="G24" s="732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32"/>
      <c r="C25" s="732"/>
      <c r="D25" s="732"/>
      <c r="E25" s="732"/>
      <c r="F25" s="732"/>
      <c r="G25" s="732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32"/>
      <c r="C26" s="732"/>
      <c r="D26" s="732"/>
      <c r="E26" s="732"/>
      <c r="F26" s="732"/>
      <c r="G26" s="732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33"/>
      <c r="C28" s="733"/>
      <c r="D28" s="738" t="s">
        <v>397</v>
      </c>
      <c r="E28" s="738" t="str">
        <f ca="1">"Evolução da "&amp;RRE.Numero&amp;"ª Medição"</f>
        <v>Evolução da 1ª Medição</v>
      </c>
      <c r="F28" s="739" t="s">
        <v>398</v>
      </c>
      <c r="G28" s="739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33"/>
      <c r="C29" s="733"/>
      <c r="D29" s="738"/>
      <c r="E29" s="738"/>
      <c r="F29" s="739"/>
      <c r="G29" s="739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27" t="str">
        <f>IF(import.recurso="FGTS","Financiamento:","Repasse:")</f>
        <v>Repasse:</v>
      </c>
      <c r="C30" s="727"/>
      <c r="D30" s="448">
        <f ca="1">RRE!L16</f>
        <v>0</v>
      </c>
      <c r="E30" s="448" t="e">
        <f ca="1">RRE!N16</f>
        <v>#DIV/0!</v>
      </c>
      <c r="F30" s="728" t="e">
        <f ca="1">RRE!O16</f>
        <v>#DIV/0!</v>
      </c>
      <c r="G30" s="728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27" t="s">
        <v>399</v>
      </c>
      <c r="C31" s="727"/>
      <c r="D31" s="448">
        <f ca="1">RRE!L17</f>
        <v>0</v>
      </c>
      <c r="E31" s="448" t="e">
        <f ca="1">RRE!N17</f>
        <v>#DIV/0!</v>
      </c>
      <c r="F31" s="728" t="e">
        <f ca="1">RRE!O17</f>
        <v>#DIV/0!</v>
      </c>
      <c r="G31" s="728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27" t="s">
        <v>287</v>
      </c>
      <c r="C32" s="727"/>
      <c r="D32" s="448">
        <f ca="1">RRE!L18</f>
        <v>0</v>
      </c>
      <c r="E32" s="448" t="e">
        <f ca="1">RRE!N18</f>
        <v>#DIV/0!</v>
      </c>
      <c r="F32" s="728" t="e">
        <f ca="1">RRE!O18</f>
        <v>#DIV/0!</v>
      </c>
      <c r="G32" s="728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27" t="s">
        <v>288</v>
      </c>
      <c r="C33" s="727"/>
      <c r="D33" s="448">
        <f ca="1">RRE!L19</f>
        <v>0</v>
      </c>
      <c r="E33" s="448" t="e">
        <f ca="1">RRE!N19</f>
        <v>#DIV/0!</v>
      </c>
      <c r="F33" s="728" t="e">
        <f ca="1">RRE!O19</f>
        <v>#DIV/0!</v>
      </c>
      <c r="G33" s="728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29" t="s">
        <v>400</v>
      </c>
      <c r="C34" s="729"/>
      <c r="D34" s="449" t="s">
        <v>168</v>
      </c>
      <c r="E34" s="450" t="e">
        <f ca="1">RRE!$N$19/(RRE!$L$19+10^-12)</f>
        <v>#DIV/0!</v>
      </c>
      <c r="F34" s="730" t="e">
        <f ca="1">RRE!P15</f>
        <v>#DIV/0!</v>
      </c>
      <c r="G34" s="730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31" t="str">
        <f ca="1">IF(RRE.Numero&gt;1,"2. Encaminhamos ainda a documentação relativa à prestação de contas da etapa físico-financeira anterior.","")</f>
        <v/>
      </c>
      <c r="C37" s="731"/>
      <c r="D37" s="731"/>
      <c r="E37" s="731"/>
      <c r="F37" s="731"/>
      <c r="G37" s="731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31"/>
      <c r="C38" s="731"/>
      <c r="D38" s="731"/>
      <c r="E38" s="731"/>
      <c r="F38" s="731"/>
      <c r="G38" s="731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31" t="str">
        <f ca="1">IF(AND(RRE.Numero&gt;1,NOT(ISBLANK(Import.SICONV))),"3. Na oportunidade, informamos que a execução financeira da parcela anterior está devidamente comprovada no SICONV.","")</f>
        <v/>
      </c>
      <c r="C39" s="731"/>
      <c r="D39" s="731"/>
      <c r="E39" s="731"/>
      <c r="F39" s="731"/>
      <c r="G39" s="731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31"/>
      <c r="C40" s="731"/>
      <c r="D40" s="731"/>
      <c r="E40" s="731"/>
      <c r="F40" s="731"/>
      <c r="G40" s="731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31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31"/>
      <c r="D42" s="731"/>
      <c r="E42" s="731"/>
      <c r="F42" s="731"/>
      <c r="G42" s="731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31"/>
      <c r="C43" s="731"/>
      <c r="D43" s="731"/>
      <c r="E43" s="731"/>
      <c r="F43" s="731"/>
      <c r="G43" s="731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31"/>
      <c r="C44" s="731"/>
      <c r="D44" s="731"/>
      <c r="E44" s="731"/>
      <c r="F44" s="731"/>
      <c r="G44" s="731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31"/>
      <c r="C45" s="731"/>
      <c r="D45" s="731"/>
      <c r="E45" s="731"/>
      <c r="F45" s="731"/>
      <c r="G45" s="731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31"/>
      <c r="C46" s="731"/>
      <c r="D46" s="731"/>
      <c r="E46" s="731"/>
      <c r="F46" s="731"/>
      <c r="G46" s="731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25" t="str">
        <f>DADOS!$F$28</f>
        <v>Giovani Amestoy da Silva</v>
      </c>
      <c r="C54" s="725"/>
      <c r="D54" s="725"/>
      <c r="E54" s="725"/>
      <c r="F54" s="725"/>
      <c r="G54" s="725"/>
    </row>
    <row r="55" spans="2:7" x14ac:dyDescent="0.2">
      <c r="B55" s="725" t="str">
        <f>DADOS!$F$29</f>
        <v>Prefeito Municipal</v>
      </c>
      <c r="C55" s="725"/>
      <c r="D55" s="725"/>
      <c r="E55" s="725"/>
      <c r="F55" s="725"/>
      <c r="G55" s="725"/>
    </row>
    <row r="56" spans="2:7" x14ac:dyDescent="0.2">
      <c r="B56" s="726"/>
      <c r="C56" s="726"/>
      <c r="D56" s="726"/>
      <c r="E56" s="726"/>
      <c r="F56" s="726"/>
      <c r="G56" s="726"/>
    </row>
  </sheetData>
  <sheetProtection password="BD1F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3" activePane="bottomLeft" state="frozen"/>
      <selection pane="bottomLeft" activeCell="F13" sqref="F13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87" t="s">
        <v>6</v>
      </c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86" t="s">
        <v>25</v>
      </c>
      <c r="F3" s="586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451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449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446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86" t="s">
        <v>103</v>
      </c>
      <c r="F15" s="586"/>
      <c r="J15" s="13" t="s">
        <v>20</v>
      </c>
    </row>
    <row r="16" spans="5:44" x14ac:dyDescent="0.2">
      <c r="E16" s="25" t="s">
        <v>104</v>
      </c>
      <c r="F16" s="26" t="s">
        <v>495</v>
      </c>
      <c r="J16" s="13" t="s">
        <v>21</v>
      </c>
    </row>
    <row r="17" spans="5:10" x14ac:dyDescent="0.2">
      <c r="E17" s="18" t="s">
        <v>105</v>
      </c>
      <c r="F17" s="27" t="s">
        <v>457</v>
      </c>
      <c r="J17" s="13" t="s">
        <v>22</v>
      </c>
    </row>
    <row r="18" spans="5:10" x14ac:dyDescent="0.2">
      <c r="E18" s="18" t="s">
        <v>106</v>
      </c>
      <c r="F18" s="28" t="s">
        <v>444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86" t="s">
        <v>108</v>
      </c>
      <c r="F21" s="586"/>
      <c r="J21" s="13"/>
    </row>
    <row r="22" spans="5:10" x14ac:dyDescent="0.2">
      <c r="E22" s="16" t="s">
        <v>109</v>
      </c>
      <c r="F22" s="32" t="s">
        <v>469</v>
      </c>
    </row>
    <row r="23" spans="5:10" x14ac:dyDescent="0.2">
      <c r="E23" s="18" t="s">
        <v>110</v>
      </c>
      <c r="F23" s="19" t="s">
        <v>470</v>
      </c>
    </row>
    <row r="24" spans="5:10" x14ac:dyDescent="0.2">
      <c r="E24" s="18" t="s">
        <v>111</v>
      </c>
      <c r="F24" s="19" t="s">
        <v>476</v>
      </c>
    </row>
    <row r="25" spans="5:10" x14ac:dyDescent="0.2">
      <c r="E25" s="22" t="s">
        <v>112</v>
      </c>
      <c r="F25" s="33">
        <f ca="1">TODAY()</f>
        <v>45518</v>
      </c>
    </row>
    <row r="27" spans="5:10" ht="15" x14ac:dyDescent="0.2">
      <c r="E27" s="586" t="s">
        <v>113</v>
      </c>
      <c r="F27" s="586"/>
    </row>
    <row r="28" spans="5:10" x14ac:dyDescent="0.2">
      <c r="E28" s="14" t="s">
        <v>109</v>
      </c>
      <c r="F28" s="34" t="s">
        <v>447</v>
      </c>
    </row>
    <row r="29" spans="5:10" x14ac:dyDescent="0.2">
      <c r="E29" s="22" t="s">
        <v>114</v>
      </c>
      <c r="F29" s="35" t="s">
        <v>448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86" t="s">
        <v>116</v>
      </c>
      <c r="F34" s="586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452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86" t="s">
        <v>124</v>
      </c>
      <c r="F45" s="586"/>
    </row>
    <row r="46" spans="5:6" x14ac:dyDescent="0.2">
      <c r="E46" s="14" t="s">
        <v>125</v>
      </c>
      <c r="F46" s="36">
        <v>45474</v>
      </c>
    </row>
    <row r="47" spans="5:6" x14ac:dyDescent="0.2">
      <c r="E47" s="29" t="s">
        <v>126</v>
      </c>
      <c r="F47" s="38">
        <f ca="1">TODAY()</f>
        <v>45518</v>
      </c>
    </row>
    <row r="48" spans="5:6" ht="15.75" x14ac:dyDescent="0.2">
      <c r="E48" s="8"/>
    </row>
    <row r="49" spans="5:6" ht="12.75" customHeight="1" x14ac:dyDescent="0.2">
      <c r="E49" s="586" t="s">
        <v>127</v>
      </c>
      <c r="F49" s="586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86" t="s">
        <v>132</v>
      </c>
      <c r="F58" s="586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552" priority="2" stopIfTrue="1">
      <formula>CAIXA.Modo=FALSE</formula>
    </cfRule>
  </conditionalFormatting>
  <conditionalFormatting sqref="E58:F60">
    <cfRule type="expression" dxfId="551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4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612" t="s">
        <v>141</v>
      </c>
      <c r="S1" s="612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613" t="s">
        <v>144</v>
      </c>
      <c r="S2" s="613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607" t="s">
        <v>147</v>
      </c>
      <c r="K4" s="607"/>
      <c r="L4" s="607" t="s">
        <v>148</v>
      </c>
      <c r="M4" s="607"/>
      <c r="N4" s="607" t="s">
        <v>149</v>
      </c>
      <c r="O4" s="607"/>
      <c r="P4" s="607"/>
      <c r="Q4" s="607"/>
      <c r="R4" s="607"/>
      <c r="S4" s="607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611">
        <f>Import.CR</f>
        <v>0</v>
      </c>
      <c r="K5" s="611"/>
      <c r="L5" s="611">
        <f>Import.SICONV</f>
        <v>0</v>
      </c>
      <c r="M5" s="611"/>
      <c r="N5" s="611" t="str">
        <f>Import.Proponente</f>
        <v>Prefeitura Municipal de Caçapava do Sul</v>
      </c>
      <c r="O5" s="611"/>
      <c r="P5" s="611"/>
      <c r="Q5" s="611"/>
      <c r="R5" s="611"/>
      <c r="S5" s="611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595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595"/>
      <c r="J7" s="607" t="s">
        <v>153</v>
      </c>
      <c r="K7" s="607"/>
      <c r="L7" s="607"/>
      <c r="M7" s="607"/>
      <c r="N7" s="607"/>
      <c r="O7" s="607"/>
      <c r="P7" s="607"/>
      <c r="Q7" s="607"/>
      <c r="R7" s="607"/>
      <c r="S7" s="607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595"/>
      <c r="J8" s="616" t="str">
        <f>Import.Apelido&amp;" / "&amp;Import.DescLote</f>
        <v>Calçamento da Rua Barão do Rio Branco / Lote Único - Empreitada Preço Global</v>
      </c>
      <c r="K8" s="616"/>
      <c r="L8" s="616"/>
      <c r="M8" s="616"/>
      <c r="N8" s="616"/>
      <c r="O8" s="616"/>
      <c r="P8" s="616"/>
      <c r="Q8" s="616"/>
      <c r="R8" s="616"/>
      <c r="S8" s="616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595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595"/>
      <c r="J10" s="617" t="s">
        <v>155</v>
      </c>
      <c r="K10" s="617"/>
      <c r="L10" s="617"/>
      <c r="M10" s="617"/>
      <c r="N10" s="617"/>
      <c r="O10" s="617"/>
      <c r="P10" s="617"/>
      <c r="Q10" s="617"/>
      <c r="R10" s="615">
        <v>1</v>
      </c>
      <c r="S10" s="615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614" t="s">
        <v>156</v>
      </c>
      <c r="K11" s="614"/>
      <c r="L11" s="614"/>
      <c r="M11" s="614"/>
      <c r="N11" s="614"/>
      <c r="O11" s="614"/>
      <c r="P11" s="614"/>
      <c r="Q11" s="614"/>
      <c r="R11" s="615">
        <v>0.03</v>
      </c>
      <c r="S11" s="615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01" t="s">
        <v>158</v>
      </c>
      <c r="K14" s="601"/>
      <c r="L14" s="601"/>
      <c r="M14" s="601"/>
      <c r="N14" s="601"/>
      <c r="O14" s="601"/>
      <c r="P14" s="601"/>
      <c r="Q14" s="601"/>
      <c r="R14" s="601"/>
      <c r="S14" s="601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607" t="s">
        <v>159</v>
      </c>
      <c r="K16" s="607"/>
      <c r="L16" s="607"/>
      <c r="M16" s="607"/>
      <c r="N16" s="607"/>
      <c r="O16" s="607"/>
      <c r="P16" s="607"/>
      <c r="Q16" s="607"/>
      <c r="R16" s="607"/>
      <c r="S16" s="607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608" t="s">
        <v>154</v>
      </c>
      <c r="K17" s="608"/>
      <c r="L17" s="608"/>
      <c r="M17" s="608"/>
      <c r="N17" s="608"/>
      <c r="O17" s="608"/>
      <c r="P17" s="608"/>
      <c r="Q17" s="608"/>
      <c r="R17" s="608"/>
      <c r="S17" s="608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610" t="s">
        <v>160</v>
      </c>
      <c r="K19" s="610"/>
      <c r="L19" s="610"/>
      <c r="M19" s="610"/>
      <c r="N19" s="610"/>
      <c r="O19" s="610"/>
      <c r="P19" s="610"/>
      <c r="Q19" s="610"/>
      <c r="R19" s="610" t="s">
        <v>161</v>
      </c>
      <c r="S19" s="604" t="s">
        <v>162</v>
      </c>
      <c r="U19" s="604" t="s">
        <v>163</v>
      </c>
      <c r="V19" s="604"/>
      <c r="W19" s="604"/>
      <c r="X19" s="609" t="s">
        <v>164</v>
      </c>
      <c r="Y19" s="609" t="s">
        <v>165</v>
      </c>
      <c r="Z19" s="609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610"/>
      <c r="K20" s="610"/>
      <c r="L20" s="610"/>
      <c r="M20" s="610"/>
      <c r="N20" s="610"/>
      <c r="O20" s="610"/>
      <c r="P20" s="610"/>
      <c r="Q20" s="610"/>
      <c r="R20" s="610"/>
      <c r="S20" s="604"/>
      <c r="U20" s="604"/>
      <c r="V20" s="604"/>
      <c r="W20" s="604"/>
      <c r="X20" s="609"/>
      <c r="Y20" s="609"/>
      <c r="Z20" s="609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597" t="str">
        <f>IF($J$17=$A$146,"Encargos Sociais incidentes sobre a mão de obra","Administração Central")</f>
        <v>Administração Central</v>
      </c>
      <c r="K21" s="597"/>
      <c r="L21" s="597"/>
      <c r="M21" s="597"/>
      <c r="N21" s="597"/>
      <c r="O21" s="597"/>
      <c r="P21" s="597"/>
      <c r="Q21" s="597"/>
      <c r="R21" s="61" t="str">
        <f>IF($J17=$A$146,"K1","AC")</f>
        <v>AC</v>
      </c>
      <c r="S21" s="62">
        <v>4.0099999999999997E-2</v>
      </c>
      <c r="U21" s="602" t="s">
        <v>168</v>
      </c>
      <c r="V21" s="602"/>
      <c r="W21" s="602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597" t="str">
        <f>IF($J$17=$A$146,"Administração Central da empresa ou consultoria - overhead","Seguro e Garantia")</f>
        <v>Seguro e Garantia</v>
      </c>
      <c r="K22" s="597"/>
      <c r="L22" s="597"/>
      <c r="M22" s="597"/>
      <c r="N22" s="597"/>
      <c r="O22" s="597"/>
      <c r="P22" s="597"/>
      <c r="Q22" s="597"/>
      <c r="R22" s="61" t="str">
        <f>IF($J17=$A$146,"K2","SG")</f>
        <v>SG</v>
      </c>
      <c r="S22" s="62">
        <v>7.4000000000000003E-3</v>
      </c>
      <c r="U22" s="602" t="s">
        <v>168</v>
      </c>
      <c r="V22" s="602"/>
      <c r="W22" s="602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597" t="str">
        <f>IF($J$17=$A$146,"","Risco")</f>
        <v>Risco</v>
      </c>
      <c r="K23" s="597"/>
      <c r="L23" s="597"/>
      <c r="M23" s="597"/>
      <c r="N23" s="597"/>
      <c r="O23" s="597"/>
      <c r="P23" s="597"/>
      <c r="Q23" s="597"/>
      <c r="R23" s="61" t="str">
        <f>IF($J17=$A$146,"","R")</f>
        <v>R</v>
      </c>
      <c r="S23" s="62">
        <v>9.7000000000000003E-3</v>
      </c>
      <c r="U23" s="602" t="s">
        <v>168</v>
      </c>
      <c r="V23" s="602"/>
      <c r="W23" s="602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597" t="str">
        <f>IF($J$17=$A$146,"","Despesas Financeiras")</f>
        <v>Despesas Financeiras</v>
      </c>
      <c r="K24" s="597"/>
      <c r="L24" s="597"/>
      <c r="M24" s="597"/>
      <c r="N24" s="597"/>
      <c r="O24" s="597"/>
      <c r="P24" s="597"/>
      <c r="Q24" s="597"/>
      <c r="R24" s="61" t="str">
        <f>IF($J17=$A$146,"","DF")</f>
        <v>DF</v>
      </c>
      <c r="S24" s="62">
        <v>1.11E-2</v>
      </c>
      <c r="U24" s="602" t="s">
        <v>168</v>
      </c>
      <c r="V24" s="602"/>
      <c r="W24" s="602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597" t="str">
        <f>IF($J$17=$A$146,"Margem bruta da empresa de consultoria","Lucro")</f>
        <v>Lucro</v>
      </c>
      <c r="K25" s="597"/>
      <c r="L25" s="597"/>
      <c r="M25" s="597"/>
      <c r="N25" s="597"/>
      <c r="O25" s="597"/>
      <c r="P25" s="597"/>
      <c r="Q25" s="597"/>
      <c r="R25" s="61" t="str">
        <f>IF($J17=$A$146,"K3","L")</f>
        <v>L</v>
      </c>
      <c r="S25" s="62">
        <v>7.2999999999999995E-2</v>
      </c>
      <c r="U25" s="602" t="s">
        <v>168</v>
      </c>
      <c r="V25" s="602"/>
      <c r="W25" s="602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597" t="s">
        <v>170</v>
      </c>
      <c r="K26" s="597"/>
      <c r="L26" s="597"/>
      <c r="M26" s="597"/>
      <c r="N26" s="597"/>
      <c r="O26" s="597"/>
      <c r="P26" s="597"/>
      <c r="Q26" s="597"/>
      <c r="R26" s="61" t="s">
        <v>171</v>
      </c>
      <c r="S26" s="62">
        <v>3.6499999999999998E-2</v>
      </c>
      <c r="U26" s="602" t="s">
        <v>168</v>
      </c>
      <c r="V26" s="602"/>
      <c r="W26" s="602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597" t="s">
        <v>172</v>
      </c>
      <c r="K27" s="597"/>
      <c r="L27" s="597"/>
      <c r="M27" s="597"/>
      <c r="N27" s="597"/>
      <c r="O27" s="597"/>
      <c r="P27" s="597"/>
      <c r="Q27" s="597"/>
      <c r="R27" s="61" t="s">
        <v>173</v>
      </c>
      <c r="S27" s="63">
        <f ca="1">IF(AND($J17&lt;&gt;$A$145,COUNTA(OFFSET(S20,1,0,6))&gt;0),$R$11*$R$10,0)</f>
        <v>0.03</v>
      </c>
      <c r="U27" s="602" t="s">
        <v>168</v>
      </c>
      <c r="V27" s="602"/>
      <c r="W27" s="602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597" t="s">
        <v>174</v>
      </c>
      <c r="K28" s="597"/>
      <c r="L28" s="597"/>
      <c r="M28" s="597"/>
      <c r="N28" s="597"/>
      <c r="O28" s="597"/>
      <c r="P28" s="597"/>
      <c r="Q28" s="597"/>
      <c r="R28" s="61" t="s">
        <v>175</v>
      </c>
      <c r="S28" s="63">
        <f ca="1">IF(BDI.Opcao&lt;&gt;"Desonerado",0,IF(AND($J17&lt;&gt;$A$145,COUNTA(OFFSET(S20,1,0,6))&gt;0),4.5%,0%))</f>
        <v>0</v>
      </c>
      <c r="U28" s="602" t="s">
        <v>168</v>
      </c>
      <c r="V28" s="602"/>
      <c r="W28" s="602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597" t="s">
        <v>176</v>
      </c>
      <c r="K29" s="597"/>
      <c r="L29" s="597"/>
      <c r="M29" s="597"/>
      <c r="N29" s="597"/>
      <c r="O29" s="597"/>
      <c r="P29" s="597"/>
      <c r="Q29" s="597"/>
      <c r="R29" s="65" t="s">
        <v>152</v>
      </c>
      <c r="S29" s="63">
        <f ca="1">IF($J17=$A$145,0,ROUND((((1+S21+S22+S23)*(1+S24)*(1+S25)/(1-(S26+S27)))-1),4))</f>
        <v>0.22869999999999999</v>
      </c>
      <c r="U29" s="604" t="str">
        <f ca="1">IF(OR($J$17=$A$146,$J$17=$A$145,AND(S29&gt;=X29,S29&lt;=Z29)),"OK","FORA DO INTERVALO")</f>
        <v>OK</v>
      </c>
      <c r="V29" s="604"/>
      <c r="W29" s="604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605" t="s">
        <v>177</v>
      </c>
      <c r="K30" s="605"/>
      <c r="L30" s="605"/>
      <c r="M30" s="605"/>
      <c r="N30" s="605"/>
      <c r="O30" s="605"/>
      <c r="P30" s="605"/>
      <c r="Q30" s="605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606" t="str">
        <f ca="1">IF(U29&lt;&gt;"ok","Anexo: Relatório Técnico Circunstanciado justificando a adoção do percentual de cada parcela do BDI.","")</f>
        <v/>
      </c>
      <c r="L32" s="606"/>
      <c r="M32" s="606"/>
      <c r="N32" s="606"/>
      <c r="O32" s="606"/>
      <c r="P32" s="606"/>
      <c r="Q32" s="606"/>
      <c r="R32" s="606"/>
      <c r="S32" s="606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596" t="s">
        <v>180</v>
      </c>
      <c r="K34" s="596"/>
      <c r="L34" s="596"/>
      <c r="M34" s="596"/>
      <c r="N34" s="596"/>
      <c r="O34" s="596"/>
      <c r="P34" s="596"/>
      <c r="Q34" s="596"/>
      <c r="R34" s="596"/>
      <c r="S34" s="596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598" t="s">
        <v>181</v>
      </c>
      <c r="N35" s="599" t="str">
        <f>IF($J17=$A$146,"(1+K1+K2)*(1+K3)","(1+AC + S + R + G)*(1 + DF)*(1+L)")</f>
        <v>(1+AC + S + R + G)*(1 + DF)*(1+L)</v>
      </c>
      <c r="O35" s="599"/>
      <c r="P35" s="599"/>
      <c r="Q35" s="600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598"/>
      <c r="N36" s="603" t="s">
        <v>183</v>
      </c>
      <c r="O36" s="603"/>
      <c r="P36" s="603"/>
      <c r="Q36" s="600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589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589"/>
      <c r="L38" s="589"/>
      <c r="M38" s="589"/>
      <c r="N38" s="589"/>
      <c r="O38" s="589"/>
      <c r="P38" s="589"/>
      <c r="Q38" s="589"/>
      <c r="R38" s="589"/>
      <c r="S38" s="589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589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589"/>
      <c r="L40" s="589"/>
      <c r="M40" s="589"/>
      <c r="N40" s="589"/>
      <c r="O40" s="589"/>
      <c r="P40" s="589"/>
      <c r="Q40" s="589"/>
      <c r="R40" s="589"/>
      <c r="S40" s="589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590" t="s">
        <v>479</v>
      </c>
      <c r="K43" s="590"/>
      <c r="L43" s="590"/>
      <c r="M43" s="590"/>
      <c r="N43" s="590"/>
      <c r="O43" s="590"/>
      <c r="P43" s="590"/>
      <c r="Q43" s="590"/>
      <c r="R43" s="590"/>
      <c r="S43" s="590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591" t="str">
        <f>Import.Município</f>
        <v>Caçapava do Sul/RS</v>
      </c>
      <c r="K45" s="591"/>
      <c r="L45" s="591"/>
      <c r="M45" s="591"/>
      <c r="P45" s="592">
        <f ca="1">DADOS!$F$25</f>
        <v>45518</v>
      </c>
      <c r="Q45" s="592"/>
      <c r="R45" s="592"/>
      <c r="S45" s="592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593" t="s">
        <v>190</v>
      </c>
      <c r="K46" s="593"/>
      <c r="L46" s="593"/>
      <c r="M46" s="593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594"/>
      <c r="K48" s="594"/>
      <c r="L48" s="594"/>
      <c r="M48" s="594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588" t="s">
        <v>192</v>
      </c>
      <c r="K49" s="588"/>
      <c r="L49" s="588"/>
      <c r="M49" s="588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Schaiane da Silva Lopes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RS142294-4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12377498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01" t="s">
        <v>193</v>
      </c>
      <c r="K54" s="601"/>
      <c r="L54" s="601"/>
      <c r="M54" s="601"/>
      <c r="N54" s="601"/>
      <c r="O54" s="601"/>
      <c r="P54" s="601"/>
      <c r="Q54" s="601"/>
      <c r="R54" s="601"/>
      <c r="S54" s="601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607" t="s">
        <v>159</v>
      </c>
      <c r="K56" s="607"/>
      <c r="L56" s="607"/>
      <c r="M56" s="607"/>
      <c r="N56" s="607"/>
      <c r="O56" s="607"/>
      <c r="P56" s="607"/>
      <c r="Q56" s="607"/>
      <c r="R56" s="607"/>
      <c r="S56" s="607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608" t="s">
        <v>410</v>
      </c>
      <c r="K57" s="608"/>
      <c r="L57" s="608"/>
      <c r="M57" s="608"/>
      <c r="N57" s="608"/>
      <c r="O57" s="608"/>
      <c r="P57" s="608"/>
      <c r="Q57" s="608"/>
      <c r="R57" s="608"/>
      <c r="S57" s="608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10" t="s">
        <v>160</v>
      </c>
      <c r="K59" s="610"/>
      <c r="L59" s="610"/>
      <c r="M59" s="610"/>
      <c r="N59" s="610"/>
      <c r="O59" s="610"/>
      <c r="P59" s="610"/>
      <c r="Q59" s="610"/>
      <c r="R59" s="610" t="s">
        <v>161</v>
      </c>
      <c r="S59" s="604" t="s">
        <v>162</v>
      </c>
      <c r="U59" s="604" t="s">
        <v>163</v>
      </c>
      <c r="V59" s="604"/>
      <c r="W59" s="604"/>
      <c r="X59" s="609" t="s">
        <v>164</v>
      </c>
      <c r="Y59" s="609" t="s">
        <v>165</v>
      </c>
      <c r="Z59" s="609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10"/>
      <c r="K60" s="610"/>
      <c r="L60" s="610"/>
      <c r="M60" s="610"/>
      <c r="N60" s="610"/>
      <c r="O60" s="610"/>
      <c r="P60" s="610"/>
      <c r="Q60" s="610"/>
      <c r="R60" s="610"/>
      <c r="S60" s="604"/>
      <c r="U60" s="604"/>
      <c r="V60" s="604"/>
      <c r="W60" s="604"/>
      <c r="X60" s="609"/>
      <c r="Y60" s="609"/>
      <c r="Z60" s="609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597" t="str">
        <f>IF($J$17=$A$146,"Encargos Sociais incidentes sobre a mão de obra","Administração Central")</f>
        <v>Administração Central</v>
      </c>
      <c r="K61" s="597"/>
      <c r="L61" s="597"/>
      <c r="M61" s="597"/>
      <c r="N61" s="597"/>
      <c r="O61" s="597"/>
      <c r="P61" s="597"/>
      <c r="Q61" s="597"/>
      <c r="R61" s="61" t="str">
        <f>IF($J57=$A$146,"K1","AC")</f>
        <v>AC</v>
      </c>
      <c r="S61" s="62"/>
      <c r="U61" s="602" t="s">
        <v>168</v>
      </c>
      <c r="V61" s="602"/>
      <c r="W61" s="602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597" t="str">
        <f>IF($J$17=$A$146,"Administração Central da empresa ou consultoria - overhead","Seguro e Garantia")</f>
        <v>Seguro e Garantia</v>
      </c>
      <c r="K62" s="597"/>
      <c r="L62" s="597"/>
      <c r="M62" s="597"/>
      <c r="N62" s="597"/>
      <c r="O62" s="597"/>
      <c r="P62" s="597"/>
      <c r="Q62" s="597"/>
      <c r="R62" s="61" t="str">
        <f>IF($J57=$A$146,"K2","SG")</f>
        <v>SG</v>
      </c>
      <c r="S62" s="62"/>
      <c r="U62" s="602" t="s">
        <v>168</v>
      </c>
      <c r="V62" s="602"/>
      <c r="W62" s="602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597" t="str">
        <f>IF($J$17=$A$146,"","Risco")</f>
        <v>Risco</v>
      </c>
      <c r="K63" s="597"/>
      <c r="L63" s="597"/>
      <c r="M63" s="597"/>
      <c r="N63" s="597"/>
      <c r="O63" s="597"/>
      <c r="P63" s="597"/>
      <c r="Q63" s="597"/>
      <c r="R63" s="61" t="str">
        <f>IF($J57=$A$146,"","R")</f>
        <v>R</v>
      </c>
      <c r="S63" s="62"/>
      <c r="U63" s="602" t="s">
        <v>168</v>
      </c>
      <c r="V63" s="602"/>
      <c r="W63" s="602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597" t="str">
        <f>IF($J$17=$A$146,"","Despesas Financeiras")</f>
        <v>Despesas Financeiras</v>
      </c>
      <c r="K64" s="597"/>
      <c r="L64" s="597"/>
      <c r="M64" s="597"/>
      <c r="N64" s="597"/>
      <c r="O64" s="597"/>
      <c r="P64" s="597"/>
      <c r="Q64" s="597"/>
      <c r="R64" s="61" t="str">
        <f>IF($J57=$A$146,"","DF")</f>
        <v>DF</v>
      </c>
      <c r="S64" s="62"/>
      <c r="U64" s="602" t="s">
        <v>168</v>
      </c>
      <c r="V64" s="602"/>
      <c r="W64" s="602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597" t="str">
        <f>IF($J$17=$A$146,"Margem bruta da empresa de consultoria","Lucro")</f>
        <v>Lucro</v>
      </c>
      <c r="K65" s="597"/>
      <c r="L65" s="597"/>
      <c r="M65" s="597"/>
      <c r="N65" s="597"/>
      <c r="O65" s="597"/>
      <c r="P65" s="597"/>
      <c r="Q65" s="597"/>
      <c r="R65" s="61" t="str">
        <f>IF($J57=$A$146,"K3","L")</f>
        <v>L</v>
      </c>
      <c r="S65" s="62"/>
      <c r="U65" s="602" t="s">
        <v>168</v>
      </c>
      <c r="V65" s="602"/>
      <c r="W65" s="602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597" t="s">
        <v>170</v>
      </c>
      <c r="K66" s="597"/>
      <c r="L66" s="597"/>
      <c r="M66" s="597"/>
      <c r="N66" s="597"/>
      <c r="O66" s="597"/>
      <c r="P66" s="597"/>
      <c r="Q66" s="597"/>
      <c r="R66" s="61" t="s">
        <v>171</v>
      </c>
      <c r="S66" s="62"/>
      <c r="U66" s="602" t="s">
        <v>168</v>
      </c>
      <c r="V66" s="602"/>
      <c r="W66" s="602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597" t="s">
        <v>172</v>
      </c>
      <c r="K67" s="597"/>
      <c r="L67" s="597"/>
      <c r="M67" s="597"/>
      <c r="N67" s="597"/>
      <c r="O67" s="597"/>
      <c r="P67" s="597"/>
      <c r="Q67" s="597"/>
      <c r="R67" s="61" t="s">
        <v>173</v>
      </c>
      <c r="S67" s="63">
        <f ca="1">IF(AND($J57&lt;&gt;$A$145,COUNTA(OFFSET(S60,1,0,6))&gt;0),$R$11*$R$10,0)</f>
        <v>0</v>
      </c>
      <c r="U67" s="602" t="s">
        <v>168</v>
      </c>
      <c r="V67" s="602"/>
      <c r="W67" s="602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597" t="s">
        <v>174</v>
      </c>
      <c r="K68" s="597"/>
      <c r="L68" s="597"/>
      <c r="M68" s="597"/>
      <c r="N68" s="597"/>
      <c r="O68" s="597"/>
      <c r="P68" s="597"/>
      <c r="Q68" s="597"/>
      <c r="R68" s="61" t="s">
        <v>175</v>
      </c>
      <c r="S68" s="63">
        <f ca="1">IF(BDI.Opcao&lt;&gt;"Desonerado",0,IF(AND($J57&lt;&gt;$A$145,COUNTA(OFFSET(S60,1,0,6))&gt;0),4.5%,0%))</f>
        <v>0</v>
      </c>
      <c r="U68" s="602" t="s">
        <v>168</v>
      </c>
      <c r="V68" s="602"/>
      <c r="W68" s="602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597" t="s">
        <v>176</v>
      </c>
      <c r="K69" s="597"/>
      <c r="L69" s="597"/>
      <c r="M69" s="597"/>
      <c r="N69" s="597"/>
      <c r="O69" s="597"/>
      <c r="P69" s="597"/>
      <c r="Q69" s="597"/>
      <c r="R69" s="65" t="s">
        <v>152</v>
      </c>
      <c r="S69" s="63">
        <f ca="1">IF($J57=$A$145,0,ROUND((((1+S61+S62+S63)*(1+S64)*(1+S65)/(1-(S66+S67)))-1),4))</f>
        <v>0</v>
      </c>
      <c r="U69" s="604" t="e">
        <f ca="1">IF(OR($J$17=$A$146,$J$17=$A$145,AND(S69&gt;=X69,S69&lt;=Z69)),"OK","FORA DO INTERVALO")</f>
        <v>#N/A</v>
      </c>
      <c r="V69" s="604"/>
      <c r="W69" s="604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05" t="s">
        <v>177</v>
      </c>
      <c r="K70" s="605"/>
      <c r="L70" s="605"/>
      <c r="M70" s="605"/>
      <c r="N70" s="605"/>
      <c r="O70" s="605"/>
      <c r="P70" s="605"/>
      <c r="Q70" s="605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606" t="e">
        <f ca="1">IF(U69&lt;&gt;"ok","Anexo: Relatório Técnico Circunstanciado justificando a adoção do percentual de cada parcela do BDI.","")</f>
        <v>#N/A</v>
      </c>
      <c r="L72" s="606"/>
      <c r="M72" s="606"/>
      <c r="N72" s="606"/>
      <c r="O72" s="606"/>
      <c r="P72" s="606"/>
      <c r="Q72" s="606"/>
      <c r="R72" s="606"/>
      <c r="S72" s="606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596" t="s">
        <v>180</v>
      </c>
      <c r="K74" s="596"/>
      <c r="L74" s="596"/>
      <c r="M74" s="596"/>
      <c r="N74" s="596"/>
      <c r="O74" s="596"/>
      <c r="P74" s="596"/>
      <c r="Q74" s="596"/>
      <c r="R74" s="596"/>
      <c r="S74" s="596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598" t="s">
        <v>181</v>
      </c>
      <c r="N75" s="599" t="str">
        <f>IF($J57=$A$146,"(1+K1+K2)*(1+K3)","(1+AC + S + R + G)*(1 + DF)*(1+L)")</f>
        <v>(1+AC + S + R + G)*(1 + DF)*(1+L)</v>
      </c>
      <c r="O75" s="599"/>
      <c r="P75" s="599"/>
      <c r="Q75" s="600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598"/>
      <c r="N76" s="603" t="s">
        <v>183</v>
      </c>
      <c r="O76" s="603"/>
      <c r="P76" s="603"/>
      <c r="Q76" s="600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589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589"/>
      <c r="L78" s="589"/>
      <c r="M78" s="589"/>
      <c r="N78" s="589"/>
      <c r="O78" s="589"/>
      <c r="P78" s="589"/>
      <c r="Q78" s="589"/>
      <c r="R78" s="589"/>
      <c r="S78" s="589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589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589"/>
      <c r="L80" s="589"/>
      <c r="M80" s="589"/>
      <c r="N80" s="589"/>
      <c r="O80" s="589"/>
      <c r="P80" s="589"/>
      <c r="Q80" s="589"/>
      <c r="R80" s="589"/>
      <c r="S80" s="589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590"/>
      <c r="K83" s="590"/>
      <c r="L83" s="590"/>
      <c r="M83" s="590"/>
      <c r="N83" s="590"/>
      <c r="O83" s="590"/>
      <c r="P83" s="590"/>
      <c r="Q83" s="590"/>
      <c r="R83" s="590"/>
      <c r="S83" s="590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591" t="str">
        <f>Import.Município</f>
        <v>Caçapava do Sul/RS</v>
      </c>
      <c r="K85" s="591"/>
      <c r="L85" s="591"/>
      <c r="M85" s="591"/>
      <c r="P85" s="592">
        <f ca="1">DADOS!$F$25</f>
        <v>45518</v>
      </c>
      <c r="Q85" s="592"/>
      <c r="R85" s="592"/>
      <c r="S85" s="592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593" t="s">
        <v>190</v>
      </c>
      <c r="K86" s="593"/>
      <c r="L86" s="593"/>
      <c r="M86" s="593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594"/>
      <c r="K88" s="594"/>
      <c r="L88" s="594"/>
      <c r="M88" s="594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588" t="s">
        <v>192</v>
      </c>
      <c r="K89" s="588"/>
      <c r="L89" s="588"/>
      <c r="M89" s="588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Schaiane da Silva Lopes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RS142294-4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12377498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01" t="s">
        <v>194</v>
      </c>
      <c r="K94" s="601"/>
      <c r="L94" s="601"/>
      <c r="M94" s="601"/>
      <c r="N94" s="601"/>
      <c r="O94" s="601"/>
      <c r="P94" s="601"/>
      <c r="Q94" s="601"/>
      <c r="R94" s="601"/>
      <c r="S94" s="601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607" t="s">
        <v>159</v>
      </c>
      <c r="K96" s="607"/>
      <c r="L96" s="607"/>
      <c r="M96" s="607"/>
      <c r="N96" s="607"/>
      <c r="O96" s="607"/>
      <c r="P96" s="607"/>
      <c r="Q96" s="607"/>
      <c r="R96" s="607"/>
      <c r="S96" s="607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608" t="s">
        <v>410</v>
      </c>
      <c r="K97" s="608"/>
      <c r="L97" s="608"/>
      <c r="M97" s="608"/>
      <c r="N97" s="608"/>
      <c r="O97" s="608"/>
      <c r="P97" s="608"/>
      <c r="Q97" s="608"/>
      <c r="R97" s="608"/>
      <c r="S97" s="608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10" t="s">
        <v>160</v>
      </c>
      <c r="K99" s="610"/>
      <c r="L99" s="610"/>
      <c r="M99" s="610"/>
      <c r="N99" s="610"/>
      <c r="O99" s="610"/>
      <c r="P99" s="610"/>
      <c r="Q99" s="610"/>
      <c r="R99" s="610" t="s">
        <v>161</v>
      </c>
      <c r="S99" s="604" t="s">
        <v>162</v>
      </c>
      <c r="U99" s="604" t="s">
        <v>163</v>
      </c>
      <c r="V99" s="604"/>
      <c r="W99" s="604"/>
      <c r="X99" s="609" t="s">
        <v>164</v>
      </c>
      <c r="Y99" s="609" t="s">
        <v>165</v>
      </c>
      <c r="Z99" s="609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10"/>
      <c r="K100" s="610"/>
      <c r="L100" s="610"/>
      <c r="M100" s="610"/>
      <c r="N100" s="610"/>
      <c r="O100" s="610"/>
      <c r="P100" s="610"/>
      <c r="Q100" s="610"/>
      <c r="R100" s="610"/>
      <c r="S100" s="604"/>
      <c r="U100" s="604"/>
      <c r="V100" s="604"/>
      <c r="W100" s="604"/>
      <c r="X100" s="609"/>
      <c r="Y100" s="609"/>
      <c r="Z100" s="609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597" t="str">
        <f>IF($J$17=$A$146,"Encargos Sociais incidentes sobre a mão de obra","Administração Central")</f>
        <v>Administração Central</v>
      </c>
      <c r="K101" s="597"/>
      <c r="L101" s="597"/>
      <c r="M101" s="597"/>
      <c r="N101" s="597"/>
      <c r="O101" s="597"/>
      <c r="P101" s="597"/>
      <c r="Q101" s="597"/>
      <c r="R101" s="61" t="str">
        <f>IF($J97=$A$146,"K1","AC")</f>
        <v>AC</v>
      </c>
      <c r="S101" s="62"/>
      <c r="U101" s="602" t="s">
        <v>168</v>
      </c>
      <c r="V101" s="602"/>
      <c r="W101" s="602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597" t="str">
        <f>IF($J$17=$A$146,"Administração Central da empresa ou consultoria - overhead","Seguro e Garantia")</f>
        <v>Seguro e Garantia</v>
      </c>
      <c r="K102" s="597"/>
      <c r="L102" s="597"/>
      <c r="M102" s="597"/>
      <c r="N102" s="597"/>
      <c r="O102" s="597"/>
      <c r="P102" s="597"/>
      <c r="Q102" s="597"/>
      <c r="R102" s="61" t="str">
        <f>IF($J97=$A$146,"K2","SG")</f>
        <v>SG</v>
      </c>
      <c r="S102" s="62"/>
      <c r="U102" s="602" t="s">
        <v>168</v>
      </c>
      <c r="V102" s="602"/>
      <c r="W102" s="602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597" t="str">
        <f>IF($J$17=$A$146,"","Risco")</f>
        <v>Risco</v>
      </c>
      <c r="K103" s="597"/>
      <c r="L103" s="597"/>
      <c r="M103" s="597"/>
      <c r="N103" s="597"/>
      <c r="O103" s="597"/>
      <c r="P103" s="597"/>
      <c r="Q103" s="597"/>
      <c r="R103" s="61" t="str">
        <f>IF($J97=$A$146,"","R")</f>
        <v>R</v>
      </c>
      <c r="S103" s="62"/>
      <c r="U103" s="602" t="s">
        <v>168</v>
      </c>
      <c r="V103" s="602"/>
      <c r="W103" s="602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597" t="str">
        <f>IF($J$17=$A$146,"","Despesas Financeiras")</f>
        <v>Despesas Financeiras</v>
      </c>
      <c r="K104" s="597"/>
      <c r="L104" s="597"/>
      <c r="M104" s="597"/>
      <c r="N104" s="597"/>
      <c r="O104" s="597"/>
      <c r="P104" s="597"/>
      <c r="Q104" s="597"/>
      <c r="R104" s="61" t="str">
        <f>IF($J97=$A$146,"","DF")</f>
        <v>DF</v>
      </c>
      <c r="S104" s="62"/>
      <c r="U104" s="602" t="s">
        <v>168</v>
      </c>
      <c r="V104" s="602"/>
      <c r="W104" s="602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597" t="str">
        <f>IF($J$17=$A$146,"Margem bruta da empresa de consultoria","Lucro")</f>
        <v>Lucro</v>
      </c>
      <c r="K105" s="597"/>
      <c r="L105" s="597"/>
      <c r="M105" s="597"/>
      <c r="N105" s="597"/>
      <c r="O105" s="597"/>
      <c r="P105" s="597"/>
      <c r="Q105" s="597"/>
      <c r="R105" s="61" t="str">
        <f>IF($J97=$A$146,"K3","L")</f>
        <v>L</v>
      </c>
      <c r="S105" s="62"/>
      <c r="U105" s="602" t="s">
        <v>168</v>
      </c>
      <c r="V105" s="602"/>
      <c r="W105" s="602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597" t="s">
        <v>170</v>
      </c>
      <c r="K106" s="597"/>
      <c r="L106" s="597"/>
      <c r="M106" s="597"/>
      <c r="N106" s="597"/>
      <c r="O106" s="597"/>
      <c r="P106" s="597"/>
      <c r="Q106" s="597"/>
      <c r="R106" s="61" t="s">
        <v>171</v>
      </c>
      <c r="S106" s="62"/>
      <c r="U106" s="602" t="s">
        <v>168</v>
      </c>
      <c r="V106" s="602"/>
      <c r="W106" s="602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597" t="s">
        <v>172</v>
      </c>
      <c r="K107" s="597"/>
      <c r="L107" s="597"/>
      <c r="M107" s="597"/>
      <c r="N107" s="597"/>
      <c r="O107" s="597"/>
      <c r="P107" s="597"/>
      <c r="Q107" s="597"/>
      <c r="R107" s="61" t="s">
        <v>173</v>
      </c>
      <c r="S107" s="63">
        <f ca="1">IF(AND($J97&lt;&gt;$A$145,COUNTA(OFFSET(S100,1,0,6))&gt;0),$R$11*$R$10,0)</f>
        <v>0</v>
      </c>
      <c r="U107" s="602" t="s">
        <v>168</v>
      </c>
      <c r="V107" s="602"/>
      <c r="W107" s="602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597" t="s">
        <v>174</v>
      </c>
      <c r="K108" s="597"/>
      <c r="L108" s="597"/>
      <c r="M108" s="597"/>
      <c r="N108" s="597"/>
      <c r="O108" s="597"/>
      <c r="P108" s="597"/>
      <c r="Q108" s="597"/>
      <c r="R108" s="61" t="s">
        <v>175</v>
      </c>
      <c r="S108" s="63">
        <f ca="1">IF(BDI.Opcao&lt;&gt;"Desonerado",0,IF(AND($J97&lt;&gt;$A$145,COUNTA(OFFSET(S100,1,0,6))&gt;0),4.5%,0%))</f>
        <v>0</v>
      </c>
      <c r="U108" s="602" t="s">
        <v>168</v>
      </c>
      <c r="V108" s="602"/>
      <c r="W108" s="602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597" t="s">
        <v>176</v>
      </c>
      <c r="K109" s="597"/>
      <c r="L109" s="597"/>
      <c r="M109" s="597"/>
      <c r="N109" s="597"/>
      <c r="O109" s="597"/>
      <c r="P109" s="597"/>
      <c r="Q109" s="597"/>
      <c r="R109" s="65" t="s">
        <v>152</v>
      </c>
      <c r="S109" s="63">
        <f ca="1">IF($J97=$A$145,0,ROUND((((1+S101+S102+S103)*(1+S104)*(1+S105)/(1-(S106+S107)))-1),4))</f>
        <v>0</v>
      </c>
      <c r="U109" s="604" t="e">
        <f ca="1">IF(OR($J$17=$A$146,$J$17=$A$145,AND(S109&gt;=X109,S109&lt;=Z109)),"OK","FORA DO INTERVALO")</f>
        <v>#N/A</v>
      </c>
      <c r="V109" s="604"/>
      <c r="W109" s="604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05" t="s">
        <v>177</v>
      </c>
      <c r="K110" s="605"/>
      <c r="L110" s="605"/>
      <c r="M110" s="605"/>
      <c r="N110" s="605"/>
      <c r="O110" s="605"/>
      <c r="P110" s="605"/>
      <c r="Q110" s="605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606" t="e">
        <f ca="1">IF(U109&lt;&gt;"ok","Anexo: Relatório Técnico Circunstanciado justificando a adoção do percentual de cada parcela do BDI.","")</f>
        <v>#N/A</v>
      </c>
      <c r="L112" s="606"/>
      <c r="M112" s="606"/>
      <c r="N112" s="606"/>
      <c r="O112" s="606"/>
      <c r="P112" s="606"/>
      <c r="Q112" s="606"/>
      <c r="R112" s="606"/>
      <c r="S112" s="606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596" t="s">
        <v>180</v>
      </c>
      <c r="K114" s="596"/>
      <c r="L114" s="596"/>
      <c r="M114" s="596"/>
      <c r="N114" s="596"/>
      <c r="O114" s="596"/>
      <c r="P114" s="596"/>
      <c r="Q114" s="596"/>
      <c r="R114" s="596"/>
      <c r="S114" s="596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598" t="s">
        <v>181</v>
      </c>
      <c r="N115" s="599" t="str">
        <f>IF($J97=$A$146,"(1+K1+K2)*(1+K3)","(1+AC + S + R + G)*(1 + DF)*(1+L)")</f>
        <v>(1+AC + S + R + G)*(1 + DF)*(1+L)</v>
      </c>
      <c r="O115" s="599"/>
      <c r="P115" s="599"/>
      <c r="Q115" s="600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598"/>
      <c r="N116" s="603" t="s">
        <v>183</v>
      </c>
      <c r="O116" s="603"/>
      <c r="P116" s="603"/>
      <c r="Q116" s="600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589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589"/>
      <c r="L118" s="589"/>
      <c r="M118" s="589"/>
      <c r="N118" s="589"/>
      <c r="O118" s="589"/>
      <c r="P118" s="589"/>
      <c r="Q118" s="589"/>
      <c r="R118" s="589"/>
      <c r="S118" s="589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589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589"/>
      <c r="L120" s="589"/>
      <c r="M120" s="589"/>
      <c r="N120" s="589"/>
      <c r="O120" s="589"/>
      <c r="P120" s="589"/>
      <c r="Q120" s="589"/>
      <c r="R120" s="589"/>
      <c r="S120" s="589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590"/>
      <c r="K123" s="590"/>
      <c r="L123" s="590"/>
      <c r="M123" s="590"/>
      <c r="N123" s="590"/>
      <c r="O123" s="590"/>
      <c r="P123" s="590"/>
      <c r="Q123" s="590"/>
      <c r="R123" s="590"/>
      <c r="S123" s="590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591" t="str">
        <f>Import.Município</f>
        <v>Caçapava do Sul/RS</v>
      </c>
      <c r="K125" s="591"/>
      <c r="L125" s="591"/>
      <c r="M125" s="591"/>
      <c r="P125" s="592">
        <f ca="1">DADOS!$F$25</f>
        <v>45518</v>
      </c>
      <c r="Q125" s="592"/>
      <c r="R125" s="592"/>
      <c r="S125" s="592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593" t="s">
        <v>190</v>
      </c>
      <c r="K126" s="593"/>
      <c r="L126" s="593"/>
      <c r="M126" s="593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594"/>
      <c r="K128" s="594"/>
      <c r="L128" s="594"/>
      <c r="M128" s="594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588" t="s">
        <v>192</v>
      </c>
      <c r="K129" s="588"/>
      <c r="L129" s="588"/>
      <c r="M129" s="588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Schaiane da Silva Lopes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RS142294-4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12377498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</mergeCells>
  <phoneticPr fontId="38" type="noConversion"/>
  <conditionalFormatting sqref="J30:S30 J70:S70 J110:S110">
    <cfRule type="expression" dxfId="550" priority="2" stopIfTrue="1">
      <formula>DESONERACAO="não"</formula>
    </cfRule>
  </conditionalFormatting>
  <conditionalFormatting sqref="U29:W29 U69:W69 U109:W109">
    <cfRule type="expression" dxfId="549" priority="3" stopIfTrue="1">
      <formula>AND(U29&lt;&gt;"OK",U29&lt;&gt;"-",U29&lt;&gt;"")</formula>
    </cfRule>
    <cfRule type="cellIs" dxfId="548" priority="4" stopIfTrue="1" operator="equal">
      <formula>"OK"</formula>
    </cfRule>
  </conditionalFormatting>
  <conditionalFormatting sqref="S29 S69 S109">
    <cfRule type="expression" dxfId="547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66"/>
  <sheetViews>
    <sheetView showGridLines="0" tabSelected="1" view="pageBreakPreview" zoomScaleNormal="100" zoomScaleSheetLayoutView="100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A45" sqref="A45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607" t="s">
        <v>147</v>
      </c>
      <c r="P4" s="607"/>
      <c r="Q4" s="89" t="s">
        <v>148</v>
      </c>
      <c r="R4" s="89" t="s">
        <v>149</v>
      </c>
      <c r="S4" s="607" t="s">
        <v>204</v>
      </c>
      <c r="T4" s="607"/>
      <c r="U4" s="607"/>
      <c r="V4" s="607"/>
      <c r="W4" s="607"/>
      <c r="X4" s="607"/>
      <c r="Y4" s="78"/>
      <c r="Z4" s="78"/>
      <c r="AA4" s="78"/>
      <c r="AB4" s="78"/>
    </row>
    <row r="5" spans="1:40" ht="12.75" customHeight="1" x14ac:dyDescent="0.2">
      <c r="A5" s="7">
        <f ca="1">MAX($C$15:$C$49)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611">
        <f>Import.CR</f>
        <v>0</v>
      </c>
      <c r="P5" s="611"/>
      <c r="Q5" s="92">
        <f>Import.SICONV</f>
        <v>0</v>
      </c>
      <c r="R5" s="93" t="str">
        <f>Import.Proponente</f>
        <v>Prefeitura Municipal de Caçapava do Sul</v>
      </c>
      <c r="S5" s="611" t="str">
        <f>Import.Apelido</f>
        <v>Calçamento da Rua Barão do Rio Branco</v>
      </c>
      <c r="T5" s="611"/>
      <c r="U5" s="611"/>
      <c r="V5" s="611"/>
      <c r="W5" s="611"/>
      <c r="X5" s="611"/>
      <c r="Y5" s="94"/>
      <c r="Z5" s="94"/>
      <c r="AA5" s="94"/>
      <c r="AB5" s="94"/>
      <c r="AE5" s="618" t="s">
        <v>202</v>
      </c>
      <c r="AF5" s="618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607" t="s">
        <v>206</v>
      </c>
      <c r="P7" s="607"/>
      <c r="Q7" s="89" t="s">
        <v>207</v>
      </c>
      <c r="R7" s="89" t="str">
        <f>IF(TIPOORCAMENTO="Licitado","NOME DA EMPRESA","DESCRIÇÃO DO LOTE")</f>
        <v>DESCRIÇÃO DO LOTE</v>
      </c>
      <c r="S7" s="619" t="str">
        <f>IF(TIPOORCAMENTO="Licitado","REGIME DE EXECUÇÃO","MUNICÍPIO / UF")</f>
        <v>MUNICÍPIO / UF</v>
      </c>
      <c r="T7" s="619"/>
      <c r="U7" s="619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22" t="s">
        <v>209</v>
      </c>
      <c r="AL7" s="620" t="s">
        <v>210</v>
      </c>
    </row>
    <row r="8" spans="1:40" ht="12.75" customHeight="1" x14ac:dyDescent="0.2">
      <c r="A8" s="7"/>
      <c r="B8" s="7"/>
      <c r="C8" s="7"/>
      <c r="F8" s="623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23"/>
      <c r="H8" s="623"/>
      <c r="I8" s="623"/>
      <c r="J8" s="623"/>
      <c r="K8" s="623"/>
      <c r="L8" s="595" t="s">
        <v>211</v>
      </c>
      <c r="O8" s="611" t="str">
        <f ca="1">IF(ISERROR(INDIRECT($F$9)),"(N/D: 'Referência "&amp;Excel_BuiltIn_Database&amp;".xls)",INDIRECT($F$9))</f>
        <v>(N/D: 'Referência 04-2024.xls)</v>
      </c>
      <c r="P8" s="611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24" t="str">
        <f>IF(TIPOORCAMENTO="Licitado",Import.RegimeExecução,Import.Município)</f>
        <v>Caçapava do Sul/RS</v>
      </c>
      <c r="T8" s="624"/>
      <c r="U8" s="624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595" t="s">
        <v>212</v>
      </c>
      <c r="Z8" s="595" t="s">
        <v>213</v>
      </c>
      <c r="AA8" s="104"/>
      <c r="AB8" s="104"/>
      <c r="AE8" s="90" t="s">
        <v>208</v>
      </c>
      <c r="AF8" s="91" t="b">
        <v>1</v>
      </c>
      <c r="AJ8" s="622"/>
      <c r="AL8" s="620"/>
    </row>
    <row r="9" spans="1:40" ht="12.75" customHeight="1" x14ac:dyDescent="0.2">
      <c r="F9" s="623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23"/>
      <c r="H9" s="623"/>
      <c r="I9" s="623"/>
      <c r="J9" s="623"/>
      <c r="K9" s="623"/>
      <c r="L9" s="595"/>
      <c r="Y9" s="595"/>
      <c r="Z9" s="595"/>
      <c r="AE9" s="90" t="s">
        <v>214</v>
      </c>
      <c r="AF9" s="91" t="b">
        <v>1</v>
      </c>
      <c r="AJ9" s="622"/>
      <c r="AL9" s="620"/>
    </row>
    <row r="10" spans="1:40" x14ac:dyDescent="0.2">
      <c r="G10" s="86"/>
      <c r="H10" s="86"/>
      <c r="L10" s="595"/>
      <c r="Y10" s="595"/>
      <c r="Z10" s="595"/>
      <c r="AC10" s="105" t="s">
        <v>216</v>
      </c>
      <c r="AE10" s="90" t="s">
        <v>215</v>
      </c>
      <c r="AF10" s="91" t="b">
        <v>1</v>
      </c>
      <c r="AJ10" s="622"/>
      <c r="AL10" s="620"/>
    </row>
    <row r="11" spans="1:40" x14ac:dyDescent="0.2">
      <c r="G11" s="86"/>
      <c r="H11" s="106"/>
      <c r="L11" s="595"/>
      <c r="Y11" s="595"/>
      <c r="Z11" s="595"/>
      <c r="AC11" s="107" t="str">
        <f ca="1">IF(COUNTIF($AC$15:OFFSET($AC$49,-1,0),"DESCRIÇÃO")+COUNTIF($AC$15:OFFSET($AC$49,-1,0),"UNIDADE")+COUNTIF($AC$15:OFFSET($AC$49,-1,0),"SEM VALOR")&gt;0,"NÃO OK","OK")</f>
        <v>OK</v>
      </c>
      <c r="AE11" s="90" t="s">
        <v>217</v>
      </c>
      <c r="AF11" s="91" t="b">
        <v>1</v>
      </c>
      <c r="AJ11" s="622"/>
      <c r="AL11" s="620"/>
    </row>
    <row r="12" spans="1:40" x14ac:dyDescent="0.2">
      <c r="G12" s="86"/>
      <c r="H12" s="86"/>
      <c r="L12" s="595"/>
      <c r="Y12" s="595"/>
      <c r="Z12" s="595"/>
      <c r="AA12" s="621" t="s">
        <v>218</v>
      </c>
      <c r="AB12" s="621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IF(OR($C14="S",$C14=0),0,MATCH(0,OFFSET($D14,1,$C14,ROW($C$49)-ROW($C14)),0))</f>
        <v>0</v>
      </c>
      <c r="K14">
        <f ca="1">IF(OR($C14="S",$C14=0),0,MATCH(OFFSET($D14,0,$C14)+IF($C14&lt;&gt;1,1,COUNTIF(QCI!$A$13:$A$15,ORÇAMENTO!E14)),OFFSET($D14,1,$C14,ROW($C$49)-ROW($C14)),0))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48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COUNTA(OFFSET(D15,1,0):D$49)</f>
        <v>33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26" t="str">
        <f>Import.DescLote</f>
        <v>Lote Único - Empreitada Preço Global</v>
      </c>
      <c r="P15" s="626"/>
      <c r="Q15" s="626"/>
      <c r="R15" s="626"/>
      <c r="S15" s="133"/>
      <c r="T15" s="134"/>
      <c r="U15" s="134"/>
      <c r="V15" s="135"/>
      <c r="W15" s="134"/>
      <c r="X15" s="136">
        <f ca="1">SUMIF(OFFSET($C15,1,0,ROW(X49)-ROW(X15)-1),"S",OFFSET(X15,1,0,ROW(X49)-ROW(X15)-1))</f>
        <v>0</v>
      </c>
      <c r="Y15" s="7"/>
      <c r="Z15" t="str">
        <f ca="1">IF(AND($C15="S",$X15&gt;0),LEFT($Y15,2),"")</f>
        <v/>
      </c>
      <c r="AA15" s="496">
        <f ca="1">SUMIF(OFFSET($C15,1,0,ROW(AA49)-ROW(AA15)-1),"S",OFFSET(AA15,1,0,ROW(AA49)-ROW(AA15)-1))</f>
        <v>0</v>
      </c>
      <c r="AB15" s="137">
        <f ca="1">SUMIF(OFFSET($C15,1,0,ROW(AB49)-ROW(AB15)-1),"S",OFFSET(AB15,1,0,ROW(AB49)-ROW(AB15)-1))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40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40" ca="1" si="2">IF(OR(C16="s",C16=0),OFFSET(B16,-1,0),C16)</f>
        <v>1</v>
      </c>
      <c r="C16">
        <f t="shared" ref="C16:C40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40" ca="1" si="4">IF(OR(C16="S",C16=0),0,IF(ISERROR(K16),J16,SMALL(J16:K16,1)))</f>
        <v>33</v>
      </c>
      <c r="E16">
        <f ca="1">IF($C16=1,OFFSET(E16,-1,0)+MAX(1,COUNTIF(QCI!$A$13:$A$15,OFFSET(ORÇAMENTO!E16,-1,0))),OFFSET(E16,-1,0))</f>
        <v>1</v>
      </c>
      <c r="F16">
        <f t="shared" ref="F16:F40" ca="1" si="5">IF($C16=1,0,IF($C16=2,OFFSET(F16,-1,0)+1,OFFSET(F16,-1,0)))</f>
        <v>0</v>
      </c>
      <c r="G16">
        <f t="shared" ref="G16:G40" ca="1" si="6">IF(AND($C16&lt;=2,$C16&lt;&gt;0),0,IF($C16=3,OFFSET(G16,-1,0)+1,OFFSET(G16,-1,0)))</f>
        <v>0</v>
      </c>
      <c r="H16">
        <f t="shared" ref="H16:H40" ca="1" si="7">IF(AND($C16&lt;=3,$C16&lt;&gt;0),0,IF($C16=4,OFFSET(H16,-1,0)+1,OFFSET(H16,-1,0)))</f>
        <v>0</v>
      </c>
      <c r="I16">
        <f t="shared" ref="I16:I40" ca="1" si="8">IF(AND($C16&lt;=4,$C16&lt;&gt;0),0,IF(AND($C16="S",$X16&gt;0),OFFSET(I16,-1,0)+1,OFFSET(I16,-1,0)))</f>
        <v>0</v>
      </c>
      <c r="J16">
        <f t="shared" ref="J16:J46" ca="1" si="9">IF(OR($C16="S",$C16=0),0,MATCH(0,OFFSET($D16,1,$C16,ROW($C$49)-ROW($C16)),0))</f>
        <v>33</v>
      </c>
      <c r="K16" t="e">
        <f ca="1">IF(OR($C16="S",$C16=0),0,MATCH(OFFSET($D16,0,$C16)+IF($C16&lt;&gt;1,1,COUNTIF(QCI!$A$13:$A$15,ORÇAMENTO!E16)),OFFSET($D16,1,$C16,ROW($C$49)-ROW($C16)),0))</f>
        <v>#N/A</v>
      </c>
      <c r="L16" s="116" t="str">
        <f t="shared" ref="L16:L40" ca="1" si="10">IF(OR($X16&gt;0,$C16=1,$C16=2,$C16=3,$C16=4),"F","")</f>
        <v>F</v>
      </c>
      <c r="M16" s="117" t="s">
        <v>197</v>
      </c>
      <c r="N16" s="118" t="str">
        <f t="shared" ref="N16:N40" ca="1" si="11">CHOOSE(1+LOG(1+2*(C16=1)+4*(C16=2)+8*(C16=3)+16*(C16=4)+32*(C16="S"),2),"","Meta","Nível 2","Nível 3","Nível 4","Serviço")</f>
        <v>Meta</v>
      </c>
      <c r="O16" s="119" t="str">
        <f t="shared" ref="O16:O40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497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40" ca="1" si="13">IF($C16="S",ROUND(IF(TIPOORCAMENTO="Proposto",ORÇAMENTO.CustoUnitario*(1+$AH16),ORÇAMENTO.PrecoUnitarioLicitado),15-13*$AF$10),0)</f>
        <v>0</v>
      </c>
      <c r="X16" s="127">
        <f t="shared" ref="X16:X40" ca="1" si="14">IF($C16="S",VTOTAL1,IF($C16=0,0,ROUND(SomaAgrup,15-13*$AF$11)))</f>
        <v>0</v>
      </c>
      <c r="Y16" s="128" t="s">
        <v>247</v>
      </c>
      <c r="Z16" t="str">
        <f t="shared" ref="Z16:Z40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40" ca="1" si="16">IF($C16="S",IF($Z16="OU",ROUND($X16,2),0),SomaAgrup)</f>
        <v>0</v>
      </c>
      <c r="AC16" s="131" t="str">
        <f t="shared" ref="AC16:AC40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40" ca="1" si="18">IF(AND($C16="S",ORÇAMENTO.CodBarra&lt;&gt;""),IF(ORÇAMENTO.Fonte="",ORÇAMENTO.CodBarra,CONCATENATE(ORÇAMENTO.Fonte," ",ORÇAMENTO.CodBarra)))</f>
        <v>0</v>
      </c>
      <c r="AF16" s="13" t="str">
        <f t="shared" ref="AF16:AF40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40" ca="1" si="20">ROUND(IF(DESONERACAO="sim",REFERENCIA.Desonerado,REFERENCIA.NaoDesonerado),2)</f>
        <v>0</v>
      </c>
      <c r="AH16" s="499">
        <f t="shared" ref="AH16:AH40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40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32</v>
      </c>
      <c r="K17">
        <f ca="1">IF(OR($C17="S",$C17=0),0,MATCH(OFFSET($D17,0,$C17)+IF($C17&lt;&gt;1,1,COUNTIF(QCI!$A$13:$A$15,ORÇAMENTO!E17)),OFFSET($D17,1,$C17,ROW($C$49)-ROW($C17)),0))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474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IF(OR($C18="S",$C18=0),0,MATCH(OFFSET($D18,0,$C18)+IF($C18&lt;&gt;1,1,COUNTIF(QCI!$A$13:$A$15,ORÇAMENTO!E18)),OFFSET($D18,1,$C18,ROW($C$49)-ROW($C18)),0))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461</v>
      </c>
      <c r="Q18" s="121" t="s">
        <v>456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3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30</v>
      </c>
      <c r="K19">
        <f ca="1">IF(OR($C19="S",$C19=0),0,MATCH(OFFSET($D19,0,$C19)+IF($C19&lt;&gt;1,1,COUNTIF(QCI!$A$13:$A$15,ORÇAMENTO!E19)),OFFSET($D19,1,$C19,ROW($C$49)-ROW($C19)),0))</f>
        <v>3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443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IF(OR($C20="S",$C20=0),0,MATCH(OFFSET($D20,0,$C20)+IF($C20&lt;&gt;1,1,COUNTIF(QCI!$A$13:$A$15,ORÇAMENTO!E20)),OFFSET($D20,1,$C20,ROW($C$49)-ROW($C20)),0))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477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39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IF(OR($C21="S",$C21=0),0,MATCH(OFFSET($D21,0,$C21)+IF($C21&lt;&gt;1,1,COUNTIF(QCI!$A$13:$A$15,ORÇAMENTO!E21)),OFFSET($D21,1,$C21,ROW($C$49)-ROW($C21)),0))</f>
        <v>0</v>
      </c>
      <c r="L21" s="116" t="str">
        <f t="shared" ca="1" si="10"/>
        <v/>
      </c>
      <c r="M21" s="117" t="s">
        <v>201</v>
      </c>
      <c r="N21" s="118" t="str">
        <f t="shared" ca="1" si="11"/>
        <v>Serviço</v>
      </c>
      <c r="O21" s="119" t="str">
        <f t="shared" ca="1" si="12"/>
        <v>-</v>
      </c>
      <c r="P21" s="120" t="s">
        <v>461</v>
      </c>
      <c r="Q21" s="121" t="s">
        <v>486</v>
      </c>
      <c r="R21" s="122" t="str">
        <f ca="1">IF($C21="S",REFERENCIA.Descricao,"(digite a descrição aqui)")</f>
        <v>(abra o arquivo 'Referência 04-2024.xls)</v>
      </c>
      <c r="S21" s="123" t="str">
        <f ca="1">REFERENCIA.Unidade</f>
        <v>-</v>
      </c>
      <c r="T21" s="124">
        <f ca="1">OFFSET(CÁLCULO!H$15,ROW($T21)-ROW(T$15),0)</f>
        <v>186.6</v>
      </c>
      <c r="U21" s="125">
        <f t="shared" ca="1" si="24"/>
        <v>0</v>
      </c>
      <c r="V21" s="126" t="s">
        <v>158</v>
      </c>
      <c r="W21" s="124">
        <f t="shared" ca="1" si="13"/>
        <v>0</v>
      </c>
      <c r="X21" s="127">
        <f t="shared" ca="1" si="14"/>
        <v>0</v>
      </c>
      <c r="Y21" s="128" t="s">
        <v>247</v>
      </c>
      <c r="Z21" t="str">
        <f t="shared" ca="1" si="15"/>
        <v/>
      </c>
      <c r="AA21" s="129">
        <f ca="1">IF($C21="S",IF($Z21="CP",$X21,IF($Z21="RA",(($X21)*QCI!$AA$3),0)),SomaAgrup)</f>
        <v>0</v>
      </c>
      <c r="AB21" s="130">
        <f t="shared" ca="1" si="16"/>
        <v>0</v>
      </c>
      <c r="AC21" s="131" t="str">
        <f t="shared" ca="1" si="17"/>
        <v/>
      </c>
      <c r="AD21" t="str">
        <f ca="1">IF(C21&lt;=CRONO.NivelExibicao,MAX($AD$15:OFFSET(AD21,-1,0))+IF($C21&lt;&gt;1,1,MAX(1,COUNTIF(QCI!$A$13:$A$15,OFFSET($E21,-1,0)))),"")</f>
        <v/>
      </c>
      <c r="AE21" s="7" t="str">
        <f t="shared" ca="1" si="18"/>
        <v>Composição 028</v>
      </c>
      <c r="AF21" s="13" t="str">
        <f t="shared" ca="1" si="19"/>
        <v>(abra o arquivo 'Referência 04-2024.xls)</v>
      </c>
      <c r="AG21" s="498">
        <f t="shared" ca="1" si="20"/>
        <v>0</v>
      </c>
      <c r="AH21" s="499">
        <f t="shared" ca="1" si="21"/>
        <v>0.22869999999999999</v>
      </c>
      <c r="AJ21" s="501">
        <v>713.71</v>
      </c>
      <c r="AL21" s="527"/>
      <c r="AM21" s="380">
        <f t="shared" ca="1" si="0"/>
        <v>0</v>
      </c>
      <c r="AN21" s="566">
        <f t="shared" ca="1" si="22"/>
        <v>0</v>
      </c>
    </row>
    <row r="22" spans="1:40" x14ac:dyDescent="0.2">
      <c r="A22">
        <f>CHOOSE(1+LOG(1+2*(ORÇAMENTO.Nivel="Meta")+4*(ORÇAMENTO.Nivel="Nível 2")+8*(ORÇAMENTO.Nivel="Nível 3")+16*(ORÇAMENTO.Nivel="Nível 4")+32*(ORÇAMENTO.Nivel="Serviço"),2),0,1,2,3,4,"S")</f>
        <v>2</v>
      </c>
      <c r="B22">
        <f t="shared" ref="B22:B23" ca="1" si="25">IF(OR(C22="s",C22=0),OFFSET(B22,-1,0),C22)</f>
        <v>2</v>
      </c>
      <c r="C22">
        <f t="shared" ref="C22:C23" ca="1" si="26">IF(OFFSET(C22,-1,0)="L",1,IF(OFFSET(C22,-1,0)=1,2,IF(OR(A22="s",A22=0),"S",IF(AND(OFFSET(C22,-1,0)=2,A22=4),3,IF(AND(OR(OFFSET(C22,-1,0)="s",OFFSET(C22,-1,0)=0),A22&lt;&gt;"s",A22&gt;OFFSET(B22,-1,0)),OFFSET(B22,-1,0),A22)))))</f>
        <v>2</v>
      </c>
      <c r="D22">
        <f t="shared" ref="D22:D23" ca="1" si="27">IF(OR(C22="S",C22=0),0,IF(ISERROR(K22),J22,SMALL(J22:K22,1)))</f>
        <v>2</v>
      </c>
      <c r="E22">
        <f ca="1">IF($C22=1,OFFSET(E22,-1,0)+MAX(1,COUNTIF(QCI!$A$13:$A$15,OFFSET(ORÇAMENTO!E22,-1,0))),OFFSET(E22,-1,0))</f>
        <v>1</v>
      </c>
      <c r="F22">
        <f t="shared" ref="F22:F23" ca="1" si="28">IF($C22=1,0,IF($C22=2,OFFSET(F22,-1,0)+1,OFFSET(F22,-1,0)))</f>
        <v>3</v>
      </c>
      <c r="G22">
        <f t="shared" ref="G22:G23" ca="1" si="29">IF(AND($C22&lt;=2,$C22&lt;&gt;0),0,IF($C22=3,OFFSET(G22,-1,0)+1,OFFSET(G22,-1,0)))</f>
        <v>0</v>
      </c>
      <c r="H22">
        <f t="shared" ref="H22:H23" ca="1" si="30">IF(AND($C22&lt;=3,$C22&lt;&gt;0),0,IF($C22=4,OFFSET(H22,-1,0)+1,OFFSET(H22,-1,0)))</f>
        <v>0</v>
      </c>
      <c r="I22">
        <f t="shared" ref="I22:I23" ca="1" si="31">IF(AND($C22&lt;=4,$C22&lt;&gt;0),0,IF(AND($C22="S",$X22&gt;0),OFFSET(I22,-1,0)+1,OFFSET(I22,-1,0)))</f>
        <v>0</v>
      </c>
      <c r="J22">
        <f t="shared" ca="1" si="9"/>
        <v>27</v>
      </c>
      <c r="K22">
        <f ca="1">IF(OR($C22="S",$C22=0),0,MATCH(OFFSET($D22,0,$C22)+IF($C22&lt;&gt;1,1,COUNTIF(QCI!$A$13:$A$15,ORÇAMENTO!E22)),OFFSET($D22,1,$C22,ROW($C$49)-ROW($C22)),0))</f>
        <v>2</v>
      </c>
      <c r="L22" s="116" t="str">
        <f t="shared" ref="L22:L23" ca="1" si="32">IF(OR($X22&gt;0,$C22=1,$C22=2,$C22=3,$C22=4),"F","")</f>
        <v>F</v>
      </c>
      <c r="M22" s="117" t="s">
        <v>198</v>
      </c>
      <c r="N22" s="118" t="str">
        <f t="shared" ref="N22:N23" ca="1" si="33">CHOOSE(1+LOG(1+2*(C22=1)+4*(C22=2)+8*(C22=3)+16*(C22=4)+32*(C22="S"),2),"","Meta","Nível 2","Nível 3","Nível 4","Serviço")</f>
        <v>Nível 2</v>
      </c>
      <c r="O22" s="119" t="str">
        <f t="shared" ref="O22:O23" ca="1" si="34">IF(OR($C22=0,$L22=""),"-",CONCATENATE(E22&amp;".",IF(AND($A$5&gt;=2,$C22&gt;=2),F22&amp;".",""),IF(AND($A$5&gt;=3,$C22&gt;=3),G22&amp;".",""),IF(AND($A$5&gt;=4,$C22&gt;=4),H22&amp;".",""),IF($C22="S",I22&amp;".","")))</f>
        <v>1.3.</v>
      </c>
      <c r="P22" s="120" t="s">
        <v>249</v>
      </c>
      <c r="Q22" s="121"/>
      <c r="R22" s="122" t="s">
        <v>475</v>
      </c>
      <c r="S22" s="123" t="str">
        <f ca="1">REFERENCIA.Unidade</f>
        <v>-</v>
      </c>
      <c r="T22" s="124">
        <f ca="1">OFFSET(CÁLCULO!H$15,ROW($T22)-ROW(T$15),0)</f>
        <v>0</v>
      </c>
      <c r="U22" s="125">
        <f t="shared" ca="1" si="24"/>
        <v>0</v>
      </c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ref="Z22:Z23" ca="1" si="35">IF(AND($C22="S",$X22&gt;0),IF(ISBLANK($Y22),"RA",LEFT($Y22,2)),"")</f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>
        <f ca="1">IF(C22&lt;=CRONO.NivelExibicao,MAX($AD$15:OFFSET(AD22,-1,0))+IF($C22&lt;&gt;1,1,MAX(1,COUNTIF(QCI!$A$13:$A$15,OFFSET($E22,-1,0)))),"")</f>
        <v>4</v>
      </c>
      <c r="AE22" s="7" t="b">
        <f ca="1">IF(AND($C22="S",ORÇAMENTO.CodBarra&lt;&gt;""),IF(ORÇAMENTO.Fonte="",ORÇAMENTO.CodBarra,CONCATENATE(ORÇAMENTO.Fonte," ",ORÇAMENTO.CodBarra)))</f>
        <v>0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/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ht="25.5" x14ac:dyDescent="0.2">
      <c r="A23" t="str">
        <f>CHOOSE(1+LOG(1+2*(ORÇAMENTO.Nivel="Meta")+4*(ORÇAMENTO.Nivel="Nível 2")+8*(ORÇAMENTO.Nivel="Nível 3")+16*(ORÇAMENTO.Nivel="Nível 4")+32*(ORÇAMENTO.Nivel="Serviço"),2),0,1,2,3,4,"S")</f>
        <v>S</v>
      </c>
      <c r="B23">
        <f t="shared" ca="1" si="25"/>
        <v>2</v>
      </c>
      <c r="C23" t="str">
        <f t="shared" ca="1" si="26"/>
        <v>S</v>
      </c>
      <c r="D23">
        <f t="shared" ca="1" si="27"/>
        <v>0</v>
      </c>
      <c r="E23">
        <f ca="1">IF($C23=1,OFFSET(E23,-1,0)+MAX(1,COUNTIF(QCI!$A$13:$A$15,OFFSET(ORÇAMENTO!E23,-1,0))),OFFSET(E23,-1,0))</f>
        <v>1</v>
      </c>
      <c r="F23">
        <f t="shared" ca="1" si="28"/>
        <v>3</v>
      </c>
      <c r="G23">
        <f t="shared" ca="1" si="29"/>
        <v>0</v>
      </c>
      <c r="H23">
        <f t="shared" ca="1" si="30"/>
        <v>0</v>
      </c>
      <c r="I23">
        <f t="shared" ca="1" si="31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IF(OR($C23="S",$C23=0),0,MATCH(OFFSET($D23,0,$C23)+IF($C23&lt;&gt;1,1,COUNTIF(QCI!$A$13:$A$15,ORÇAMENTO!E23)),OFFSET($D23,1,$C23,ROW($C$49)-ROW($C23)),0))</f>
        <v>0</v>
      </c>
      <c r="L23" s="116" t="str">
        <f t="shared" ca="1" si="32"/>
        <v/>
      </c>
      <c r="M23" s="117" t="s">
        <v>201</v>
      </c>
      <c r="N23" s="118" t="str">
        <f t="shared" ca="1" si="33"/>
        <v>Serviço</v>
      </c>
      <c r="O23" s="119" t="str">
        <f t="shared" ca="1" si="34"/>
        <v>-</v>
      </c>
      <c r="P23" s="120" t="s">
        <v>249</v>
      </c>
      <c r="Q23" s="121" t="s">
        <v>440</v>
      </c>
      <c r="R23" s="122" t="str">
        <f ca="1">IF($C23="S",REFERENCIA.Descricao,"(digite a descrição aqui)")</f>
        <v>(abra o arquivo 'Referência 04-2024.xls)</v>
      </c>
      <c r="S23" s="123" t="str">
        <f ca="1">REFERENCIA.Unidade</f>
        <v>-</v>
      </c>
      <c r="T23" s="124">
        <f ca="1">OFFSET(CÁLCULO!H$15,ROW($T23)-ROW(T$15),0)</f>
        <v>622</v>
      </c>
      <c r="U23" s="125">
        <f t="shared" ca="1" si="24"/>
        <v>0</v>
      </c>
      <c r="V23" s="126" t="s">
        <v>158</v>
      </c>
      <c r="W23" s="124">
        <f ca="1">IF($C23="S",ROUND(IF(TIPOORCAMENTO="Proposto",ORÇAMENTO.CustoUnitario*(1+$AH23),ORÇAMENTO.PrecoUnitarioLicitado),15-13*$AF$10),0)</f>
        <v>0</v>
      </c>
      <c r="X23" s="127">
        <f ca="1">IF($C23="S",VTOTAL1,IF($C23=0,0,ROUND(SomaAgrup,15-13*$AF$11)))</f>
        <v>0</v>
      </c>
      <c r="Y23" s="128" t="s">
        <v>247</v>
      </c>
      <c r="Z23" t="str">
        <f t="shared" ca="1" si="35"/>
        <v/>
      </c>
      <c r="AA23" s="129">
        <f ca="1">IF($C23="S",IF($Z23="CP",$X23,IF($Z23="RA",(($X23)*QCI!$AA$3),0)),SomaAgrup)</f>
        <v>0</v>
      </c>
      <c r="AB23" s="130">
        <f ca="1">IF($C23="S",IF($Z23="OU",ROUND($X23,2),0),SomaAgrup)</f>
        <v>0</v>
      </c>
      <c r="AC23" s="131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IF(C23&lt;=CRONO.NivelExibicao,MAX($AD$15:OFFSET(AD23,-1,0))+IF($C23&lt;&gt;1,1,MAX(1,COUNTIF(QCI!$A$13:$A$15,OFFSET($E23,-1,0)))),"")</f>
        <v/>
      </c>
      <c r="AE23" s="7" t="str">
        <f ca="1">IF(AND($C23="S",ORÇAMENTO.CodBarra&lt;&gt;""),IF(ORÇAMENTO.Fonte="",ORÇAMENTO.CodBarra,CONCATENATE(ORÇAMENTO.Fonte," ",ORÇAMENTO.CodBarra)))</f>
        <v>SINAPI 100576</v>
      </c>
      <c r="AF23" s="13" t="str">
        <f ca="1">IF(ISERROR(INDIRECT(ORÇAMENTO.BancoRef)),"(abra o arquivo 'Referência "&amp;Excel_BuiltIn_Database&amp;".xls)",IF(OR($C23&lt;&gt;"S",ORÇAMENTO.CodBarra=""),"(Sem Código)",IF(ISERROR(MATCH($AE23,INDIRECT(ORÇAMENTO.BancoRef),0)),"(Código não identificado nas referências)",MATCH($AE23,INDIRECT(ORÇAMENTO.BancoRef),0))))</f>
        <v>(abra o arquivo 'Referência 04-2024.xls)</v>
      </c>
      <c r="AG23" s="498">
        <f ca="1">ROUND(IF(DESONERACAO="sim",REFERENCIA.Desonerado,REFERENCIA.NaoDesonerado),2)</f>
        <v>0</v>
      </c>
      <c r="AH23" s="499">
        <f ca="1">ROUND(IF(ISNUMBER(ORÇAMENTO.OpcaoBDI),ORÇAMENTO.OpcaoBDI,IF(LEFT(ORÇAMENTO.OpcaoBDI,3)="BDI",HLOOKUP(ORÇAMENTO.OpcaoBDI,$F$4:$H$5,2,FALSE),0)),15-11*$AF$9)</f>
        <v>0.22869999999999999</v>
      </c>
      <c r="AJ23" s="501">
        <v>2739.38</v>
      </c>
      <c r="AL23" s="527"/>
      <c r="AM23" s="380">
        <f t="shared" ca="1" si="0"/>
        <v>0</v>
      </c>
      <c r="AN23" s="566">
        <f ca="1">ROUND(ORÇAMENTO.CustoUnitario*(1+$AH23),2)</f>
        <v>0</v>
      </c>
    </row>
    <row r="24" spans="1:40" x14ac:dyDescent="0.2">
      <c r="A24">
        <f t="shared" si="1"/>
        <v>2</v>
      </c>
      <c r="B24">
        <f t="shared" ca="1" si="2"/>
        <v>2</v>
      </c>
      <c r="C24">
        <f t="shared" ca="1" si="3"/>
        <v>2</v>
      </c>
      <c r="D24">
        <f t="shared" ca="1" si="4"/>
        <v>10</v>
      </c>
      <c r="E24">
        <f ca="1">IF($C24=1,OFFSET(E24,-1,0)+MAX(1,COUNTIF(QCI!$A$13:$A$15,OFFSET(ORÇAMENTO!E24,-1,0))),OFFSET(E24,-1,0))</f>
        <v>1</v>
      </c>
      <c r="F24">
        <f t="shared" ca="1" si="5"/>
        <v>4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25</v>
      </c>
      <c r="K24">
        <f ca="1">IF(OR($C24="S",$C24=0),0,MATCH(OFFSET($D24,0,$C24)+IF($C24&lt;&gt;1,1,COUNTIF(QCI!$A$13:$A$15,ORÇAMENTO!E24)),OFFSET($D24,1,$C24,ROW($C$49)-ROW($C24)),0))</f>
        <v>10</v>
      </c>
      <c r="L24" s="116" t="str">
        <f t="shared" ca="1" si="10"/>
        <v>F</v>
      </c>
      <c r="M24" s="117" t="s">
        <v>198</v>
      </c>
      <c r="N24" s="118" t="str">
        <f t="shared" ca="1" si="11"/>
        <v>Nível 2</v>
      </c>
      <c r="O24" s="119" t="str">
        <f t="shared" ca="1" si="12"/>
        <v>1.4.</v>
      </c>
      <c r="P24" s="120" t="s">
        <v>249</v>
      </c>
      <c r="Q24" s="121"/>
      <c r="R24" s="122" t="s">
        <v>498</v>
      </c>
      <c r="S24" s="123" t="s">
        <v>168</v>
      </c>
      <c r="T24" s="124">
        <f ca="1">OFFSET(CÁLCULO!H$15,ROW($T24)-ROW(T$15),0)</f>
        <v>0</v>
      </c>
      <c r="U24" s="125">
        <f t="shared" ca="1" si="24"/>
        <v>0</v>
      </c>
      <c r="V24" s="126" t="s">
        <v>158</v>
      </c>
      <c r="W24" s="124">
        <f t="shared" ca="1" si="13"/>
        <v>0</v>
      </c>
      <c r="X24" s="127">
        <f t="shared" ca="1" si="14"/>
        <v>0</v>
      </c>
      <c r="Y24" s="128" t="s">
        <v>247</v>
      </c>
      <c r="Z24" t="str">
        <f t="shared" ca="1" si="15"/>
        <v/>
      </c>
      <c r="AA24" s="129">
        <f ca="1">IF($C24="S",IF($Z24="CP",$X24,IF($Z24="RA",(($X24)*QCI!$AA$3),0)),SomaAgrup)</f>
        <v>0</v>
      </c>
      <c r="AB24" s="130">
        <f t="shared" ca="1" si="16"/>
        <v>0</v>
      </c>
      <c r="AC24" s="131" t="str">
        <f t="shared" ca="1" si="17"/>
        <v/>
      </c>
      <c r="AD24">
        <f ca="1">IF(C24&lt;=CRONO.NivelExibicao,MAX($AD$15:OFFSET(AD24,-1,0))+IF($C24&lt;&gt;1,1,MAX(1,COUNTIF(QCI!$A$13:$A$15,OFFSET($E24,-1,0)))),"")</f>
        <v>5</v>
      </c>
      <c r="AE24" s="7" t="b">
        <f t="shared" ca="1" si="18"/>
        <v>0</v>
      </c>
      <c r="AF24" s="13" t="str">
        <f t="shared" ca="1" si="19"/>
        <v>(abra o arquivo 'Referência 04-2024.xls)</v>
      </c>
      <c r="AG24" s="498">
        <f t="shared" ca="1" si="20"/>
        <v>0</v>
      </c>
      <c r="AH24" s="499">
        <f t="shared" ca="1" si="21"/>
        <v>0.22869999999999999</v>
      </c>
      <c r="AJ24" s="501"/>
      <c r="AL24" s="527"/>
      <c r="AM24" s="380">
        <f t="shared" ca="1" si="0"/>
        <v>0</v>
      </c>
      <c r="AN24" s="566">
        <f t="shared" ca="1" si="22"/>
        <v>0</v>
      </c>
    </row>
    <row r="25" spans="1:40" x14ac:dyDescent="0.2">
      <c r="A25">
        <f>CHOOSE(1+LOG(1+2*(ORÇAMENTO.Nivel="Meta")+4*(ORÇAMENTO.Nivel="Nível 2")+8*(ORÇAMENTO.Nivel="Nível 3")+16*(ORÇAMENTO.Nivel="Nível 4")+32*(ORÇAMENTO.Nivel="Serviço"),2),0,1,2,3,4,"S")</f>
        <v>4</v>
      </c>
      <c r="B25">
        <f ca="1">IF(OR(C25="s",C25=0),OFFSET(B25,-1,0),C25)</f>
        <v>3</v>
      </c>
      <c r="C25">
        <f ca="1">IF(OFFSET(C25,-1,0)="L",1,IF(OFFSET(C25,-1,0)=1,2,IF(OR(A25="s",A25=0),"S",IF(AND(OFFSET(C25,-1,0)=2,A25=4),3,IF(AND(OR(OFFSET(C25,-1,0)="s",OFFSET(C25,-1,0)=0),A25&lt;&gt;"s",A25&gt;OFFSET(B25,-1,0)),OFFSET(B25,-1,0),A25)))))</f>
        <v>3</v>
      </c>
      <c r="D25">
        <f ca="1">IF(OR(C25="S",C25=0),0,IF(ISERROR(K25),J25,SMALL(J25:K25,1)))</f>
        <v>4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9</v>
      </c>
      <c r="K25">
        <f ca="1">IF(OR($C25="S",$C25=0),0,MATCH(OFFSET($D25,0,$C25)+IF($C25&lt;&gt;1,1,COUNTIF(QCI!$A$13:$A$15,ORÇAMENTO!E25)),OFFSET($D25,1,$C25,ROW($C$49)-ROW($C25)),0))</f>
        <v>4</v>
      </c>
      <c r="L25" s="116" t="str">
        <f ca="1">IF(OR($X25&gt;0,$C25=1,$C25=2,$C25=3,$C25=4),"F","")</f>
        <v>F</v>
      </c>
      <c r="M25" s="117" t="s">
        <v>200</v>
      </c>
      <c r="N25" s="118" t="str">
        <f ca="1">CHOOSE(1+LOG(1+2*(C25=1)+4*(C25=2)+8*(C25=3)+16*(C25=4)+32*(C25="S"),2),"","Meta","Nível 2","Nível 3","Nível 4","Serviço")</f>
        <v>Nível 3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1.4.1.</v>
      </c>
      <c r="P25" s="120" t="s">
        <v>249</v>
      </c>
      <c r="Q25" s="121"/>
      <c r="R25" s="122" t="s">
        <v>472</v>
      </c>
      <c r="S25" s="123" t="str">
        <f ca="1">REFERENCIA.Unidade</f>
        <v>-</v>
      </c>
      <c r="T25" s="124">
        <f ca="1">OFFSET(CÁLCULO!H$15,ROW($T25)-ROW(T$15),0)</f>
        <v>0</v>
      </c>
      <c r="U25" s="125">
        <f t="shared" ca="1" si="24"/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b">
        <f ca="1">IF(AND($C25="S",ORÇAMENTO.CodBarra&lt;&gt;""),IF(ORÇAMENTO.Fonte="",ORÇAMENTO.CodBarra,CONCATENATE(ORÇAMENTO.Fonte," ",ORÇAMENTO.CodBarra)))</f>
        <v>0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/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51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IF(OR($C26="S",$C26=0),0,MATCH(OFFSET($D26,0,$C26)+IF($C26&lt;&gt;1,1,COUNTIF(QCI!$A$13:$A$15,ORÇAMENTO!E26)),OFFSET($D26,1,$C26,ROW($C$49)-ROW($C26)),0))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503</v>
      </c>
      <c r="R26" s="122" t="str">
        <f t="shared" ref="R26:R38" ca="1" si="36">IF($C26="S",REFERENCIA.Descricao,"(digite a descrição aqui)")</f>
        <v>(abra o arquivo 'Referência 04-2024.xls)</v>
      </c>
      <c r="S26" s="123" t="str">
        <f t="shared" ref="S26:S40" ca="1" si="37">REFERENCIA.Unidade</f>
        <v>-</v>
      </c>
      <c r="T26" s="124">
        <f ca="1">OFFSET(CÁLCULO!H$15,ROW($T26)-ROW(T$15),0)</f>
        <v>146</v>
      </c>
      <c r="U26" s="125">
        <f t="shared" ca="1" si="24"/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94273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687.71</v>
      </c>
      <c r="AL26" s="527"/>
      <c r="AM26" s="380">
        <f t="shared" ca="1" si="0"/>
        <v>0</v>
      </c>
      <c r="AN26" s="566">
        <f t="shared" ca="1" si="22"/>
        <v>0</v>
      </c>
    </row>
    <row r="27" spans="1:40" s="579" customFormat="1" ht="38.25" x14ac:dyDescent="0.2">
      <c r="A27" s="579" t="str">
        <f t="shared" si="1"/>
        <v>S</v>
      </c>
      <c r="B27" s="579">
        <f t="shared" ca="1" si="2"/>
        <v>3</v>
      </c>
      <c r="C27" s="579" t="str">
        <f t="shared" ca="1" si="3"/>
        <v>S</v>
      </c>
      <c r="D27" s="579">
        <f t="shared" ca="1" si="4"/>
        <v>0</v>
      </c>
      <c r="E27" s="579">
        <f ca="1">IF($C27=1,OFFSET(E27,-1,0)+MAX(1,COUNTIF(QCI!$A$13:$A$15,OFFSET(ORÇAMENTO!E27,-1,0))),OFFSET(E27,-1,0))</f>
        <v>1</v>
      </c>
      <c r="F27" s="579">
        <f t="shared" ca="1" si="5"/>
        <v>4</v>
      </c>
      <c r="G27" s="579">
        <f t="shared" ca="1" si="6"/>
        <v>1</v>
      </c>
      <c r="H27" s="579">
        <f t="shared" ca="1" si="7"/>
        <v>0</v>
      </c>
      <c r="I27" s="579">
        <f t="shared" ca="1" si="8"/>
        <v>0</v>
      </c>
      <c r="J27" s="579">
        <f t="shared" ca="1" si="9"/>
        <v>0</v>
      </c>
      <c r="K27" s="579">
        <f ca="1">IF(OR($C27="S",$C27=0),0,MATCH(OFFSET($D27,0,$C27)+IF($C27&lt;&gt;1,1,COUNTIF(QCI!$A$13:$A$15,ORÇAMENTO!E27)),OFFSET($D27,1,$C27,ROW($C$49)-ROW($C27)),0))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441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183.95999999999998</v>
      </c>
      <c r="U27" s="125">
        <f t="shared" ca="1" si="24"/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s="579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s="579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578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/>
      <c r="AL27" s="527"/>
      <c r="AM27" s="380">
        <f t="shared" ca="1" si="0"/>
        <v>0</v>
      </c>
      <c r="AN27" s="566">
        <f t="shared" ca="1" si="22"/>
        <v>0</v>
      </c>
    </row>
    <row r="28" spans="1:40" s="579" customFormat="1" ht="38.25" x14ac:dyDescent="0.2">
      <c r="A28" s="579" t="str">
        <f t="shared" si="1"/>
        <v>S</v>
      </c>
      <c r="B28" s="579">
        <f t="shared" ca="1" si="2"/>
        <v>3</v>
      </c>
      <c r="C28" s="579" t="str">
        <f t="shared" ca="1" si="3"/>
        <v>S</v>
      </c>
      <c r="D28" s="579">
        <f t="shared" ca="1" si="4"/>
        <v>0</v>
      </c>
      <c r="E28" s="579">
        <f ca="1">IF($C28=1,OFFSET(E28,-1,0)+MAX(1,COUNTIF(QCI!$A$13:$A$15,OFFSET(ORÇAMENTO!E28,-1,0))),OFFSET(E28,-1,0))</f>
        <v>1</v>
      </c>
      <c r="F28" s="579">
        <f t="shared" ca="1" si="5"/>
        <v>4</v>
      </c>
      <c r="G28" s="579">
        <f t="shared" ca="1" si="6"/>
        <v>1</v>
      </c>
      <c r="H28" s="579">
        <f t="shared" ca="1" si="7"/>
        <v>0</v>
      </c>
      <c r="I28" s="579">
        <f t="shared" ca="1" si="8"/>
        <v>0</v>
      </c>
      <c r="J28" s="579">
        <f t="shared" ca="1" si="9"/>
        <v>0</v>
      </c>
      <c r="K28" s="579">
        <f ca="1">IF(OR($C28="S",$C28=0),0,MATCH(OFFSET($D28,0,$C28)+IF($C28&lt;&gt;1,1,COUNTIF(QCI!$A$13:$A$15,ORÇAMENTO!E28)),OFFSET($D28,1,$C28,ROW($C$49)-ROW($C28)),0))</f>
        <v>0</v>
      </c>
      <c r="L28" s="116" t="str">
        <f t="shared" ca="1" si="10"/>
        <v/>
      </c>
      <c r="M28" s="117" t="s">
        <v>201</v>
      </c>
      <c r="N28" s="118" t="str">
        <f t="shared" ca="1" si="11"/>
        <v>Serviço</v>
      </c>
      <c r="O28" s="119" t="str">
        <f t="shared" ca="1" si="12"/>
        <v>-</v>
      </c>
      <c r="P28" s="120" t="s">
        <v>249</v>
      </c>
      <c r="Q28" s="121" t="s">
        <v>442</v>
      </c>
      <c r="R28" s="122" t="str">
        <f t="shared" ca="1" si="36"/>
        <v>(abra o arquivo 'Referência 04-2024.xls)</v>
      </c>
      <c r="S28" s="123" t="str">
        <f t="shared" ca="1" si="37"/>
        <v>-</v>
      </c>
      <c r="T28" s="124">
        <f ca="1">OFFSET(CÁLCULO!H$15,ROW($T28)-ROW(T$15),0)</f>
        <v>115.89</v>
      </c>
      <c r="U28" s="125">
        <f t="shared" ca="1" si="24"/>
        <v>0</v>
      </c>
      <c r="V28" s="126" t="s">
        <v>158</v>
      </c>
      <c r="W28" s="124">
        <f t="shared" ca="1" si="13"/>
        <v>0</v>
      </c>
      <c r="X28" s="127">
        <f t="shared" ca="1" si="14"/>
        <v>0</v>
      </c>
      <c r="Y28" s="128" t="s">
        <v>247</v>
      </c>
      <c r="Z28" s="579" t="str">
        <f t="shared" ca="1" si="15"/>
        <v/>
      </c>
      <c r="AA28" s="129">
        <f ca="1">IF($C28="S",IF($Z28="CP",$X28,IF($Z28="RA",(($X28)*QCI!$AA$3),0)),SomaAgrup)</f>
        <v>0</v>
      </c>
      <c r="AB28" s="130">
        <f t="shared" ca="1" si="16"/>
        <v>0</v>
      </c>
      <c r="AC28" s="131" t="str">
        <f t="shared" ca="1" si="17"/>
        <v/>
      </c>
      <c r="AD28" s="579" t="str">
        <f ca="1">IF(C28&lt;=CRONO.NivelExibicao,MAX($AD$15:OFFSET(AD28,-1,0))+IF($C28&lt;&gt;1,1,MAX(1,COUNTIF(QCI!$A$13:$A$15,OFFSET($E28,-1,0)))),"")</f>
        <v/>
      </c>
      <c r="AE28" s="7" t="str">
        <f t="shared" ca="1" si="18"/>
        <v>SINAPI 93590</v>
      </c>
      <c r="AF28" s="578" t="str">
        <f t="shared" ca="1" si="19"/>
        <v>(abra o arquivo 'Referência 04-2024.xls)</v>
      </c>
      <c r="AG28" s="498">
        <f t="shared" ca="1" si="20"/>
        <v>0</v>
      </c>
      <c r="AH28" s="499">
        <f t="shared" ca="1" si="21"/>
        <v>0.22869999999999999</v>
      </c>
      <c r="AJ28" s="501"/>
      <c r="AL28" s="527"/>
      <c r="AM28" s="380">
        <f t="shared" ca="1" si="0"/>
        <v>0</v>
      </c>
      <c r="AN28" s="566">
        <f t="shared" ca="1" si="22"/>
        <v>0</v>
      </c>
    </row>
    <row r="29" spans="1:40" x14ac:dyDescent="0.2">
      <c r="A29">
        <f>CHOOSE(1+LOG(1+2*(ORÇAMENTO.Nivel="Meta")+4*(ORÇAMENTO.Nivel="Nível 2")+8*(ORÇAMENTO.Nivel="Nível 3")+16*(ORÇAMENTO.Nivel="Nível 4")+32*(ORÇAMENTO.Nivel="Serviço"),2),0,1,2,3,4,"S")</f>
        <v>4</v>
      </c>
      <c r="B29">
        <f ca="1">IF(OR(C29="s",C29=0),OFFSET(B29,-1,0),C29)</f>
        <v>3</v>
      </c>
      <c r="C29">
        <f ca="1">IF(OFFSET(C29,-1,0)="L",1,IF(OFFSET(C29,-1,0)=1,2,IF(OR(A29="s",A29=0),"S",IF(AND(OFFSET(C29,-1,0)=2,A29=4),3,IF(AND(OR(OFFSET(C29,-1,0)="s",OFFSET(C29,-1,0)=0),A29&lt;&gt;"s",A29&gt;OFFSET(B29,-1,0)),OFFSET(B29,-1,0),A29)))))</f>
        <v>3</v>
      </c>
      <c r="D29">
        <f ca="1">IF(OR(C29="S",C29=0),0,IF(ISERROR(K29),J29,SMALL(J29:K29,1)))</f>
        <v>5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4</v>
      </c>
      <c r="G29">
        <f ca="1">IF(AND($C29&lt;=2,$C29&lt;&gt;0),0,IF($C29=3,OFFSET(G29,-1,0)+1,OFFSET(G29,-1,0)))</f>
        <v>2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5</v>
      </c>
      <c r="K29" t="e">
        <f ca="1">IF(OR($C29="S",$C29=0),0,MATCH(OFFSET($D29,0,$C29)+IF($C29&lt;&gt;1,1,COUNTIF(QCI!$A$13:$A$15,ORÇAMENTO!E29)),OFFSET($D29,1,$C29,ROW($C$49)-ROW($C29)),0))</f>
        <v>#N/A</v>
      </c>
      <c r="L29" s="116" t="str">
        <f ca="1">IF(OR($X29&gt;0,$C29=1,$C29=2,$C29=3,$C29=4),"F","")</f>
        <v>F</v>
      </c>
      <c r="M29" s="117" t="s">
        <v>200</v>
      </c>
      <c r="N29" s="118" t="str">
        <f ca="1">CHOOSE(1+LOG(1+2*(C29=1)+4*(C29=2)+8*(C29=3)+16*(C29=4)+32*(C29="S"),2),"","Meta","Nível 2","Nível 3","Nível 4","Serviço")</f>
        <v>Nível 3</v>
      </c>
      <c r="O29" s="119" t="str">
        <f ca="1">IF(OR($C29=0,$L29=""),"-",CONCATENATE(E29&amp;".",IF(AND($A$5&gt;=2,$C29&gt;=2),F29&amp;".",""),IF(AND($A$5&gt;=3,$C29&gt;=3),G29&amp;".",""),IF(AND($A$5&gt;=4,$C29&gt;=4),H29&amp;".",""),IF($C29="S",I29&amp;".","")))</f>
        <v>1.4.2.</v>
      </c>
      <c r="P29" s="120" t="s">
        <v>249</v>
      </c>
      <c r="Q29" s="121"/>
      <c r="R29" s="122" t="s">
        <v>473</v>
      </c>
      <c r="S29" s="123" t="str">
        <f ca="1">REFERENCIA.Unidade</f>
        <v>-</v>
      </c>
      <c r="T29" s="124">
        <f ca="1">OFFSET(CÁLCULO!H$15,ROW($T29)-ROW(T$15),0)</f>
        <v>0</v>
      </c>
      <c r="U29" s="125">
        <f t="shared" ca="1" si="24"/>
        <v>0</v>
      </c>
      <c r="V29" s="126" t="s">
        <v>158</v>
      </c>
      <c r="W29" s="124">
        <f ca="1">IF($C29="S",ROUND(IF(TIPOORCAMENTO="Proposto",ORÇAMENTO.CustoUnitario*(1+$AH29),ORÇAMENTO.PrecoUnitarioLicitado),15-13*$AF$10),0)</f>
        <v>0</v>
      </c>
      <c r="X29" s="127">
        <f ca="1">IF($C29="S",VTOTAL1,IF($C29=0,0,ROUND(SomaAgrup,15-13*$AF$11)))</f>
        <v>0</v>
      </c>
      <c r="Y29" s="128" t="s">
        <v>247</v>
      </c>
      <c r="Z29" t="str">
        <f ca="1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ca="1">IF($C29="S",IF($Z29="OU",ROUND($X29,2),0),SomaAgrup)</f>
        <v>0</v>
      </c>
      <c r="AC29" s="131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t="str">
        <f ca="1">IF(C29&lt;=CRONO.NivelExibicao,MAX($AD$15:OFFSET(AD29,-1,0))+IF($C29&lt;&gt;1,1,MAX(1,COUNTIF(QCI!$A$13:$A$15,OFFSET($E29,-1,0)))),"")</f>
        <v/>
      </c>
      <c r="AE29" s="7" t="b">
        <f ca="1">IF(AND($C29="S",ORÇAMENTO.CodBarra&lt;&gt;""),IF(ORÇAMENTO.Fonte="",ORÇAMENTO.CodBarra,CONCATENATE(ORÇAMENTO.Fonte," ",ORÇAMENTO.CodBarra)))</f>
        <v>0</v>
      </c>
      <c r="AF29" s="13" t="str">
        <f ca="1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ca="1">ROUND(IF(DESONERACAO="sim",REFERENCIA.Desonerado,REFERENCIA.NaoDesonerado),2)</f>
        <v>0</v>
      </c>
      <c r="AH29" s="499">
        <f ca="1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ca="1">ROUND(ORÇAMENTO.CustoUnitario*(1+$AH29),2)</f>
        <v>0</v>
      </c>
    </row>
    <row r="30" spans="1:40" ht="25.5" x14ac:dyDescent="0.2">
      <c r="A30" t="str">
        <f>CHOOSE(1+LOG(1+2*(ORÇAMENTO.Nivel="Meta")+4*(ORÇAMENTO.Nivel="Nível 2")+8*(ORÇAMENTO.Nivel="Nível 3")+16*(ORÇAMENTO.Nivel="Nível 4")+32*(ORÇAMENTO.Nivel="Serviço"),2),0,1,2,3,4,"S")</f>
        <v>S</v>
      </c>
      <c r="B30">
        <f ca="1">IF(OR(C30="s",C30=0),OFFSET(B30,-1,0),C30)</f>
        <v>3</v>
      </c>
      <c r="C30" t="str">
        <f ca="1">IF(OFFSET(C30,-1,0)="L",1,IF(OFFSET(C30,-1,0)=1,2,IF(OR(A30="s",A30=0),"S",IF(AND(OFFSET(C30,-1,0)=2,A30=4),3,IF(AND(OR(OFFSET(C30,-1,0)="s",OFFSET(C30,-1,0)=0),A30&lt;&gt;"s",A30&gt;OFFSET(B30,-1,0)),OFFSET(B30,-1,0),A30)))))</f>
        <v>S</v>
      </c>
      <c r="D30">
        <f ca="1">IF(OR(C30="S",C30=0),0,IF(ISERROR(K30),J30,SMALL(J30:K30,1)))</f>
        <v>0</v>
      </c>
      <c r="E30">
        <f ca="1">IF($C30=1,OFFSET(E30,-1,0)+MAX(1,COUNTIF(QCI!$A$13:$A$15,OFFSET(ORÇAMENTO!E30,-1,0))),OFFSET(E30,-1,0))</f>
        <v>1</v>
      </c>
      <c r="F30">
        <f ca="1">IF($C30=1,0,IF($C30=2,OFFSET(F30,-1,0)+1,OFFSET(F30,-1,0)))</f>
        <v>4</v>
      </c>
      <c r="G30">
        <f ca="1">IF(AND($C30&lt;=2,$C30&lt;&gt;0),0,IF($C30=3,OFFSET(G30,-1,0)+1,OFFSET(G30,-1,0)))</f>
        <v>2</v>
      </c>
      <c r="H30">
        <f ca="1">IF(AND($C30&lt;=3,$C30&lt;&gt;0),0,IF($C30=4,OFFSET(H30,-1,0)+1,OFFSET(H30,-1,0)))</f>
        <v>0</v>
      </c>
      <c r="I30">
        <f ca="1">IF(AND($C30&lt;=4,$C30&lt;&gt;0),0,IF(AND($C30="S",$X30&gt;0),OFFSET(I30,-1,0)+1,OFFSET(I30,-1,0)))</f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IF(OR($C30="S",$C30=0),0,MATCH(OFFSET($D30,0,$C30)+IF($C30&lt;&gt;1,1,COUNTIF(QCI!$A$13:$A$15,ORÇAMENTO!E30)),OFFSET($D30,1,$C30,ROW($C$49)-ROW($C30)),0))</f>
        <v>0</v>
      </c>
      <c r="L30" s="116" t="str">
        <f ca="1">IF(OR($X30&gt;0,$C30=1,$C30=2,$C30=3,$C30=4),"F","")</f>
        <v/>
      </c>
      <c r="M30" s="117" t="s">
        <v>201</v>
      </c>
      <c r="N30" s="118" t="str">
        <f ca="1">CHOOSE(1+LOG(1+2*(C30=1)+4*(C30=2)+8*(C30=3)+16*(C30=4)+32*(C30="S"),2),"","Meta","Nível 2","Nível 3","Nível 4","Serviço")</f>
        <v>Serviço</v>
      </c>
      <c r="O30" s="119" t="str">
        <f ca="1">IF(OR($C30=0,$L30=""),"-",CONCATENATE(E30&amp;".",IF(AND($A$5&gt;=2,$C30&gt;=2),F30&amp;".",""),IF(AND($A$5&gt;=3,$C30&gt;=3),G30&amp;".",""),IF(AND($A$5&gt;=4,$C30&gt;=4),H30&amp;".",""),IF($C30="S",I30&amp;".","")))</f>
        <v>-</v>
      </c>
      <c r="P30" s="120" t="s">
        <v>249</v>
      </c>
      <c r="Q30" s="121" t="s">
        <v>471</v>
      </c>
      <c r="R30" s="122" t="str">
        <f ca="1">IF($C30="S",REFERENCIA.Descricao,"(digite a descrição aqui)")</f>
        <v>(abra o arquivo 'Referência 04-2024.xls)</v>
      </c>
      <c r="S30" s="123" t="str">
        <f ca="1">REFERENCIA.Unidade</f>
        <v>-</v>
      </c>
      <c r="T30" s="124">
        <f ca="1">OFFSET(CÁLCULO!H$15,ROW($T30)-ROW(T$15),0)</f>
        <v>622</v>
      </c>
      <c r="U30" s="125">
        <f t="shared" ca="1" si="24"/>
        <v>0</v>
      </c>
      <c r="V30" s="126" t="s">
        <v>158</v>
      </c>
      <c r="W30" s="124">
        <f ca="1">IF($C30="S",ROUND(IF(TIPOORCAMENTO="Proposto",ORÇAMENTO.CustoUnitario*(1+$AH30),ORÇAMENTO.PrecoUnitarioLicitado),15-13*$AF$10),0)</f>
        <v>0</v>
      </c>
      <c r="X30" s="127">
        <f ca="1">IF($C30="S",VTOTAL1,IF($C30=0,0,ROUND(SomaAgrup,15-13*$AF$11)))</f>
        <v>0</v>
      </c>
      <c r="Y30" s="128" t="s">
        <v>247</v>
      </c>
      <c r="Z30" t="str">
        <f ca="1">IF(AND($C30="S",$X30&gt;0),IF(ISBLANK($Y30),"RA",LEFT($Y30,2)),"")</f>
        <v/>
      </c>
      <c r="AA30" s="129">
        <f ca="1">IF($C30="S",IF($Z30="CP",$X30,IF($Z30="RA",(($X30)*QCI!$AA$3),0)),SomaAgrup)</f>
        <v>0</v>
      </c>
      <c r="AB30" s="130">
        <f ca="1">IF($C30="S",IF($Z30="OU",ROUND($X30,2),0),SomaAgrup)</f>
        <v>0</v>
      </c>
      <c r="AC30" s="131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t="str">
        <f ca="1">IF(C30&lt;=CRONO.NivelExibicao,MAX($AD$15:OFFSET(AD30,-1,0))+IF($C30&lt;&gt;1,1,MAX(1,COUNTIF(QCI!$A$13:$A$15,OFFSET($E30,-1,0)))),"")</f>
        <v/>
      </c>
      <c r="AE30" s="7" t="str">
        <f ca="1">IF(AND($C30="S",ORÇAMENTO.CodBarra&lt;&gt;""),IF(ORÇAMENTO.Fonte="",ORÇAMENTO.CodBarra,CONCATENATE(ORÇAMENTO.Fonte," ",ORÇAMENTO.CodBarra)))</f>
        <v>SINAPI 92406</v>
      </c>
      <c r="AF30" s="13" t="str">
        <f ca="1">IF(ISERROR(INDIRECT(ORÇAMENTO.BancoRef)),"(abra o arquivo 'Referência "&amp;Excel_BuiltIn_Database&amp;".xls)",IF(OR($C30&lt;&gt;"S",ORÇAMENTO.CodBarra=""),"(Sem Código)",IF(ISERROR(MATCH($AE30,INDIRECT(ORÇAMENTO.BancoRef),0)),"(Código não identificado nas referências)",MATCH($AE30,INDIRECT(ORÇAMENTO.BancoRef),0))))</f>
        <v>(abra o arquivo 'Referência 04-2024.xls)</v>
      </c>
      <c r="AG30" s="498">
        <f ca="1">ROUND(IF(DESONERACAO="sim",REFERENCIA.Desonerado,REFERENCIA.NaoDesonerado),2)</f>
        <v>0</v>
      </c>
      <c r="AH30" s="499">
        <f ca="1">ROUND(IF(ISNUMBER(ORÇAMENTO.OpcaoBDI),ORÇAMENTO.OpcaoBDI,IF(LEFT(ORÇAMENTO.OpcaoBDI,3)="BDI",HLOOKUP(ORÇAMENTO.OpcaoBDI,$F$4:$H$5,2,FALSE),0)),15-11*$AF$9)</f>
        <v>0.22869999999999999</v>
      </c>
      <c r="AJ30" s="501">
        <v>2679.38</v>
      </c>
      <c r="AL30" s="527"/>
      <c r="AM30" s="380">
        <f t="shared" ca="1" si="0"/>
        <v>0</v>
      </c>
      <c r="AN30" s="566">
        <f ca="1">ROUND(ORÇAMENTO.CustoUnitario*(1+$AH30),2)</f>
        <v>0</v>
      </c>
    </row>
    <row r="31" spans="1:40" ht="38.25" x14ac:dyDescent="0.2">
      <c r="A31" t="str">
        <f>CHOOSE(1+LOG(1+2*(ORÇAMENTO.Nivel="Meta")+4*(ORÇAMENTO.Nivel="Nível 2")+8*(ORÇAMENTO.Nivel="Nível 3")+16*(ORÇAMENTO.Nivel="Nível 4")+32*(ORÇAMENTO.Nivel="Serviço"),2),0,1,2,3,4,"S")</f>
        <v>S</v>
      </c>
      <c r="B31">
        <f ca="1">IF(OR(C31="s",C31=0),OFFSET(B31,-1,0),C31)</f>
        <v>3</v>
      </c>
      <c r="C31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>
        <f ca="1">IF(OR(C31="S",C31=0),0,IF(ISERROR(K31),J31,SMALL(J31:K31,1)))</f>
        <v>0</v>
      </c>
      <c r="E31">
        <f ca="1">IF($C31=1,OFFSET(E31,-1,0)+MAX(1,COUNTIF(QCI!$A$13:$A$15,OFFSET(ORÇAMENTO!E31,-1,0))),OFFSET(E31,-1,0))</f>
        <v>1</v>
      </c>
      <c r="F31">
        <f ca="1">IF($C31=1,0,IF($C31=2,OFFSET(F31,-1,0)+1,OFFSET(F31,-1,0)))</f>
        <v>4</v>
      </c>
      <c r="G31">
        <f ca="1">IF(AND($C31&lt;=2,$C31&lt;&gt;0),0,IF($C31=3,OFFSET(G31,-1,0)+1,OFFSET(G31,-1,0)))</f>
        <v>2</v>
      </c>
      <c r="H31">
        <f ca="1">IF(AND($C31&lt;=3,$C31&lt;&gt;0),0,IF($C31=4,OFFSET(H31,-1,0)+1,OFFSET(H31,-1,0)))</f>
        <v>0</v>
      </c>
      <c r="I31">
        <f ca="1">IF(AND($C31&lt;=4,$C31&lt;&gt;0),0,IF(AND($C31="S",$X31&gt;0),OFFSET(I31,-1,0)+1,OFFSET(I31,-1,0)))</f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IF(OR($C31="S",$C31=0),0,MATCH(OFFSET($D31,0,$C31)+IF($C31&lt;&gt;1,1,COUNTIF(QCI!$A$13:$A$15,ORÇAMENTO!E31)),OFFSET($D31,1,$C31,ROW($C$49)-ROW($C31)),0))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249</v>
      </c>
      <c r="Q31" s="121" t="s">
        <v>441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421.09000000000003</v>
      </c>
      <c r="U31" s="125">
        <f t="shared" ca="1" si="24"/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SINAPI 95875</v>
      </c>
      <c r="AF31" s="13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>
        <v>1813.9402600000001</v>
      </c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38.25" x14ac:dyDescent="0.2">
      <c r="A32" t="str">
        <f t="shared" si="1"/>
        <v>S</v>
      </c>
      <c r="B32">
        <f t="shared" ca="1" si="2"/>
        <v>3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4</v>
      </c>
      <c r="G32">
        <f t="shared" ca="1" si="6"/>
        <v>2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IF(OR($C32="S",$C32=0),0,MATCH(OFFSET($D32,0,$C32)+IF($C32&lt;&gt;1,1,COUNTIF(QCI!$A$13:$A$15,ORÇAMENTO!E32)),OFFSET($D32,1,$C32,ROW($C$49)-ROW($C32)),0))</f>
        <v>0</v>
      </c>
      <c r="L32" s="116" t="str">
        <f t="shared" ca="1" si="10"/>
        <v/>
      </c>
      <c r="M32" s="117" t="s">
        <v>201</v>
      </c>
      <c r="N32" s="118" t="str">
        <f t="shared" ca="1" si="11"/>
        <v>Serviço</v>
      </c>
      <c r="O32" s="119" t="str">
        <f t="shared" ca="1" si="12"/>
        <v>-</v>
      </c>
      <c r="P32" s="120" t="s">
        <v>249</v>
      </c>
      <c r="Q32" s="121" t="s">
        <v>441</v>
      </c>
      <c r="R32" s="122" t="str">
        <f t="shared" ca="1" si="36"/>
        <v>(abra o arquivo 'Referência 04-2024.xls)</v>
      </c>
      <c r="S32" s="123" t="str">
        <f t="shared" ca="1" si="37"/>
        <v>-</v>
      </c>
      <c r="T32" s="124">
        <f ca="1">OFFSET(CÁLCULO!H$15,ROW($T32)-ROW(T$15),0)</f>
        <v>45.15</v>
      </c>
      <c r="U32" s="125">
        <f t="shared" ca="1" si="24"/>
        <v>0</v>
      </c>
      <c r="V32" s="126" t="s">
        <v>158</v>
      </c>
      <c r="W32" s="124">
        <f t="shared" ca="1" si="13"/>
        <v>0</v>
      </c>
      <c r="X32" s="127">
        <f t="shared" ca="1" si="14"/>
        <v>0</v>
      </c>
      <c r="Y32" s="128" t="s">
        <v>247</v>
      </c>
      <c r="Z32" t="str">
        <f t="shared" ca="1" si="15"/>
        <v/>
      </c>
      <c r="AA32" s="129">
        <f ca="1">IF($C32="S",IF($Z32="CP",$X32,IF($Z32="RA",(($X32)*QCI!$AA$3),0)),SomaAgrup)</f>
        <v>0</v>
      </c>
      <c r="AB32" s="130">
        <f t="shared" ca="1" si="16"/>
        <v>0</v>
      </c>
      <c r="AC32" s="131" t="str">
        <f t="shared" ca="1" si="17"/>
        <v/>
      </c>
      <c r="AD32" t="str">
        <f ca="1">IF(C32&lt;=CRONO.NivelExibicao,MAX($AD$15:OFFSET(AD32,-1,0))+IF($C32&lt;&gt;1,1,MAX(1,COUNTIF(QCI!$A$13:$A$15,OFFSET($E32,-1,0)))),"")</f>
        <v/>
      </c>
      <c r="AE32" s="7" t="str">
        <f t="shared" ca="1" si="18"/>
        <v>SINAPI 95875</v>
      </c>
      <c r="AF32" s="13" t="str">
        <f t="shared" ca="1" si="19"/>
        <v>(abra o arquivo 'Referência 04-2024.xls)</v>
      </c>
      <c r="AG32" s="498">
        <f t="shared" ca="1" si="20"/>
        <v>0</v>
      </c>
      <c r="AH32" s="499">
        <f t="shared" ca="1" si="21"/>
        <v>0.22869999999999999</v>
      </c>
      <c r="AJ32" s="501">
        <v>194.522988</v>
      </c>
      <c r="AL32" s="527"/>
      <c r="AM32" s="380">
        <f t="shared" ca="1" si="0"/>
        <v>0</v>
      </c>
      <c r="AN32" s="566">
        <f t="shared" ca="1" si="22"/>
        <v>0</v>
      </c>
    </row>
    <row r="33" spans="1:40" ht="38.25" x14ac:dyDescent="0.2">
      <c r="A33" t="str">
        <f t="shared" si="1"/>
        <v>S</v>
      </c>
      <c r="B33">
        <f t="shared" ca="1" si="2"/>
        <v>3</v>
      </c>
      <c r="C33" t="str">
        <f t="shared" ca="1" si="3"/>
        <v>S</v>
      </c>
      <c r="D33">
        <f t="shared" ca="1" si="4"/>
        <v>0</v>
      </c>
      <c r="E33">
        <f ca="1">IF($C33=1,OFFSET(E33,-1,0)+MAX(1,COUNTIF(QCI!$A$13:$A$15,OFFSET(ORÇAMENTO!E33,-1,0))),OFFSET(E33,-1,0))</f>
        <v>1</v>
      </c>
      <c r="F33">
        <f t="shared" ca="1" si="5"/>
        <v>4</v>
      </c>
      <c r="G33">
        <f t="shared" ca="1" si="6"/>
        <v>2</v>
      </c>
      <c r="H33">
        <f t="shared" ca="1" si="7"/>
        <v>0</v>
      </c>
      <c r="I33">
        <f t="shared" ca="1" si="8"/>
        <v>0</v>
      </c>
      <c r="J33">
        <f t="shared" ca="1" si="9"/>
        <v>0</v>
      </c>
      <c r="K33">
        <f ca="1">IF(OR($C33="S",$C33=0),0,MATCH(OFFSET($D33,0,$C33)+IF($C33&lt;&gt;1,1,COUNTIF(QCI!$A$13:$A$15,ORÇAMENTO!E33)),OFFSET($D33,1,$C33,ROW($C$49)-ROW($C33)),0))</f>
        <v>0</v>
      </c>
      <c r="L33" s="116" t="str">
        <f t="shared" ca="1" si="10"/>
        <v/>
      </c>
      <c r="M33" s="117" t="s">
        <v>201</v>
      </c>
      <c r="N33" s="118" t="str">
        <f t="shared" ca="1" si="11"/>
        <v>Serviço</v>
      </c>
      <c r="O33" s="119" t="str">
        <f t="shared" ca="1" si="12"/>
        <v>-</v>
      </c>
      <c r="P33" s="120" t="s">
        <v>249</v>
      </c>
      <c r="Q33" s="121" t="s">
        <v>442</v>
      </c>
      <c r="R33" s="122" t="str">
        <f t="shared" ca="1" si="36"/>
        <v>(abra o arquivo 'Referência 04-2024.xls)</v>
      </c>
      <c r="S33" s="123" t="str">
        <f t="shared" ca="1" si="37"/>
        <v>-</v>
      </c>
      <c r="T33" s="124">
        <f ca="1">OFFSET(CÁLCULO!H$15,ROW($T33)-ROW(T$15),0)</f>
        <v>22.58</v>
      </c>
      <c r="U33" s="125">
        <f t="shared" ca="1" si="24"/>
        <v>0</v>
      </c>
      <c r="V33" s="126" t="s">
        <v>158</v>
      </c>
      <c r="W33" s="124">
        <f t="shared" ca="1" si="13"/>
        <v>0</v>
      </c>
      <c r="X33" s="127">
        <f t="shared" ca="1" si="14"/>
        <v>0</v>
      </c>
      <c r="Y33" s="128" t="s">
        <v>247</v>
      </c>
      <c r="Z33" t="str">
        <f t="shared" ca="1" si="15"/>
        <v/>
      </c>
      <c r="AA33" s="129">
        <f ca="1">IF($C33="S",IF($Z33="CP",$X33,IF($Z33="RA",(($X33)*QCI!$AA$3),0)),SomaAgrup)</f>
        <v>0</v>
      </c>
      <c r="AB33" s="130">
        <f t="shared" ca="1" si="16"/>
        <v>0</v>
      </c>
      <c r="AC33" s="131" t="str">
        <f t="shared" ca="1" si="17"/>
        <v/>
      </c>
      <c r="AD33" t="str">
        <f ca="1">IF(C33&lt;=CRONO.NivelExibicao,MAX($AD$15:OFFSET(AD33,-1,0))+IF($C33&lt;&gt;1,1,MAX(1,COUNTIF(QCI!$A$13:$A$15,OFFSET($E33,-1,0)))),"")</f>
        <v/>
      </c>
      <c r="AE33" s="7" t="str">
        <f t="shared" ca="1" si="18"/>
        <v>SINAPI 93590</v>
      </c>
      <c r="AF33" s="13" t="str">
        <f t="shared" ca="1" si="19"/>
        <v>(abra o arquivo 'Referência 04-2024.xls)</v>
      </c>
      <c r="AG33" s="498">
        <f t="shared" ca="1" si="20"/>
        <v>0</v>
      </c>
      <c r="AH33" s="499">
        <f t="shared" ca="1" si="21"/>
        <v>0.22869999999999999</v>
      </c>
      <c r="AJ33" s="501">
        <v>97.261493999999999</v>
      </c>
      <c r="AL33" s="527"/>
      <c r="AM33" s="380">
        <f t="shared" ca="1" si="0"/>
        <v>0</v>
      </c>
      <c r="AN33" s="566">
        <f t="shared" ca="1" si="22"/>
        <v>0</v>
      </c>
    </row>
    <row r="34" spans="1:40" s="583" customFormat="1" ht="25.5" x14ac:dyDescent="0.2">
      <c r="A34" s="583">
        <f t="shared" si="1"/>
        <v>2</v>
      </c>
      <c r="B34" s="583">
        <f t="shared" ca="1" si="2"/>
        <v>2</v>
      </c>
      <c r="C34" s="583">
        <f t="shared" ca="1" si="3"/>
        <v>2</v>
      </c>
      <c r="D34" s="583">
        <f t="shared" ca="1" si="4"/>
        <v>3</v>
      </c>
      <c r="E34" s="583">
        <f ca="1">IF($C34=1,OFFSET(E34,-1,0)+MAX(1,COUNTIF(QCI!$A$13:$A$15,OFFSET(ORÇAMENTO!E34,-1,0))),OFFSET(E34,-1,0))</f>
        <v>1</v>
      </c>
      <c r="F34" s="583">
        <f t="shared" ca="1" si="5"/>
        <v>5</v>
      </c>
      <c r="G34" s="583">
        <f t="shared" ca="1" si="6"/>
        <v>0</v>
      </c>
      <c r="H34" s="583">
        <f t="shared" ca="1" si="7"/>
        <v>0</v>
      </c>
      <c r="I34" s="583">
        <f t="shared" ca="1" si="8"/>
        <v>0</v>
      </c>
      <c r="J34" s="583">
        <f t="shared" ca="1" si="9"/>
        <v>15</v>
      </c>
      <c r="K34" s="583">
        <f ca="1">IF(OR($C34="S",$C34=0),0,MATCH(OFFSET($D34,0,$C34)+IF($C34&lt;&gt;1,1,COUNTIF(QCI!$A$13:$A$15,ORÇAMENTO!E34)),OFFSET($D34,1,$C34,ROW($C$49)-ROW($C34)),0))</f>
        <v>3</v>
      </c>
      <c r="L34" s="116" t="str">
        <f t="shared" ca="1" si="10"/>
        <v>F</v>
      </c>
      <c r="M34" s="117" t="s">
        <v>198</v>
      </c>
      <c r="N34" s="118" t="str">
        <f t="shared" ca="1" si="11"/>
        <v>Nível 2</v>
      </c>
      <c r="O34" s="119" t="str">
        <f t="shared" ca="1" si="12"/>
        <v>1.5.</v>
      </c>
      <c r="P34" s="120" t="s">
        <v>249</v>
      </c>
      <c r="Q34" s="121"/>
      <c r="R34" s="122" t="s">
        <v>509</v>
      </c>
      <c r="S34" s="123" t="str">
        <f t="shared" ca="1" si="37"/>
        <v>-</v>
      </c>
      <c r="T34" s="124">
        <f ca="1">OFFSET(CÁLCULO!H$15,ROW($T34)-ROW(T$15),0)</f>
        <v>0</v>
      </c>
      <c r="U34" s="125">
        <f t="shared" ca="1" si="24"/>
        <v>0</v>
      </c>
      <c r="V34" s="126" t="s">
        <v>158</v>
      </c>
      <c r="W34" s="124">
        <f t="shared" ca="1" si="13"/>
        <v>0</v>
      </c>
      <c r="X34" s="127">
        <f t="shared" ca="1" si="14"/>
        <v>0</v>
      </c>
      <c r="Y34" s="128" t="s">
        <v>247</v>
      </c>
      <c r="Z34" s="583" t="str">
        <f t="shared" ca="1" si="15"/>
        <v/>
      </c>
      <c r="AA34" s="129">
        <f ca="1">IF($C34="S",IF($Z34="CP",$X34,IF($Z34="RA",(($X34)*QCI!$AA$3),0)),SomaAgrup)</f>
        <v>0</v>
      </c>
      <c r="AB34" s="130">
        <f t="shared" ca="1" si="16"/>
        <v>0</v>
      </c>
      <c r="AC34" s="131" t="str">
        <f t="shared" ca="1" si="17"/>
        <v/>
      </c>
      <c r="AD34" s="583">
        <f ca="1">IF(C34&lt;=CRONO.NivelExibicao,MAX($AD$15:OFFSET(AD34,-1,0))+IF($C34&lt;&gt;1,1,MAX(1,COUNTIF(QCI!$A$13:$A$15,OFFSET($E34,-1,0)))),"")</f>
        <v>6</v>
      </c>
      <c r="AE34" s="7" t="b">
        <f t="shared" ca="1" si="18"/>
        <v>0</v>
      </c>
      <c r="AF34" s="582" t="str">
        <f t="shared" ca="1" si="19"/>
        <v>(abra o arquivo 'Referência 04-2024.xls)</v>
      </c>
      <c r="AG34" s="498">
        <f t="shared" ca="1" si="20"/>
        <v>0</v>
      </c>
      <c r="AH34" s="499">
        <f t="shared" ca="1" si="21"/>
        <v>0.22869999999999999</v>
      </c>
      <c r="AJ34" s="501"/>
      <c r="AL34" s="527"/>
      <c r="AM34" s="380">
        <f t="shared" ca="1" si="0"/>
        <v>0</v>
      </c>
      <c r="AN34" s="566">
        <f t="shared" ca="1" si="22"/>
        <v>0</v>
      </c>
    </row>
    <row r="35" spans="1:40" s="583" customFormat="1" ht="25.5" x14ac:dyDescent="0.2">
      <c r="A35" s="583" t="str">
        <f t="shared" si="1"/>
        <v>S</v>
      </c>
      <c r="B35" s="583">
        <f t="shared" ca="1" si="2"/>
        <v>2</v>
      </c>
      <c r="C35" s="583" t="str">
        <f t="shared" ca="1" si="3"/>
        <v>S</v>
      </c>
      <c r="D35" s="583">
        <f t="shared" ca="1" si="4"/>
        <v>0</v>
      </c>
      <c r="E35" s="583">
        <f ca="1">IF($C35=1,OFFSET(E35,-1,0)+MAX(1,COUNTIF(QCI!$A$13:$A$15,OFFSET(ORÇAMENTO!E35,-1,0))),OFFSET(E35,-1,0))</f>
        <v>1</v>
      </c>
      <c r="F35" s="583">
        <f t="shared" ca="1" si="5"/>
        <v>5</v>
      </c>
      <c r="G35" s="583">
        <f t="shared" ca="1" si="6"/>
        <v>0</v>
      </c>
      <c r="H35" s="583">
        <f t="shared" ca="1" si="7"/>
        <v>0</v>
      </c>
      <c r="I35" s="583">
        <f t="shared" ca="1" si="8"/>
        <v>0</v>
      </c>
      <c r="J35" s="583">
        <f t="shared" ca="1" si="9"/>
        <v>0</v>
      </c>
      <c r="K35" s="583">
        <f ca="1">IF(OR($C35="S",$C35=0),0,MATCH(OFFSET($D35,0,$C35)+IF($C35&lt;&gt;1,1,COUNTIF(QCI!$A$13:$A$15,ORÇAMENTO!E35)),OFFSET($D35,1,$C35,ROW($C$49)-ROW($C35)),0))</f>
        <v>0</v>
      </c>
      <c r="L35" s="116" t="str">
        <f t="shared" ca="1" si="10"/>
        <v/>
      </c>
      <c r="M35" s="117" t="s">
        <v>201</v>
      </c>
      <c r="N35" s="118" t="str">
        <f t="shared" ca="1" si="11"/>
        <v>Serviço</v>
      </c>
      <c r="O35" s="119" t="str">
        <f t="shared" ca="1" si="12"/>
        <v>-</v>
      </c>
      <c r="P35" s="120" t="s">
        <v>249</v>
      </c>
      <c r="Q35" s="121" t="s">
        <v>440</v>
      </c>
      <c r="R35" s="122" t="str">
        <f t="shared" ca="1" si="36"/>
        <v>(abra o arquivo 'Referência 04-2024.xls)</v>
      </c>
      <c r="S35" s="123" t="str">
        <f t="shared" ca="1" si="37"/>
        <v>-</v>
      </c>
      <c r="T35" s="124">
        <f ca="1">OFFSET(CÁLCULO!H$15,ROW($T35)-ROW(T$15),0)</f>
        <v>80</v>
      </c>
      <c r="U35" s="125">
        <f t="shared" ca="1" si="24"/>
        <v>0</v>
      </c>
      <c r="V35" s="126" t="s">
        <v>158</v>
      </c>
      <c r="W35" s="124">
        <f t="shared" ca="1" si="13"/>
        <v>0</v>
      </c>
      <c r="X35" s="127">
        <f t="shared" ca="1" si="14"/>
        <v>0</v>
      </c>
      <c r="Y35" s="128" t="s">
        <v>247</v>
      </c>
      <c r="Z35" s="583" t="str">
        <f t="shared" ca="1" si="15"/>
        <v/>
      </c>
      <c r="AA35" s="129">
        <f ca="1">IF($C35="S",IF($Z35="CP",$X35,IF($Z35="RA",(($X35)*QCI!$AA$3),0)),SomaAgrup)</f>
        <v>0</v>
      </c>
      <c r="AB35" s="130">
        <f t="shared" ca="1" si="16"/>
        <v>0</v>
      </c>
      <c r="AC35" s="131" t="str">
        <f t="shared" ca="1" si="17"/>
        <v/>
      </c>
      <c r="AD35" s="583" t="str">
        <f ca="1">IF(C35&lt;=CRONO.NivelExibicao,MAX($AD$15:OFFSET(AD35,-1,0))+IF($C35&lt;&gt;1,1,MAX(1,COUNTIF(QCI!$A$13:$A$15,OFFSET($E35,-1,0)))),"")</f>
        <v/>
      </c>
      <c r="AE35" s="7" t="str">
        <f t="shared" ca="1" si="18"/>
        <v>SINAPI 100576</v>
      </c>
      <c r="AF35" s="582" t="str">
        <f t="shared" ca="1" si="19"/>
        <v>(abra o arquivo 'Referência 04-2024.xls)</v>
      </c>
      <c r="AG35" s="498">
        <f t="shared" ca="1" si="20"/>
        <v>0</v>
      </c>
      <c r="AH35" s="499">
        <f t="shared" ca="1" si="21"/>
        <v>0.22869999999999999</v>
      </c>
      <c r="AJ35" s="501"/>
      <c r="AL35" s="527"/>
      <c r="AM35" s="380">
        <f t="shared" ca="1" si="0"/>
        <v>0</v>
      </c>
      <c r="AN35" s="566">
        <f t="shared" ca="1" si="22"/>
        <v>0</v>
      </c>
    </row>
    <row r="36" spans="1:40" s="583" customFormat="1" ht="51" x14ac:dyDescent="0.2">
      <c r="A36" s="583" t="str">
        <f t="shared" si="1"/>
        <v>S</v>
      </c>
      <c r="B36" s="583">
        <f t="shared" ca="1" si="2"/>
        <v>2</v>
      </c>
      <c r="C36" s="583" t="str">
        <f t="shared" ca="1" si="3"/>
        <v>S</v>
      </c>
      <c r="D36" s="583">
        <f t="shared" ca="1" si="4"/>
        <v>0</v>
      </c>
      <c r="E36" s="583">
        <f ca="1">IF($C36=1,OFFSET(E36,-1,0)+MAX(1,COUNTIF(QCI!$A$13:$A$15,OFFSET(ORÇAMENTO!E36,-1,0))),OFFSET(E36,-1,0))</f>
        <v>1</v>
      </c>
      <c r="F36" s="583">
        <f t="shared" ca="1" si="5"/>
        <v>5</v>
      </c>
      <c r="G36" s="583">
        <f t="shared" ca="1" si="6"/>
        <v>0</v>
      </c>
      <c r="H36" s="583">
        <f t="shared" ca="1" si="7"/>
        <v>0</v>
      </c>
      <c r="I36" s="583">
        <f t="shared" ca="1" si="8"/>
        <v>0</v>
      </c>
      <c r="J36" s="583">
        <f t="shared" ca="1" si="9"/>
        <v>0</v>
      </c>
      <c r="K36" s="583">
        <f ca="1">IF(OR($C36="S",$C36=0),0,MATCH(OFFSET($D36,0,$C36)+IF($C36&lt;&gt;1,1,COUNTIF(QCI!$A$13:$A$15,ORÇAMENTO!E36)),OFFSET($D36,1,$C36,ROW($C$49)-ROW($C36)),0))</f>
        <v>0</v>
      </c>
      <c r="L36" s="116" t="str">
        <f t="shared" ca="1" si="10"/>
        <v/>
      </c>
      <c r="M36" s="117" t="s">
        <v>201</v>
      </c>
      <c r="N36" s="118" t="str">
        <f t="shared" ca="1" si="11"/>
        <v>Serviço</v>
      </c>
      <c r="O36" s="119" t="str">
        <f t="shared" ca="1" si="12"/>
        <v>-</v>
      </c>
      <c r="P36" s="120" t="s">
        <v>249</v>
      </c>
      <c r="Q36" s="121" t="s">
        <v>510</v>
      </c>
      <c r="R36" s="122" t="str">
        <f t="shared" ca="1" si="36"/>
        <v>(abra o arquivo 'Referência 04-2024.xls)</v>
      </c>
      <c r="S36" s="123" t="str">
        <f t="shared" ca="1" si="37"/>
        <v>-</v>
      </c>
      <c r="T36" s="124">
        <f ca="1">OFFSET(CÁLCULO!H$15,ROW($T36)-ROW(T$15),0)</f>
        <v>26.2</v>
      </c>
      <c r="U36" s="125">
        <f t="shared" ca="1" si="24"/>
        <v>0</v>
      </c>
      <c r="V36" s="126" t="s">
        <v>158</v>
      </c>
      <c r="W36" s="124">
        <f t="shared" ca="1" si="13"/>
        <v>0</v>
      </c>
      <c r="X36" s="127">
        <f t="shared" ca="1" si="14"/>
        <v>0</v>
      </c>
      <c r="Y36" s="128" t="s">
        <v>247</v>
      </c>
      <c r="Z36" s="583" t="str">
        <f t="shared" ca="1" si="15"/>
        <v/>
      </c>
      <c r="AA36" s="129">
        <f ca="1">IF($C36="S",IF($Z36="CP",$X36,IF($Z36="RA",(($X36)*QCI!$AA$3),0)),SomaAgrup)</f>
        <v>0</v>
      </c>
      <c r="AB36" s="130">
        <f t="shared" ca="1" si="16"/>
        <v>0</v>
      </c>
      <c r="AC36" s="131" t="str">
        <f t="shared" ca="1" si="17"/>
        <v/>
      </c>
      <c r="AD36" s="583" t="str">
        <f ca="1">IF(C36&lt;=CRONO.NivelExibicao,MAX($AD$15:OFFSET(AD36,-1,0))+IF($C36&lt;&gt;1,1,MAX(1,COUNTIF(QCI!$A$13:$A$15,OFFSET($E36,-1,0)))),"")</f>
        <v/>
      </c>
      <c r="AE36" s="7" t="str">
        <f t="shared" ca="1" si="18"/>
        <v>SINAPI 102509</v>
      </c>
      <c r="AF36" s="582" t="str">
        <f t="shared" ca="1" si="19"/>
        <v>(abra o arquivo 'Referência 04-2024.xls)</v>
      </c>
      <c r="AG36" s="498">
        <f t="shared" ca="1" si="20"/>
        <v>0</v>
      </c>
      <c r="AH36" s="499">
        <f t="shared" ca="1" si="21"/>
        <v>0.22869999999999999</v>
      </c>
      <c r="AJ36" s="501"/>
      <c r="AL36" s="527"/>
      <c r="AM36" s="380">
        <f t="shared" ca="1" si="0"/>
        <v>0</v>
      </c>
      <c r="AN36" s="566">
        <f t="shared" ca="1" si="22"/>
        <v>0</v>
      </c>
    </row>
    <row r="37" spans="1:40" s="583" customFormat="1" x14ac:dyDescent="0.2">
      <c r="A37" s="583">
        <f>CHOOSE(1+LOG(1+2*(ORÇAMENTO.Nivel="Meta")+4*(ORÇAMENTO.Nivel="Nível 2")+8*(ORÇAMENTO.Nivel="Nível 3")+16*(ORÇAMENTO.Nivel="Nível 4")+32*(ORÇAMENTO.Nivel="Serviço"),2),0,1,2,3,4,"S")</f>
        <v>3</v>
      </c>
      <c r="B37" s="583">
        <f ca="1">IF(OR(C37="s",C37=0),OFFSET(B37,-1,0),C37)</f>
        <v>2</v>
      </c>
      <c r="C37" s="583">
        <f ca="1">IF(OFFSET(C37,-1,0)="L",1,IF(OFFSET(C37,-1,0)=1,2,IF(OR(A37="s",A37=0),"S",IF(AND(OFFSET(C37,-1,0)=2,A37=4),3,IF(AND(OR(OFFSET(C37,-1,0)="s",OFFSET(C37,-1,0)=0),A37&lt;&gt;"s",A37&gt;OFFSET(B37,-1,0)),OFFSET(B37,-1,0),A37)))))</f>
        <v>2</v>
      </c>
      <c r="D37" s="583">
        <f ca="1">IF(OR(C37="S",C37=0),0,IF(ISERROR(K37),J37,SMALL(J37:K37,1)))</f>
        <v>3</v>
      </c>
      <c r="E37" s="583">
        <f ca="1">IF($C37=1,OFFSET(E37,-1,0)+MAX(1,COUNTIF(QCI!$A$13:$A$15,OFFSET(ORÇAMENTO!E37,-1,0))),OFFSET(E37,-1,0))</f>
        <v>1</v>
      </c>
      <c r="F37" s="583">
        <f ca="1">IF($C37=1,0,IF($C37=2,OFFSET(F37,-1,0)+1,OFFSET(F37,-1,0)))</f>
        <v>6</v>
      </c>
      <c r="G37" s="583">
        <f ca="1">IF(AND($C37&lt;=2,$C37&lt;&gt;0),0,IF($C37=3,OFFSET(G37,-1,0)+1,OFFSET(G37,-1,0)))</f>
        <v>0</v>
      </c>
      <c r="H37" s="583">
        <f ca="1">IF(AND($C37&lt;=3,$C37&lt;&gt;0),0,IF($C37=4,OFFSET(H37,-1,0)+1,OFFSET(H37,-1,0)))</f>
        <v>0</v>
      </c>
      <c r="I37" s="583">
        <f ca="1">IF(AND($C37&lt;=4,$C37&lt;&gt;0),0,IF(AND($C37="S",$X37&gt;0),OFFSET(I37,-1,0)+1,OFFSET(I37,-1,0)))</f>
        <v>0</v>
      </c>
      <c r="J37" s="583">
        <f t="shared" ca="1" si="9"/>
        <v>12</v>
      </c>
      <c r="K37" s="583">
        <f ca="1">IF(OR($C37="S",$C37=0),0,MATCH(OFFSET($D37,0,$C37)+IF($C37&lt;&gt;1,1,COUNTIF(QCI!$A$13:$A$15,ORÇAMENTO!E37)),OFFSET($D37,1,$C37,ROW($C$49)-ROW($C37)),0))</f>
        <v>3</v>
      </c>
      <c r="L37" s="116" t="str">
        <f ca="1">IF(OR($X37&gt;0,$C37=1,$C37=2,$C37=3,$C37=4),"F","")</f>
        <v>F</v>
      </c>
      <c r="M37" s="117" t="s">
        <v>199</v>
      </c>
      <c r="N37" s="118" t="str">
        <f ca="1">CHOOSE(1+LOG(1+2*(C37=1)+4*(C37=2)+8*(C37=3)+16*(C37=4)+32*(C37="S"),2),"","Meta","Nível 2","Nível 3","Nível 4","Serviço")</f>
        <v>Nível 2</v>
      </c>
      <c r="O37" s="119" t="str">
        <f ca="1">IF(OR($C37=0,$L37=""),"-",CONCATENATE(E37&amp;".",IF(AND($A$5&gt;=2,$C37&gt;=2),F37&amp;".",""),IF(AND($A$5&gt;=3,$C37&gt;=3),G37&amp;".",""),IF(AND($A$5&gt;=4,$C37&gt;=4),H37&amp;".",""),IF($C37="S",I37&amp;".","")))</f>
        <v>1.6.</v>
      </c>
      <c r="P37" s="120" t="s">
        <v>249</v>
      </c>
      <c r="Q37" s="121"/>
      <c r="R37" s="122" t="s">
        <v>513</v>
      </c>
      <c r="S37" s="123" t="str">
        <f ca="1">REFERENCIA.Unidade</f>
        <v>-</v>
      </c>
      <c r="T37" s="124">
        <f ca="1">OFFSET(CÁLCULO!H$15,ROW($T37)-ROW(T$15),0)</f>
        <v>0</v>
      </c>
      <c r="U37" s="125"/>
      <c r="V37" s="126" t="s">
        <v>158</v>
      </c>
      <c r="W37" s="124">
        <f ca="1">IF($C37="S",ROUND(IF(TIPOORCAMENTO="Proposto",ORÇAMENTO.CustoUnitario*(1+$AH37),ORÇAMENTO.PrecoUnitarioLicitado),15-13*$AF$10),0)</f>
        <v>0</v>
      </c>
      <c r="X37" s="127">
        <f ca="1">IF($C37="S",VTOTAL1,IF($C37=0,0,ROUND(SomaAgrup,15-13*$AF$11)))</f>
        <v>0</v>
      </c>
      <c r="Y37" s="128" t="s">
        <v>247</v>
      </c>
      <c r="Z37" s="583" t="str">
        <f ca="1">IF(AND($C37="S",$X37&gt;0),IF(ISBLANK($Y37),"RA",LEFT($Y37,2)),"")</f>
        <v/>
      </c>
      <c r="AA37" s="129">
        <f ca="1">IF($C37="S",IF($Z37="CP",$X37,IF($Z37="RA",(($X37)*QCI!$AA$3),0)),SomaAgrup)</f>
        <v>0</v>
      </c>
      <c r="AB37" s="130">
        <f ca="1">IF($C37="S",IF($Z37="OU",ROUND($X37,2),0),SomaAgrup)</f>
        <v>0</v>
      </c>
      <c r="AC37" s="131" t="str">
        <f ca="1">IF($N37="","",IF(ORÇAMENTO.Descricao="","DESCRIÇÃO",IF(AND($C37="S",ORÇAMENTO.Unidade=""),"UNIDADE",IF($X37&lt;0,"VALOR NEGATIVO",IF(OR(AND(TIPOORCAMENTO="Proposto",$AG37&lt;&gt;"",$AG37&gt;0,ORÇAMENTO.CustoUnitario&gt;$AG37),AND(TIPOORCAMENTO="LICITADO",ORÇAMENTO.PrecoUnitarioLicitado&gt;$AN37)),"ACIMA REF.","")))))</f>
        <v/>
      </c>
      <c r="AD37" s="583">
        <f ca="1">IF(C37&lt;=CRONO.NivelExibicao,MAX($AD$15:OFFSET(AD37,-1,0))+IF($C37&lt;&gt;1,1,MAX(1,COUNTIF(QCI!$A$13:$A$15,OFFSET($E37,-1,0)))),"")</f>
        <v>7</v>
      </c>
      <c r="AE37" s="7" t="b">
        <f ca="1">IF(AND($C37="S",ORÇAMENTO.CodBarra&lt;&gt;""),IF(ORÇAMENTO.Fonte="",ORÇAMENTO.CodBarra,CONCATENATE(ORÇAMENTO.Fonte," ",ORÇAMENTO.CodBarra)))</f>
        <v>0</v>
      </c>
      <c r="AF37" s="582" t="str">
        <f ca="1">IF(ISERROR(INDIRECT(ORÇAMENTO.BancoRef)),"(abra o arquivo 'Referência "&amp;Excel_BuiltIn_Database&amp;".xls)",IF(OR($C37&lt;&gt;"S",ORÇAMENTO.CodBarra=""),"(Sem Código)",IF(ISERROR(MATCH($AE37,INDIRECT(ORÇAMENTO.BancoRef),0)),"(Código não identificado nas referências)",MATCH($AE37,INDIRECT(ORÇAMENTO.BancoRef),0))))</f>
        <v>(abra o arquivo 'Referência 04-2024.xls)</v>
      </c>
      <c r="AG37" s="498">
        <f ca="1">ROUND(IF(DESONERACAO="sim",REFERENCIA.Desonerado,REFERENCIA.NaoDesonerado),2)</f>
        <v>0</v>
      </c>
      <c r="AH37" s="499">
        <f ca="1">ROUND(IF(ISNUMBER(ORÇAMENTO.OpcaoBDI),ORÇAMENTO.OpcaoBDI,IF(LEFT(ORÇAMENTO.OpcaoBDI,3)="BDI",HLOOKUP(ORÇAMENTO.OpcaoBDI,$F$4:$H$5,2,FALSE),0)),15-11*$AF$9)</f>
        <v>0.22869999999999999</v>
      </c>
      <c r="AJ37" s="501"/>
      <c r="AL37" s="527"/>
      <c r="AM37" s="380">
        <f t="shared" ca="1" si="0"/>
        <v>0</v>
      </c>
      <c r="AN37" s="566">
        <f ca="1">ROUND(ORÇAMENTO.CustoUnitario*(1+$AH37),2)</f>
        <v>0</v>
      </c>
    </row>
    <row r="38" spans="1:40" s="583" customFormat="1" ht="51" x14ac:dyDescent="0.2">
      <c r="A38" s="583" t="str">
        <f t="shared" si="1"/>
        <v>S</v>
      </c>
      <c r="B38" s="583">
        <f t="shared" ca="1" si="2"/>
        <v>2</v>
      </c>
      <c r="C38" s="583" t="str">
        <f t="shared" ca="1" si="3"/>
        <v>S</v>
      </c>
      <c r="D38" s="583">
        <f t="shared" ca="1" si="4"/>
        <v>0</v>
      </c>
      <c r="E38" s="583">
        <f ca="1">IF($C38=1,OFFSET(E38,-1,0)+MAX(1,COUNTIF(QCI!$A$13:$A$15,OFFSET(ORÇAMENTO!E38,-1,0))),OFFSET(E38,-1,0))</f>
        <v>1</v>
      </c>
      <c r="F38" s="583">
        <f t="shared" ca="1" si="5"/>
        <v>6</v>
      </c>
      <c r="G38" s="583">
        <f t="shared" ca="1" si="6"/>
        <v>0</v>
      </c>
      <c r="H38" s="583">
        <f t="shared" ca="1" si="7"/>
        <v>0</v>
      </c>
      <c r="I38" s="583">
        <f t="shared" ca="1" si="8"/>
        <v>0</v>
      </c>
      <c r="J38" s="583">
        <f t="shared" ca="1" si="9"/>
        <v>0</v>
      </c>
      <c r="K38" s="583">
        <f ca="1">IF(OR($C38="S",$C38=0),0,MATCH(OFFSET($D38,0,$C38)+IF($C38&lt;&gt;1,1,COUNTIF(QCI!$A$13:$A$15,ORÇAMENTO!E38)),OFFSET($D38,1,$C38,ROW($C$49)-ROW($C38)),0))</f>
        <v>0</v>
      </c>
      <c r="L38" s="116" t="str">
        <f t="shared" ca="1" si="10"/>
        <v/>
      </c>
      <c r="M38" s="117" t="s">
        <v>201</v>
      </c>
      <c r="N38" s="118" t="str">
        <f t="shared" ca="1" si="11"/>
        <v>Serviço</v>
      </c>
      <c r="O38" s="119" t="str">
        <f t="shared" ca="1" si="12"/>
        <v>-</v>
      </c>
      <c r="P38" s="120" t="s">
        <v>512</v>
      </c>
      <c r="Q38" s="121" t="s">
        <v>516</v>
      </c>
      <c r="R38" s="122" t="str">
        <f t="shared" ca="1" si="36"/>
        <v>(abra o arquivo 'Referência 04-2024.xls)</v>
      </c>
      <c r="S38" s="123" t="str">
        <f t="shared" ca="1" si="37"/>
        <v>-</v>
      </c>
      <c r="T38" s="124">
        <f ca="1">OFFSET(CÁLCULO!H$15,ROW($T38)-ROW(T$15),0)</f>
        <v>10</v>
      </c>
      <c r="U38" s="125">
        <f t="shared" ca="1" si="24"/>
        <v>0</v>
      </c>
      <c r="V38" s="126" t="s">
        <v>158</v>
      </c>
      <c r="W38" s="124">
        <f t="shared" ca="1" si="13"/>
        <v>0</v>
      </c>
      <c r="X38" s="127">
        <f t="shared" ca="1" si="14"/>
        <v>0</v>
      </c>
      <c r="Y38" s="128" t="s">
        <v>247</v>
      </c>
      <c r="Z38" s="583" t="str">
        <f t="shared" ca="1" si="15"/>
        <v/>
      </c>
      <c r="AA38" s="129">
        <f ca="1">IF($C38="S",IF($Z38="CP",$X38,IF($Z38="RA",(($X38)*QCI!$AA$3),0)),SomaAgrup)</f>
        <v>0</v>
      </c>
      <c r="AB38" s="130">
        <f t="shared" ca="1" si="16"/>
        <v>0</v>
      </c>
      <c r="AC38" s="131" t="str">
        <f t="shared" ca="1" si="17"/>
        <v/>
      </c>
      <c r="AD38" s="583" t="str">
        <f ca="1">IF(C38&lt;=CRONO.NivelExibicao,MAX($AD$15:OFFSET(AD38,-1,0))+IF($C38&lt;&gt;1,1,MAX(1,COUNTIF(QCI!$A$13:$A$15,OFFSET($E38,-1,0)))),"")</f>
        <v/>
      </c>
      <c r="AE38" s="7" t="str">
        <f t="shared" ca="1" si="18"/>
        <v>COMPOSIÇÃO  32</v>
      </c>
      <c r="AF38" s="582" t="str">
        <f t="shared" ca="1" si="19"/>
        <v>(abra o arquivo 'Referência 04-2024.xls)</v>
      </c>
      <c r="AG38" s="498">
        <f t="shared" ca="1" si="20"/>
        <v>0</v>
      </c>
      <c r="AH38" s="499">
        <f t="shared" ca="1" si="21"/>
        <v>0.22869999999999999</v>
      </c>
      <c r="AJ38" s="501"/>
      <c r="AL38" s="527"/>
      <c r="AM38" s="380">
        <f t="shared" ca="1" si="0"/>
        <v>0</v>
      </c>
      <c r="AN38" s="566">
        <f t="shared" ca="1" si="22"/>
        <v>0</v>
      </c>
    </row>
    <row r="39" spans="1:40" s="583" customFormat="1" ht="38.25" x14ac:dyDescent="0.2">
      <c r="A39" s="583" t="str">
        <f>CHOOSE(1+LOG(1+2*(ORÇAMENTO.Nivel="Meta")+4*(ORÇAMENTO.Nivel="Nível 2")+8*(ORÇAMENTO.Nivel="Nível 3")+16*(ORÇAMENTO.Nivel="Nível 4")+32*(ORÇAMENTO.Nivel="Serviço"),2),0,1,2,3,4,"S")</f>
        <v>S</v>
      </c>
      <c r="B39" s="583">
        <f ca="1">IF(OR(C39="s",C39=0),OFFSET(B39,-1,0),C39)</f>
        <v>2</v>
      </c>
      <c r="C39" s="583" t="str">
        <f ca="1">IF(OFFSET(C39,-1,0)="L",1,IF(OFFSET(C39,-1,0)=1,2,IF(OR(A39="s",A39=0),"S",IF(AND(OFFSET(C39,-1,0)=2,A39=4),3,IF(AND(OR(OFFSET(C39,-1,0)="s",OFFSET(C39,-1,0)=0),A39&lt;&gt;"s",A39&gt;OFFSET(B39,-1,0)),OFFSET(B39,-1,0),A39)))))</f>
        <v>S</v>
      </c>
      <c r="D39" s="583">
        <f ca="1">IF(OR(C39="S",C39=0),0,IF(ISERROR(K39),J39,SMALL(J39:K39,1)))</f>
        <v>0</v>
      </c>
      <c r="E39" s="583">
        <f ca="1">IF($C39=1,OFFSET(E39,-1,0)+MAX(1,COUNTIF(QCI!$A$13:$A$15,OFFSET(ORÇAMENTO!E39,-1,0))),OFFSET(E39,-1,0))</f>
        <v>1</v>
      </c>
      <c r="F39" s="583">
        <f ca="1">IF($C39=1,0,IF($C39=2,OFFSET(F39,-1,0)+1,OFFSET(F39,-1,0)))</f>
        <v>6</v>
      </c>
      <c r="G39" s="583">
        <f ca="1">IF(AND($C39&lt;=2,$C39&lt;&gt;0),0,IF($C39=3,OFFSET(G39,-1,0)+1,OFFSET(G39,-1,0)))</f>
        <v>0</v>
      </c>
      <c r="H39" s="583">
        <f ca="1">IF(AND($C39&lt;=3,$C39&lt;&gt;0),0,IF($C39=4,OFFSET(H39,-1,0)+1,OFFSET(H39,-1,0)))</f>
        <v>0</v>
      </c>
      <c r="I39" s="583">
        <f ca="1">IF(AND($C39&lt;=4,$C39&lt;&gt;0),0,IF(AND($C39="S",$X39&gt;0),OFFSET(I39,-1,0)+1,OFFSET(I39,-1,0)))</f>
        <v>0</v>
      </c>
      <c r="J39" s="583">
        <f t="shared" ca="1" si="9"/>
        <v>0</v>
      </c>
      <c r="K39" s="583">
        <f ca="1">IF(OR($C39="S",$C39=0),0,MATCH(OFFSET($D39,0,$C39)+IF($C39&lt;&gt;1,1,COUNTIF(QCI!$A$13:$A$15,ORÇAMENTO!E39)),OFFSET($D39,1,$C39,ROW($C$49)-ROW($C39)),0))</f>
        <v>0</v>
      </c>
      <c r="L39" s="116" t="str">
        <f ca="1">IF(OR($X39&gt;0,$C39=1,$C39=2,$C39=3,$C39=4),"F","")</f>
        <v/>
      </c>
      <c r="M39" s="117" t="s">
        <v>201</v>
      </c>
      <c r="N39" s="118" t="str">
        <f ca="1">CHOOSE(1+LOG(1+2*(C39=1)+4*(C39=2)+8*(C39=3)+16*(C39=4)+32*(C39="S"),2),"","Meta","Nível 2","Nível 3","Nível 4","Serviço")</f>
        <v>Serviço</v>
      </c>
      <c r="O39" s="119" t="str">
        <f ca="1">IF(OR($C39=0,$L39=""),"-",CONCATENATE(E39&amp;".",IF(AND($A$5&gt;=2,$C39&gt;=2),F39&amp;".",""),IF(AND($A$5&gt;=3,$C39&gt;=3),G39&amp;".",""),IF(AND($A$5&gt;=4,$C39&gt;=4),H39&amp;".",""),IF($C39="S",I39&amp;".","")))</f>
        <v>-</v>
      </c>
      <c r="P39" s="120" t="s">
        <v>512</v>
      </c>
      <c r="Q39" s="121" t="s">
        <v>511</v>
      </c>
      <c r="R39" s="122" t="str">
        <f ca="1">IF($C39="S",REFERENCIA.Descricao,"(digite a descrição aqui)")</f>
        <v>(abra o arquivo 'Referência 04-2024.xls)</v>
      </c>
      <c r="S39" s="123" t="str">
        <f ca="1">REFERENCIA.Unidade</f>
        <v>-</v>
      </c>
      <c r="T39" s="124">
        <f ca="1">OFFSET(CÁLCULO!H$15,ROW($T39)-ROW(T$15),0)</f>
        <v>2</v>
      </c>
      <c r="U39" s="125">
        <f t="shared" ca="1" si="24"/>
        <v>0</v>
      </c>
      <c r="V39" s="126" t="s">
        <v>158</v>
      </c>
      <c r="W39" s="124">
        <f ca="1">IF($C39="S",ROUND(IF(TIPOORCAMENTO="Proposto",ORÇAMENTO.CustoUnitario*(1+$AH39),ORÇAMENTO.PrecoUnitarioLicitado),15-13*$AF$10),0)</f>
        <v>0</v>
      </c>
      <c r="X39" s="127">
        <f ca="1">IF($C39="S",VTOTAL1,IF($C39=0,0,ROUND(SomaAgrup,15-13*$AF$11)))</f>
        <v>0</v>
      </c>
      <c r="Y39" s="128" t="s">
        <v>247</v>
      </c>
      <c r="Z39" s="583" t="str">
        <f ca="1">IF(AND($C39="S",$X39&gt;0),IF(ISBLANK($Y39),"RA",LEFT($Y39,2)),"")</f>
        <v/>
      </c>
      <c r="AA39" s="129">
        <f ca="1">IF($C39="S",IF($Z39="CP",$X39,IF($Z39="RA",(($X39)*QCI!$AA$3),0)),SomaAgrup)</f>
        <v>0</v>
      </c>
      <c r="AB39" s="130">
        <f ca="1">IF($C39="S",IF($Z39="OU",ROUND($X39,2),0),SomaAgrup)</f>
        <v>0</v>
      </c>
      <c r="AC39" s="131" t="str">
        <f ca="1">IF($N39="","",IF(ORÇAMENTO.Descricao="","DESCRIÇÃO",IF(AND($C39="S",ORÇAMENTO.Unidade=""),"UNIDADE",IF($X39&lt;0,"VALOR NEGATIVO",IF(OR(AND(TIPOORCAMENTO="Proposto",$AG39&lt;&gt;"",$AG39&gt;0,ORÇAMENTO.CustoUnitario&gt;$AG39),AND(TIPOORCAMENTO="LICITADO",ORÇAMENTO.PrecoUnitarioLicitado&gt;$AN39)),"ACIMA REF.","")))))</f>
        <v/>
      </c>
      <c r="AD39" s="583" t="str">
        <f ca="1">IF(C39&lt;=CRONO.NivelExibicao,MAX($AD$15:OFFSET(AD39,-1,0))+IF($C39&lt;&gt;1,1,MAX(1,COUNTIF(QCI!$A$13:$A$15,OFFSET($E39,-1,0)))),"")</f>
        <v/>
      </c>
      <c r="AE39" s="7" t="str">
        <f ca="1">IF(AND($C39="S",ORÇAMENTO.CodBarra&lt;&gt;""),IF(ORÇAMENTO.Fonte="",ORÇAMENTO.CodBarra,CONCATENATE(ORÇAMENTO.Fonte," ",ORÇAMENTO.CodBarra)))</f>
        <v>COMPOSIÇÃO  030</v>
      </c>
      <c r="AF39" s="582" t="str">
        <f ca="1">IF(ISERROR(INDIRECT(ORÇAMENTO.BancoRef)),"(abra o arquivo 'Referência "&amp;Excel_BuiltIn_Database&amp;".xls)",IF(OR($C39&lt;&gt;"S",ORÇAMENTO.CodBarra=""),"(Sem Código)",IF(ISERROR(MATCH($AE39,INDIRECT(ORÇAMENTO.BancoRef),0)),"(Código não identificado nas referências)",MATCH($AE39,INDIRECT(ORÇAMENTO.BancoRef),0))))</f>
        <v>(abra o arquivo 'Referência 04-2024.xls)</v>
      </c>
      <c r="AG39" s="498">
        <f ca="1">ROUND(IF(DESONERACAO="sim",REFERENCIA.Desonerado,REFERENCIA.NaoDesonerado),2)</f>
        <v>0</v>
      </c>
      <c r="AH39" s="499">
        <f ca="1">ROUND(IF(ISNUMBER(ORÇAMENTO.OpcaoBDI),ORÇAMENTO.OpcaoBDI,IF(LEFT(ORÇAMENTO.OpcaoBDI,3)="BDI",HLOOKUP(ORÇAMENTO.OpcaoBDI,$F$4:$H$5,2,FALSE),0)),15-11*$AF$9)</f>
        <v>0.22869999999999999</v>
      </c>
      <c r="AJ39" s="501"/>
      <c r="AL39" s="527"/>
      <c r="AM39" s="380">
        <f t="shared" ca="1" si="0"/>
        <v>0</v>
      </c>
      <c r="AN39" s="566">
        <f ca="1">ROUND(ORÇAMENTO.CustoUnitario*(1+$AH39),2)</f>
        <v>0</v>
      </c>
    </row>
    <row r="40" spans="1:40" x14ac:dyDescent="0.2">
      <c r="A40">
        <f t="shared" si="1"/>
        <v>2</v>
      </c>
      <c r="B40">
        <f t="shared" ca="1" si="2"/>
        <v>2</v>
      </c>
      <c r="C40">
        <f t="shared" ca="1" si="3"/>
        <v>2</v>
      </c>
      <c r="D40">
        <f t="shared" ca="1" si="4"/>
        <v>1</v>
      </c>
      <c r="E40">
        <f ca="1">IF($C40=1,OFFSET(E40,-1,0)+MAX(1,COUNTIF(QCI!$A$13:$A$15,OFFSET(ORÇAMENTO!E40,-1,0))),OFFSET(E40,-1,0))</f>
        <v>1</v>
      </c>
      <c r="F40">
        <f t="shared" ca="1" si="5"/>
        <v>7</v>
      </c>
      <c r="G40">
        <f t="shared" ca="1" si="6"/>
        <v>0</v>
      </c>
      <c r="H40">
        <f t="shared" ca="1" si="7"/>
        <v>0</v>
      </c>
      <c r="I40">
        <f t="shared" ca="1" si="8"/>
        <v>0</v>
      </c>
      <c r="J40">
        <f t="shared" ca="1" si="9"/>
        <v>9</v>
      </c>
      <c r="K40">
        <f ca="1">IF(OR($C40="S",$C40=0),0,MATCH(OFFSET($D40,0,$C40)+IF($C40&lt;&gt;1,1,COUNTIF(QCI!$A$13:$A$15,ORÇAMENTO!E40)),OFFSET($D40,1,$C40,ROW($C$49)-ROW($C40)),0))</f>
        <v>1</v>
      </c>
      <c r="L40" s="116" t="str">
        <f t="shared" ca="1" si="10"/>
        <v>F</v>
      </c>
      <c r="M40" s="117" t="s">
        <v>198</v>
      </c>
      <c r="N40" s="118" t="str">
        <f t="shared" ca="1" si="11"/>
        <v>Nível 2</v>
      </c>
      <c r="O40" s="119" t="str">
        <f t="shared" ca="1" si="12"/>
        <v>1.7.</v>
      </c>
      <c r="P40" s="120" t="s">
        <v>249</v>
      </c>
      <c r="Q40" s="121"/>
      <c r="R40" s="122" t="s">
        <v>489</v>
      </c>
      <c r="S40" s="123" t="str">
        <f t="shared" ca="1" si="37"/>
        <v>-</v>
      </c>
      <c r="T40" s="124">
        <f ca="1">OFFSET(CÁLCULO!H$15,ROW($T40)-ROW(T$15),0)</f>
        <v>0</v>
      </c>
      <c r="U40" s="125">
        <f t="shared" ref="U40:U42" ca="1" si="38">AG40</f>
        <v>0</v>
      </c>
      <c r="V40" s="126" t="s">
        <v>158</v>
      </c>
      <c r="W40" s="124">
        <f t="shared" ca="1" si="13"/>
        <v>0</v>
      </c>
      <c r="X40" s="127">
        <f t="shared" ca="1" si="14"/>
        <v>0</v>
      </c>
      <c r="Y40" s="128" t="s">
        <v>247</v>
      </c>
      <c r="Z40" t="str">
        <f t="shared" ca="1" si="15"/>
        <v/>
      </c>
      <c r="AA40" s="129">
        <f ca="1">IF($C40="S",IF($Z40="CP",$X40,IF($Z40="RA",(($X40)*QCI!$AA$3),0)),SomaAgrup)</f>
        <v>0</v>
      </c>
      <c r="AB40" s="130">
        <f t="shared" ca="1" si="16"/>
        <v>0</v>
      </c>
      <c r="AC40" s="131" t="str">
        <f t="shared" ca="1" si="17"/>
        <v/>
      </c>
      <c r="AD40">
        <f ca="1">IF(C40&lt;=CRONO.NivelExibicao,MAX($AD$15:OFFSET(AD40,-1,0))+IF($C40&lt;&gt;1,1,MAX(1,COUNTIF(QCI!$A$13:$A$15,OFFSET($E40,-1,0)))),"")</f>
        <v>8</v>
      </c>
      <c r="AE40" s="7" t="b">
        <f t="shared" ca="1" si="18"/>
        <v>0</v>
      </c>
      <c r="AF40" s="13" t="str">
        <f t="shared" ca="1" si="19"/>
        <v>(abra o arquivo 'Referência 04-2024.xls)</v>
      </c>
      <c r="AG40" s="498">
        <f t="shared" ca="1" si="20"/>
        <v>0</v>
      </c>
      <c r="AH40" s="499">
        <f t="shared" ca="1" si="21"/>
        <v>0.22869999999999999</v>
      </c>
      <c r="AJ40" s="501"/>
      <c r="AL40" s="527"/>
      <c r="AM40" s="380">
        <f t="shared" ca="1" si="0"/>
        <v>0</v>
      </c>
      <c r="AN40" s="566">
        <f t="shared" ca="1" si="22"/>
        <v>0</v>
      </c>
    </row>
    <row r="41" spans="1:40" s="577" customFormat="1" x14ac:dyDescent="0.2">
      <c r="A41" s="577">
        <f t="shared" ref="A41:A44" si="39">CHOOSE(1+LOG(1+2*(ORÇAMENTO.Nivel="Meta")+4*(ORÇAMENTO.Nivel="Nível 2")+8*(ORÇAMENTO.Nivel="Nível 3")+16*(ORÇAMENTO.Nivel="Nível 4")+32*(ORÇAMENTO.Nivel="Serviço"),2),0,1,2,3,4,"S")</f>
        <v>2</v>
      </c>
      <c r="B41" s="577">
        <f ca="1">IF(OR(C41="s",C41=0),OFFSET(B41,-1,0),C41)</f>
        <v>2</v>
      </c>
      <c r="C41" s="577">
        <f ca="1">IF(OFFSET(C41,-1,0)="L",1,IF(OFFSET(C41,-1,0)=1,2,IF(OR(A41="s",A41=0),"S",IF(AND(OFFSET(C41,-1,0)=2,A41=4),3,IF(AND(OR(OFFSET(C41,-1,0)="s",OFFSET(C41,-1,0)=0),A41&lt;&gt;"s",A41&gt;OFFSET(B41,-1,0)),OFFSET(B41,-1,0),A41)))))</f>
        <v>2</v>
      </c>
      <c r="D41" s="577">
        <f ca="1">IF(OR(C41="S",C41=0),0,IF(ISERROR(K41),J41,SMALL(J41:K41,1)))</f>
        <v>2</v>
      </c>
      <c r="E41" s="577">
        <f ca="1">IF($C41=1,OFFSET(E41,-1,0)+MAX(1,COUNTIF(QCI!$A$13:$A$15,OFFSET(ORÇAMENTO!E41,-1,0))),OFFSET(E41,-1,0))</f>
        <v>1</v>
      </c>
      <c r="F41" s="577">
        <f ca="1">IF($C41=1,0,IF($C41=2,OFFSET(F41,-1,0)+1,OFFSET(F41,-1,0)))</f>
        <v>8</v>
      </c>
      <c r="G41" s="577">
        <f ca="1">IF(AND($C41&lt;=2,$C41&lt;&gt;0),0,IF($C41=3,OFFSET(G41,-1,0)+1,OFFSET(G41,-1,0)))</f>
        <v>0</v>
      </c>
      <c r="H41" s="577">
        <f ca="1">IF(AND($C41&lt;=3,$C41&lt;&gt;0),0,IF($C41=4,OFFSET(H41,-1,0)+1,OFFSET(H41,-1,0)))</f>
        <v>0</v>
      </c>
      <c r="I41" s="577">
        <f ca="1">IF(AND($C41&lt;=4,$C41&lt;&gt;0),0,IF(AND($C41="S",$X41&gt;0),OFFSET(I41,-1,0)+1,OFFSET(I41,-1,0)))</f>
        <v>0</v>
      </c>
      <c r="J41" s="577">
        <f t="shared" ca="1" si="9"/>
        <v>8</v>
      </c>
      <c r="K41" s="577">
        <f ca="1">IF(OR($C41="S",$C41=0),0,MATCH(OFFSET($D41,0,$C41)+IF($C41&lt;&gt;1,1,COUNTIF(QCI!$A$13:$A$15,ORÇAMENTO!E41)),OFFSET($D41,1,$C41,ROW($C$49)-ROW($C41)),0))</f>
        <v>2</v>
      </c>
      <c r="L41" s="116" t="str">
        <f ca="1">IF(OR($X41&gt;0,$C41=1,$C41=2,$C41=3,$C41=4),"F","")</f>
        <v>F</v>
      </c>
      <c r="M41" s="117" t="s">
        <v>198</v>
      </c>
      <c r="N41" s="118" t="str">
        <f ca="1">CHOOSE(1+LOG(1+2*(C41=1)+4*(C41=2)+8*(C41=3)+16*(C41=4)+32*(C41="S"),2),"","Meta","Nível 2","Nível 3","Nível 4","Serviço")</f>
        <v>Nível 2</v>
      </c>
      <c r="O41" s="119" t="str">
        <f ca="1">IF(OR($C41=0,$L41=""),"-",CONCATENATE(E41&amp;".",IF(AND($A$5&gt;=2,$C41&gt;=2),F41&amp;".",""),IF(AND($A$5&gt;=3,$C41&gt;=3),G41&amp;".",""),IF(AND($A$5&gt;=4,$C41&gt;=4),H41&amp;".",""),IF($C41="S",I41&amp;".","")))</f>
        <v>1.8.</v>
      </c>
      <c r="P41" s="120" t="s">
        <v>249</v>
      </c>
      <c r="Q41" s="121"/>
      <c r="R41" s="122" t="s">
        <v>492</v>
      </c>
      <c r="S41" s="123" t="str">
        <f ca="1">REFERENCIA.Unidade</f>
        <v>-</v>
      </c>
      <c r="T41" s="124">
        <f ca="1">OFFSET(CÁLCULO!H$15,ROW($T41)-ROW(T$15),0)</f>
        <v>0</v>
      </c>
      <c r="U41" s="125"/>
      <c r="V41" s="126" t="s">
        <v>158</v>
      </c>
      <c r="W41" s="124">
        <f ca="1">IF($C41="S",ROUND(IF(TIPOORCAMENTO="Proposto",ORÇAMENTO.CustoUnitario*(1+$AH41),ORÇAMENTO.PrecoUnitarioLicitado),15-13*$AF$10),0)</f>
        <v>0</v>
      </c>
      <c r="X41" s="127">
        <f t="shared" ref="X41:X44" ca="1" si="40">IF($C41="S",VTOTAL1,IF($C41=0,0,ROUND(SomaAgrup,15-13*$AF$11)))</f>
        <v>0</v>
      </c>
      <c r="Y41" s="128" t="s">
        <v>247</v>
      </c>
      <c r="Z41" s="577" t="str">
        <f ca="1">IF(AND($C41="S",$X41&gt;0),IF(ISBLANK($Y41),"RA",LEFT($Y41,2)),"")</f>
        <v/>
      </c>
      <c r="AA41" s="129">
        <f ca="1">IF($C41="S",IF($Z41="CP",$X41,IF($Z41="RA",(($X41)*QCI!$AA$3),0)),SomaAgrup)</f>
        <v>0</v>
      </c>
      <c r="AB41" s="130">
        <f t="shared" ref="AB41:AB44" ca="1" si="41">IF($C41="S",IF($Z41="OU",ROUND($X41,2),0),SomaAgrup)</f>
        <v>0</v>
      </c>
      <c r="AC41" s="131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577">
        <f ca="1">IF(C41&lt;=CRONO.NivelExibicao,MAX($AD$15:OFFSET(AD41,-1,0))+IF($C41&lt;&gt;1,1,MAX(1,COUNTIF(QCI!$A$13:$A$15,OFFSET($E41,-1,0)))),"")</f>
        <v>9</v>
      </c>
      <c r="AE41" s="7" t="b">
        <f ca="1">IF(AND($C41="S",ORÇAMENTO.CodBarra&lt;&gt;""),IF(ORÇAMENTO.Fonte="",ORÇAMENTO.CodBarra,CONCATENATE(ORÇAMENTO.Fonte," ",ORÇAMENTO.CodBarra)))</f>
        <v>0</v>
      </c>
      <c r="AF41" s="576" t="str">
        <f ca="1">IF(ISERROR(INDIRECT(ORÇAMENTO.BancoRef)),"(abra o arquivo 'Referência "&amp;Excel_BuiltIn_Database&amp;".xls)",IF(OR($C41&lt;&gt;"S",ORÇAMENTO.CodBarra=""),"(Sem Código)",IF(ISERROR(MATCH($AE41,INDIRECT(ORÇAMENTO.BancoRef),0)),"(Código não identificado nas referências)",MATCH($AE41,INDIRECT(ORÇAMENTO.BancoRef),0))))</f>
        <v>(abra o arquivo 'Referência 04-2024.xls)</v>
      </c>
      <c r="AG41" s="498">
        <f ca="1">ROUND(IF(DESONERACAO="sim",REFERENCIA.Desonerado,REFERENCIA.NaoDesonerado),2)</f>
        <v>0</v>
      </c>
      <c r="AH41" s="499">
        <f t="shared" ref="AH41:AH44" ca="1" si="42">ROUND(IF(ISNUMBER(ORÇAMENTO.OpcaoBDI),ORÇAMENTO.OpcaoBDI,IF(LEFT(ORÇAMENTO.OpcaoBDI,3)="BDI",HLOOKUP(ORÇAMENTO.OpcaoBDI,$F$4:$H$5,2,FALSE),0)),15-11*$AF$9)</f>
        <v>0.22869999999999999</v>
      </c>
      <c r="AJ41" s="501"/>
      <c r="AL41" s="527"/>
      <c r="AM41" s="380">
        <f t="shared" ca="1" si="0"/>
        <v>0</v>
      </c>
      <c r="AN41" s="566">
        <f t="shared" ref="AN41:AN44" ca="1" si="43">ROUND(ORÇAMENTO.CustoUnitario*(1+$AH41),2)</f>
        <v>0</v>
      </c>
    </row>
    <row r="42" spans="1:40" s="577" customFormat="1" ht="25.5" x14ac:dyDescent="0.2">
      <c r="A42" s="577" t="str">
        <f t="shared" si="39"/>
        <v>S</v>
      </c>
      <c r="B42" s="577">
        <f ca="1">IF(OR(C42="s",C42=0),OFFSET(B42,-1,0),C42)</f>
        <v>2</v>
      </c>
      <c r="C42" s="577" t="str">
        <f ca="1">IF(OFFSET(C42,-1,0)="L",1,IF(OFFSET(C42,-1,0)=1,2,IF(OR(A42="s",A42=0),"S",IF(AND(OFFSET(C42,-1,0)=2,A42=4),3,IF(AND(OR(OFFSET(C42,-1,0)="s",OFFSET(C42,-1,0)=0),A42&lt;&gt;"s",A42&gt;OFFSET(B42,-1,0)),OFFSET(B42,-1,0),A42)))))</f>
        <v>S</v>
      </c>
      <c r="D42" s="577">
        <f ca="1">IF(OR(C42="S",C42=0),0,IF(ISERROR(K42),J42,SMALL(J42:K42,1)))</f>
        <v>0</v>
      </c>
      <c r="E42" s="577">
        <f ca="1">IF($C42=1,OFFSET(E42,-1,0)+MAX(1,COUNTIF(QCI!$A$13:$A$15,OFFSET(ORÇAMENTO!E42,-1,0))),OFFSET(E42,-1,0))</f>
        <v>1</v>
      </c>
      <c r="F42" s="577">
        <f ca="1">IF($C42=1,0,IF($C42=2,OFFSET(F42,-1,0)+1,OFFSET(F42,-1,0)))</f>
        <v>8</v>
      </c>
      <c r="G42" s="577">
        <f ca="1">IF(AND($C42&lt;=2,$C42&lt;&gt;0),0,IF($C42=3,OFFSET(G42,-1,0)+1,OFFSET(G42,-1,0)))</f>
        <v>0</v>
      </c>
      <c r="H42" s="577">
        <f ca="1">IF(AND($C42&lt;=3,$C42&lt;&gt;0),0,IF($C42=4,OFFSET(H42,-1,0)+1,OFFSET(H42,-1,0)))</f>
        <v>0</v>
      </c>
      <c r="I42" s="577">
        <f ca="1">IF(AND($C42&lt;=4,$C42&lt;&gt;0),0,IF(AND($C42="S",$X42&gt;0),OFFSET(I42,-1,0)+1,OFFSET(I42,-1,0)))</f>
        <v>0</v>
      </c>
      <c r="J42" s="577">
        <f t="shared" ca="1" si="9"/>
        <v>0</v>
      </c>
      <c r="K42" s="577">
        <f ca="1">IF(OR($C42="S",$C42=0),0,MATCH(OFFSET($D42,0,$C42)+IF($C42&lt;&gt;1,1,COUNTIF(QCI!$A$13:$A$15,ORÇAMENTO!E42)),OFFSET($D42,1,$C42,ROW($C$49)-ROW($C42)),0))</f>
        <v>0</v>
      </c>
      <c r="L42" s="116" t="str">
        <f ca="1">IF(OR($X42&gt;0,$C42=1,$C42=2,$C42=3,$C42=4),"F","")</f>
        <v/>
      </c>
      <c r="M42" s="117" t="s">
        <v>201</v>
      </c>
      <c r="N42" s="118" t="str">
        <f ca="1">CHOOSE(1+LOG(1+2*(C42=1)+4*(C42=2)+8*(C42=3)+16*(C42=4)+32*(C42="S"),2),"","Meta","Nível 2","Nível 3","Nível 4","Serviço")</f>
        <v>Serviço</v>
      </c>
      <c r="O42" s="119" t="str">
        <f ca="1">IF(OR($C42=0,$L42=""),"-",CONCATENATE(E42&amp;".",IF(AND($A$5&gt;=2,$C42&gt;=2),F42&amp;".",""),IF(AND($A$5&gt;=3,$C42&gt;=3),G42&amp;".",""),IF(AND($A$5&gt;=4,$C42&gt;=4),H42&amp;".",""),IF($C42="S",I42&amp;".","")))</f>
        <v>-</v>
      </c>
      <c r="P42" s="120" t="s">
        <v>249</v>
      </c>
      <c r="Q42" s="121" t="s">
        <v>440</v>
      </c>
      <c r="R42" s="122" t="str">
        <f ca="1">IF($C42="S",REFERENCIA.Descricao,"(digite a descrição aqui)")</f>
        <v>(abra o arquivo 'Referência 04-2024.xls)</v>
      </c>
      <c r="S42" s="123" t="str">
        <f ca="1">REFERENCIA.Unidade</f>
        <v>-</v>
      </c>
      <c r="T42" s="124">
        <f ca="1">OFFSET(CÁLCULO!H$15,ROW($T42)-ROW(T$15),0)</f>
        <v>30</v>
      </c>
      <c r="U42" s="125">
        <f t="shared" ca="1" si="38"/>
        <v>0</v>
      </c>
      <c r="V42" s="126" t="s">
        <v>158</v>
      </c>
      <c r="W42" s="124">
        <f ca="1">IF($C42="S",ROUND(IF(TIPOORCAMENTO="Proposto",ORÇAMENTO.CustoUnitario*(1+$AH42),ORÇAMENTO.PrecoUnitarioLicitado),15-13*$AF$10),0)</f>
        <v>0</v>
      </c>
      <c r="X42" s="127">
        <f t="shared" ca="1" si="40"/>
        <v>0</v>
      </c>
      <c r="Y42" s="128" t="s">
        <v>247</v>
      </c>
      <c r="Z42" s="577" t="str">
        <f ca="1">IF(AND($C42="S",$X42&gt;0),IF(ISBLANK($Y42),"RA",LEFT($Y42,2)),"")</f>
        <v/>
      </c>
      <c r="AA42" s="129">
        <f ca="1">IF($C42="S",IF($Z42="CP",$X42,IF($Z42="RA",(($X42)*QCI!$AA$3),0)),SomaAgrup)</f>
        <v>0</v>
      </c>
      <c r="AB42" s="130">
        <f t="shared" ca="1" si="41"/>
        <v>0</v>
      </c>
      <c r="AC42" s="131" t="str">
        <f ca="1">IF($N42="","",IF(ORÇAMENTO.Descricao="","DESCRIÇÃO",IF(AND($C42="S",ORÇAMENTO.Unidade=""),"UNIDADE",IF($X42&lt;0,"VALOR NEGATIVO",IF(OR(AND(TIPOORCAMENTO="Proposto",$AG42&lt;&gt;"",$AG42&gt;0,ORÇAMENTO.CustoUnitario&gt;$AG42),AND(TIPOORCAMENTO="LICITADO",ORÇAMENTO.PrecoUnitarioLicitado&gt;$AN42)),"ACIMA REF.","")))))</f>
        <v/>
      </c>
      <c r="AD42" s="577" t="str">
        <f ca="1">IF(C42&lt;=CRONO.NivelExibicao,MAX($AD$15:OFFSET(AD42,-1,0))+IF($C42&lt;&gt;1,1,MAX(1,COUNTIF(QCI!$A$13:$A$15,OFFSET($E42,-1,0)))),"")</f>
        <v/>
      </c>
      <c r="AE42" s="7" t="str">
        <f ca="1">IF(AND($C42="S",ORÇAMENTO.CodBarra&lt;&gt;""),IF(ORÇAMENTO.Fonte="",ORÇAMENTO.CodBarra,CONCATENATE(ORÇAMENTO.Fonte," ",ORÇAMENTO.CodBarra)))</f>
        <v>SINAPI 100576</v>
      </c>
      <c r="AF42" s="576" t="str">
        <f ca="1">IF(ISERROR(INDIRECT(ORÇAMENTO.BancoRef)),"(abra o arquivo 'Referência "&amp;Excel_BuiltIn_Database&amp;".xls)",IF(OR($C42&lt;&gt;"S",ORÇAMENTO.CodBarra=""),"(Sem Código)",IF(ISERROR(MATCH($AE42,INDIRECT(ORÇAMENTO.BancoRef),0)),"(Código não identificado nas referências)",MATCH($AE42,INDIRECT(ORÇAMENTO.BancoRef),0))))</f>
        <v>(abra o arquivo 'Referência 04-2024.xls)</v>
      </c>
      <c r="AG42" s="498">
        <f ca="1">ROUND(IF(DESONERACAO="sim",REFERENCIA.Desonerado,REFERENCIA.NaoDesonerado),2)</f>
        <v>0</v>
      </c>
      <c r="AH42" s="499">
        <f t="shared" ca="1" si="42"/>
        <v>0.22869999999999999</v>
      </c>
      <c r="AJ42" s="501"/>
      <c r="AL42" s="527"/>
      <c r="AM42" s="380">
        <f t="shared" ca="1" si="0"/>
        <v>0</v>
      </c>
      <c r="AN42" s="566">
        <f t="shared" ca="1" si="43"/>
        <v>0</v>
      </c>
    </row>
    <row r="43" spans="1:40" s="577" customFormat="1" x14ac:dyDescent="0.2">
      <c r="A43" s="577">
        <f t="shared" si="39"/>
        <v>2</v>
      </c>
      <c r="B43" s="577">
        <f t="shared" ref="B43:B44" ca="1" si="44">IF(OR(C43="s",C43=0),OFFSET(B43,-1,0),C43)</f>
        <v>2</v>
      </c>
      <c r="C43" s="577">
        <f t="shared" ref="C43:C44" ca="1" si="45">IF(OFFSET(C43,-1,0)="L",1,IF(OFFSET(C43,-1,0)=1,2,IF(OR(A43="s",A43=0),"S",IF(AND(OFFSET(C43,-1,0)=2,A43=4),3,IF(AND(OR(OFFSET(C43,-1,0)="s",OFFSET(C43,-1,0)=0),A43&lt;&gt;"s",A43&gt;OFFSET(B43,-1,0)),OFFSET(B43,-1,0),A43)))))</f>
        <v>2</v>
      </c>
      <c r="D43" s="577">
        <f t="shared" ref="D43:D44" ca="1" si="46">IF(OR(C43="S",C43=0),0,IF(ISERROR(K43),J43,SMALL(J43:K43,1)))</f>
        <v>2</v>
      </c>
      <c r="E43" s="577">
        <f ca="1">IF($C43=1,OFFSET(E43,-1,0)+MAX(1,COUNTIF(QCI!$A$13:$A$15,OFFSET(ORÇAMENTO!E43,-1,0))),OFFSET(E43,-1,0))</f>
        <v>1</v>
      </c>
      <c r="F43" s="577">
        <f t="shared" ref="F43:F44" ca="1" si="47">IF($C43=1,0,IF($C43=2,OFFSET(F43,-1,0)+1,OFFSET(F43,-1,0)))</f>
        <v>9</v>
      </c>
      <c r="G43" s="577">
        <f t="shared" ref="G43:G44" ca="1" si="48">IF(AND($C43&lt;=2,$C43&lt;&gt;0),0,IF($C43=3,OFFSET(G43,-1,0)+1,OFFSET(G43,-1,0)))</f>
        <v>0</v>
      </c>
      <c r="H43" s="577">
        <f t="shared" ref="H43:H44" ca="1" si="49">IF(AND($C43&lt;=3,$C43&lt;&gt;0),0,IF($C43=4,OFFSET(H43,-1,0)+1,OFFSET(H43,-1,0)))</f>
        <v>0</v>
      </c>
      <c r="I43" s="577">
        <f t="shared" ref="I43:I44" ca="1" si="50">IF(AND($C43&lt;=4,$C43&lt;&gt;0),0,IF(AND($C43="S",$X43&gt;0),OFFSET(I43,-1,0)+1,OFFSET(I43,-1,0)))</f>
        <v>0</v>
      </c>
      <c r="J43" s="577">
        <f t="shared" ca="1" si="9"/>
        <v>6</v>
      </c>
      <c r="K43" s="577">
        <f ca="1">IF(OR($C43="S",$C43=0),0,MATCH(OFFSET($D43,0,$C43)+IF($C43&lt;&gt;1,1,COUNTIF(QCI!$A$13:$A$15,ORÇAMENTO!E43)),OFFSET($D43,1,$C43,ROW($C$49)-ROW($C43)),0))</f>
        <v>2</v>
      </c>
      <c r="L43" s="116" t="str">
        <f t="shared" ref="L43:L44" ca="1" si="51">IF(OR($X43&gt;0,$C43=1,$C43=2,$C43=3,$C43=4),"F","")</f>
        <v>F</v>
      </c>
      <c r="M43" s="117" t="s">
        <v>198</v>
      </c>
      <c r="N43" s="118" t="str">
        <f t="shared" ref="N43:N44" ca="1" si="52">CHOOSE(1+LOG(1+2*(C43=1)+4*(C43=2)+8*(C43=3)+16*(C43=4)+32*(C43="S"),2),"","Meta","Nível 2","Nível 3","Nível 4","Serviço")</f>
        <v>Nível 2</v>
      </c>
      <c r="O43" s="119" t="str">
        <f t="shared" ref="O43:O44" ca="1" si="53">IF(OR($C43=0,$L43=""),"-",CONCATENATE(E43&amp;".",IF(AND($A$5&gt;=2,$C43&gt;=2),F43&amp;".",""),IF(AND($A$5&gt;=3,$C43&gt;=3),G43&amp;".",""),IF(AND($A$5&gt;=4,$C43&gt;=4),H43&amp;".",""),IF($C43="S",I43&amp;".","")))</f>
        <v>1.9.</v>
      </c>
      <c r="P43" s="120" t="s">
        <v>249</v>
      </c>
      <c r="Q43" s="121"/>
      <c r="R43" s="122" t="s">
        <v>493</v>
      </c>
      <c r="S43" s="123" t="str">
        <f ca="1">REFERENCIA.Unidade</f>
        <v>-</v>
      </c>
      <c r="T43" s="124">
        <f ca="1">OFFSET(CÁLCULO!H$15,ROW($T43)-ROW(T$15),0)</f>
        <v>0</v>
      </c>
      <c r="U43" s="125">
        <f t="shared" ref="U43:U45" ca="1" si="54">AG43</f>
        <v>0</v>
      </c>
      <c r="V43" s="126" t="s">
        <v>158</v>
      </c>
      <c r="W43" s="124">
        <f ca="1">IF($C43="S",ROUND(IF(TIPOORCAMENTO="Proposto",ORÇAMENTO.CustoUnitario*(1+$AH43),ORÇAMENTO.PrecoUnitarioLicitado),15-13*$AF$10),0)</f>
        <v>0</v>
      </c>
      <c r="X43" s="127">
        <f t="shared" ca="1" si="40"/>
        <v>0</v>
      </c>
      <c r="Y43" s="128" t="s">
        <v>247</v>
      </c>
      <c r="Z43" s="577" t="str">
        <f t="shared" ref="Z43:Z44" ca="1" si="55">IF(AND($C43="S",$X43&gt;0),IF(ISBLANK($Y43),"RA",LEFT($Y43,2)),"")</f>
        <v/>
      </c>
      <c r="AA43" s="129">
        <f ca="1">IF($C43="S",IF($Z43="CP",$X43,IF($Z43="RA",(($X43)*QCI!$AA$3),0)),SomaAgrup)</f>
        <v>0</v>
      </c>
      <c r="AB43" s="130">
        <f t="shared" ca="1" si="41"/>
        <v>0</v>
      </c>
      <c r="AC43" s="131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577">
        <f ca="1">IF(C43&lt;=CRONO.NivelExibicao,MAX($AD$15:OFFSET(AD43,-1,0))+IF($C43&lt;&gt;1,1,MAX(1,COUNTIF(QCI!$A$13:$A$15,OFFSET($E43,-1,0)))),"")</f>
        <v>10</v>
      </c>
      <c r="AE43" s="7" t="b">
        <f ca="1">IF(AND($C43="S",ORÇAMENTO.CodBarra&lt;&gt;""),IF(ORÇAMENTO.Fonte="",ORÇAMENTO.CodBarra,CONCATENATE(ORÇAMENTO.Fonte," ",ORÇAMENTO.CodBarra)))</f>
        <v>0</v>
      </c>
      <c r="AF43" s="576" t="str">
        <f ca="1">IF(ISERROR(INDIRECT(ORÇAMENTO.BancoRef)),"(abra o arquivo 'Referência "&amp;Excel_BuiltIn_Database&amp;".xls)",IF(OR($C43&lt;&gt;"S",ORÇAMENTO.CodBarra=""),"(Sem Código)",IF(ISERROR(MATCH($AE43,INDIRECT(ORÇAMENTO.BancoRef),0)),"(Código não identificado nas referências)",MATCH($AE43,INDIRECT(ORÇAMENTO.BancoRef),0))))</f>
        <v>(abra o arquivo 'Referência 04-2024.xls)</v>
      </c>
      <c r="AG43" s="498">
        <f ca="1">ROUND(IF(DESONERACAO="sim",REFERENCIA.Desonerado,REFERENCIA.NaoDesonerado),2)</f>
        <v>0</v>
      </c>
      <c r="AH43" s="499">
        <f t="shared" ca="1" si="42"/>
        <v>0.22869999999999999</v>
      </c>
      <c r="AJ43" s="501"/>
      <c r="AL43" s="527"/>
      <c r="AM43" s="380">
        <f t="shared" ca="1" si="0"/>
        <v>0</v>
      </c>
      <c r="AN43" s="566">
        <f t="shared" ca="1" si="43"/>
        <v>0</v>
      </c>
    </row>
    <row r="44" spans="1:40" s="577" customFormat="1" ht="25.5" x14ac:dyDescent="0.2">
      <c r="A44" s="577" t="str">
        <f t="shared" si="39"/>
        <v>S</v>
      </c>
      <c r="B44" s="577">
        <f t="shared" ca="1" si="44"/>
        <v>2</v>
      </c>
      <c r="C44" s="577" t="str">
        <f t="shared" ca="1" si="45"/>
        <v>S</v>
      </c>
      <c r="D44" s="577">
        <f t="shared" ca="1" si="46"/>
        <v>0</v>
      </c>
      <c r="E44" s="577">
        <f ca="1">IF($C44=1,OFFSET(E44,-1,0)+MAX(1,COUNTIF(QCI!$A$13:$A$15,OFFSET(ORÇAMENTO!E44,-1,0))),OFFSET(E44,-1,0))</f>
        <v>1</v>
      </c>
      <c r="F44" s="577">
        <f t="shared" ca="1" si="47"/>
        <v>9</v>
      </c>
      <c r="G44" s="577">
        <f t="shared" ca="1" si="48"/>
        <v>0</v>
      </c>
      <c r="H44" s="577">
        <f t="shared" ca="1" si="49"/>
        <v>0</v>
      </c>
      <c r="I44" s="577">
        <f t="shared" ca="1" si="50"/>
        <v>0</v>
      </c>
      <c r="J44" s="577">
        <f t="shared" ca="1" si="9"/>
        <v>0</v>
      </c>
      <c r="K44" s="577">
        <f ca="1">IF(OR($C44="S",$C44=0),0,MATCH(OFFSET($D44,0,$C44)+IF($C44&lt;&gt;1,1,COUNTIF(QCI!$A$13:$A$15,ORÇAMENTO!E44)),OFFSET($D44,1,$C44,ROW($C$49)-ROW($C44)),0))</f>
        <v>0</v>
      </c>
      <c r="L44" s="116" t="str">
        <f t="shared" ca="1" si="51"/>
        <v/>
      </c>
      <c r="M44" s="117" t="s">
        <v>201</v>
      </c>
      <c r="N44" s="118" t="str">
        <f t="shared" ca="1" si="52"/>
        <v>Serviço</v>
      </c>
      <c r="O44" s="119" t="str">
        <f t="shared" ca="1" si="53"/>
        <v>-</v>
      </c>
      <c r="P44" s="120" t="s">
        <v>249</v>
      </c>
      <c r="Q44" s="121" t="s">
        <v>440</v>
      </c>
      <c r="R44" s="122" t="str">
        <f ca="1">IF($C44="S",REFERENCIA.Descricao,"(digite a descrição aqui)")</f>
        <v>(abra o arquivo 'Referência 04-2024.xls)</v>
      </c>
      <c r="S44" s="123" t="str">
        <f ca="1">REFERENCIA.Unidade</f>
        <v>-</v>
      </c>
      <c r="T44" s="124">
        <f ca="1">OFFSET(CÁLCULO!H$15,ROW($T44)-ROW(T$15),0)</f>
        <v>32</v>
      </c>
      <c r="U44" s="125">
        <f t="shared" ca="1" si="54"/>
        <v>0</v>
      </c>
      <c r="V44" s="126" t="s">
        <v>158</v>
      </c>
      <c r="W44" s="124">
        <f ca="1">IF($C44="S",ROUND(IF(TIPOORCAMENTO="Proposto",ORÇAMENTO.CustoUnitario*(1+$AH44),ORÇAMENTO.PrecoUnitarioLicitado),15-13*$AF$10),0)</f>
        <v>0</v>
      </c>
      <c r="X44" s="127">
        <f t="shared" ca="1" si="40"/>
        <v>0</v>
      </c>
      <c r="Y44" s="128" t="s">
        <v>247</v>
      </c>
      <c r="Z44" s="577" t="str">
        <f t="shared" ca="1" si="55"/>
        <v/>
      </c>
      <c r="AA44" s="129">
        <f ca="1">IF($C44="S",IF($Z44="CP",$X44,IF($Z44="RA",(($X44)*QCI!$AA$3),0)),SomaAgrup)</f>
        <v>0</v>
      </c>
      <c r="AB44" s="130">
        <f t="shared" ca="1" si="41"/>
        <v>0</v>
      </c>
      <c r="AC44" s="131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577" t="str">
        <f ca="1">IF(C44&lt;=CRONO.NivelExibicao,MAX($AD$15:OFFSET(AD44,-1,0))+IF($C44&lt;&gt;1,1,MAX(1,COUNTIF(QCI!$A$13:$A$15,OFFSET($E44,-1,0)))),"")</f>
        <v/>
      </c>
      <c r="AE44" s="7" t="str">
        <f ca="1">IF(AND($C44="S",ORÇAMENTO.CodBarra&lt;&gt;""),IF(ORÇAMENTO.Fonte="",ORÇAMENTO.CodBarra,CONCATENATE(ORÇAMENTO.Fonte," ",ORÇAMENTO.CodBarra)))</f>
        <v>SINAPI 100576</v>
      </c>
      <c r="AF44" s="576" t="str">
        <f ca="1">IF(ISERROR(INDIRECT(ORÇAMENTO.BancoRef)),"(abra o arquivo 'Referência "&amp;Excel_BuiltIn_Database&amp;".xls)",IF(OR($C44&lt;&gt;"S",ORÇAMENTO.CodBarra=""),"(Sem Código)",IF(ISERROR(MATCH($AE44,INDIRECT(ORÇAMENTO.BancoRef),0)),"(Código não identificado nas referências)",MATCH($AE44,INDIRECT(ORÇAMENTO.BancoRef),0))))</f>
        <v>(abra o arquivo 'Referência 04-2024.xls)</v>
      </c>
      <c r="AG44" s="498">
        <f ca="1">ROUND(IF(DESONERACAO="sim",REFERENCIA.Desonerado,REFERENCIA.NaoDesonerado),2)</f>
        <v>0</v>
      </c>
      <c r="AH44" s="499">
        <f t="shared" ca="1" si="42"/>
        <v>0.22869999999999999</v>
      </c>
      <c r="AJ44" s="501"/>
      <c r="AL44" s="527"/>
      <c r="AM44" s="380">
        <f t="shared" ca="1" si="0"/>
        <v>0</v>
      </c>
      <c r="AN44" s="566">
        <f t="shared" ca="1" si="43"/>
        <v>0</v>
      </c>
    </row>
    <row r="45" spans="1:40" x14ac:dyDescent="0.2">
      <c r="A45">
        <f t="shared" ref="A45:A48" si="56">CHOOSE(1+LOG(1+2*(ORÇAMENTO.Nivel="Meta")+4*(ORÇAMENTO.Nivel="Nível 2")+8*(ORÇAMENTO.Nivel="Nível 3")+16*(ORÇAMENTO.Nivel="Nível 4")+32*(ORÇAMENTO.Nivel="Serviço"),2),0,1,2,3,4,"S")</f>
        <v>2</v>
      </c>
      <c r="B45">
        <f t="shared" ref="B45:B48" ca="1" si="57">IF(OR(C45="s",C45=0),OFFSET(B45,-1,0),C45)</f>
        <v>2</v>
      </c>
      <c r="C45">
        <f t="shared" ref="C45:C48" ca="1" si="58">IF(OFFSET(C45,-1,0)="L",1,IF(OFFSET(C45,-1,0)=1,2,IF(OR(A45="s",A45=0),"S",IF(AND(OFFSET(C45,-1,0)=2,A45=4),3,IF(AND(OR(OFFSET(C45,-1,0)="s",OFFSET(C45,-1,0)=0),A45&lt;&gt;"s",A45&gt;OFFSET(B45,-1,0)),OFFSET(B45,-1,0),A45)))))</f>
        <v>2</v>
      </c>
      <c r="D45">
        <f t="shared" ref="D45:D48" ca="1" si="59">IF(OR(C45="S",C45=0),0,IF(ISERROR(K45),J45,SMALL(J45:K45,1)))</f>
        <v>4</v>
      </c>
      <c r="E45">
        <f ca="1">IF($C45=1,OFFSET(E45,-1,0)+MAX(1,COUNTIF(QCI!$A$13:$A$15,OFFSET(ORÇAMENTO!E45,-1,0))),OFFSET(E45,-1,0))</f>
        <v>1</v>
      </c>
      <c r="F45">
        <f t="shared" ref="F45:F48" ca="1" si="60">IF($C45=1,0,IF($C45=2,OFFSET(F45,-1,0)+1,OFFSET(F45,-1,0)))</f>
        <v>10</v>
      </c>
      <c r="G45">
        <f t="shared" ref="G45:G48" ca="1" si="61">IF(AND($C45&lt;=2,$C45&lt;&gt;0),0,IF($C45=3,OFFSET(G45,-1,0)+1,OFFSET(G45,-1,0)))</f>
        <v>0</v>
      </c>
      <c r="H45">
        <f t="shared" ref="H45:H48" ca="1" si="62">IF(AND($C45&lt;=3,$C45&lt;&gt;0),0,IF($C45=4,OFFSET(H45,-1,0)+1,OFFSET(H45,-1,0)))</f>
        <v>0</v>
      </c>
      <c r="I45">
        <f t="shared" ref="I45:I48" ca="1" si="63">IF(AND($C45&lt;=4,$C45&lt;&gt;0),0,IF(AND($C45="S",$X45&gt;0),OFFSET(I45,-1,0)+1,OFFSET(I45,-1,0)))</f>
        <v>0</v>
      </c>
      <c r="J45">
        <f t="shared" ca="1" si="9"/>
        <v>4</v>
      </c>
      <c r="K45" t="e">
        <f ca="1">IF(OR($C45="S",$C45=0),0,MATCH(OFFSET($D45,0,$C45)+IF($C45&lt;&gt;1,1,COUNTIF(QCI!$A$13:$A$15,ORÇAMENTO!E45)),OFFSET($D45,1,$C45,ROW($C$49)-ROW($C45)),0))</f>
        <v>#N/A</v>
      </c>
      <c r="L45" s="116" t="str">
        <f t="shared" ref="L45:L48" ca="1" si="64">IF(OR($X45&gt;0,$C45=1,$C45=2,$C45=3,$C45=4),"F","")</f>
        <v>F</v>
      </c>
      <c r="M45" s="117" t="s">
        <v>198</v>
      </c>
      <c r="N45" s="118" t="str">
        <f t="shared" ref="N45:N48" ca="1" si="65">CHOOSE(1+LOG(1+2*(C45=1)+4*(C45=2)+8*(C45=3)+16*(C45=4)+32*(C45="S"),2),"","Meta","Nível 2","Nível 3","Nível 4","Serviço")</f>
        <v>Nível 2</v>
      </c>
      <c r="O45" s="119" t="str">
        <f t="shared" ref="O45:O48" ca="1" si="66">IF(OR($C45=0,$L45=""),"-",CONCATENATE(E45&amp;".",IF(AND($A$5&gt;=2,$C45&gt;=2),F45&amp;".",""),IF(AND($A$5&gt;=3,$C45&gt;=3),G45&amp;".",""),IF(AND($A$5&gt;=4,$C45&gt;=4),H45&amp;".",""),IF($C45="S",I45&amp;".","")))</f>
        <v>1.10.</v>
      </c>
      <c r="P45" s="120" t="s">
        <v>249</v>
      </c>
      <c r="Q45" s="121"/>
      <c r="R45" s="122" t="s">
        <v>458</v>
      </c>
      <c r="S45" s="123" t="str">
        <f t="shared" ref="S45:S48" ca="1" si="67">REFERENCIA.Unidade</f>
        <v>-</v>
      </c>
      <c r="T45" s="124">
        <f ca="1">OFFSET(CÁLCULO!H$15,ROW($T45)-ROW(T$15),0)</f>
        <v>0</v>
      </c>
      <c r="U45" s="125">
        <f t="shared" ca="1" si="54"/>
        <v>0</v>
      </c>
      <c r="V45" s="126" t="s">
        <v>158</v>
      </c>
      <c r="W45" s="124">
        <f t="shared" ref="W45:W48" ca="1" si="68">IF($C45="S",ROUND(IF(TIPOORCAMENTO="Proposto",ORÇAMENTO.CustoUnitario*(1+$AH45),ORÇAMENTO.PrecoUnitarioLicitado),15-13*$AF$10),0)</f>
        <v>0</v>
      </c>
      <c r="X45" s="127">
        <f t="shared" ref="X45:X48" ca="1" si="69">IF($C45="S",VTOTAL1,IF($C45=0,0,ROUND(SomaAgrup,15-13*$AF$11)))</f>
        <v>0</v>
      </c>
      <c r="Y45" s="128" t="s">
        <v>247</v>
      </c>
      <c r="Z45" t="str">
        <f t="shared" ref="Z45:Z48" ca="1" si="70">IF(AND($C45="S",$X45&gt;0),IF(ISBLANK($Y45),"RA",LEFT($Y45,2)),"")</f>
        <v/>
      </c>
      <c r="AA45" s="129">
        <f ca="1">IF($C45="S",IF($Z45="CP",$X45,IF($Z45="RA",(($X45)*QCI!$AA$3),0)),SomaAgrup)</f>
        <v>0</v>
      </c>
      <c r="AB45" s="130">
        <f t="shared" ref="AB45:AB48" ca="1" si="71">IF($C45="S",IF($Z45="OU",ROUND($X45,2),0),SomaAgrup)</f>
        <v>0</v>
      </c>
      <c r="AC45" s="131" t="str">
        <f t="shared" ref="AC45:AC48" ca="1" si="72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>
        <f ca="1">IF(C45&lt;=CRONO.NivelExibicao,MAX($AD$15:OFFSET(AD45,-1,0))+IF($C45&lt;&gt;1,1,MAX(1,COUNTIF(QCI!$A$13:$A$15,OFFSET($E45,-1,0)))),"")</f>
        <v>11</v>
      </c>
      <c r="AE45" s="7" t="b">
        <f t="shared" ref="AE45:AE48" ca="1" si="73">IF(AND($C45="S",ORÇAMENTO.CodBarra&lt;&gt;""),IF(ORÇAMENTO.Fonte="",ORÇAMENTO.CodBarra,CONCATENATE(ORÇAMENTO.Fonte," ",ORÇAMENTO.CodBarra)))</f>
        <v>0</v>
      </c>
      <c r="AF45" s="13" t="str">
        <f t="shared" ref="AF45:AF48" ca="1" si="74">IF(ISERROR(INDIRECT(ORÇAMENTO.BancoRef)),"(abra o arquivo 'Referência "&amp;Excel_BuiltIn_Database&amp;".xls)",IF(OR($C45&lt;&gt;"S",ORÇAMENTO.CodBarra=""),"(Sem Código)",IF(ISERROR(MATCH($AE45,INDIRECT(ORÇAMENTO.BancoRef),0)),"(Código não identificado nas referências)",MATCH($AE45,INDIRECT(ORÇAMENTO.BancoRef),0))))</f>
        <v>(abra o arquivo 'Referência 04-2024.xls)</v>
      </c>
      <c r="AG45" s="498">
        <f t="shared" ref="AG45:AG48" ca="1" si="75">ROUND(IF(DESONERACAO="sim",REFERENCIA.Desonerado,REFERENCIA.NaoDesonerado),2)</f>
        <v>0</v>
      </c>
      <c r="AH45" s="499">
        <f t="shared" ref="AH45:AH48" ca="1" si="76">ROUND(IF(ISNUMBER(ORÇAMENTO.OpcaoBDI),ORÇAMENTO.OpcaoBDI,IF(LEFT(ORÇAMENTO.OpcaoBDI,3)="BDI",HLOOKUP(ORÇAMENTO.OpcaoBDI,$F$4:$H$5,2,FALSE),0)),15-11*$AF$9)</f>
        <v>0.22869999999999999</v>
      </c>
      <c r="AJ45" s="501"/>
      <c r="AL45" s="527"/>
      <c r="AM45" s="380">
        <f t="shared" ca="1" si="0"/>
        <v>0</v>
      </c>
      <c r="AN45" s="566">
        <f t="shared" ref="AN45:AN48" ca="1" si="77">ROUND(ORÇAMENTO.CustoUnitario*(1+$AH45),2)</f>
        <v>0</v>
      </c>
    </row>
    <row r="46" spans="1:40" ht="25.5" x14ac:dyDescent="0.2">
      <c r="A46" t="str">
        <f t="shared" si="56"/>
        <v>S</v>
      </c>
      <c r="B46">
        <f t="shared" ca="1" si="57"/>
        <v>2</v>
      </c>
      <c r="C46" t="str">
        <f t="shared" ca="1" si="58"/>
        <v>S</v>
      </c>
      <c r="D46">
        <f t="shared" ca="1" si="59"/>
        <v>0</v>
      </c>
      <c r="E46">
        <f ca="1">IF($C46=1,OFFSET(E46,-1,0)+MAX(1,COUNTIF(QCI!$A$13:$A$15,OFFSET(ORÇAMENTO!E46,-1,0))),OFFSET(E46,-1,0))</f>
        <v>1</v>
      </c>
      <c r="F46">
        <f t="shared" ca="1" si="60"/>
        <v>10</v>
      </c>
      <c r="G46">
        <f t="shared" ca="1" si="61"/>
        <v>0</v>
      </c>
      <c r="H46">
        <f t="shared" ca="1" si="62"/>
        <v>0</v>
      </c>
      <c r="I46">
        <f t="shared" ca="1" si="63"/>
        <v>0</v>
      </c>
      <c r="J46">
        <f t="shared" ca="1" si="9"/>
        <v>0</v>
      </c>
      <c r="K46">
        <f ca="1">IF(OR($C46="S",$C46=0),0,MATCH(OFFSET($D46,0,$C46)+IF($C46&lt;&gt;1,1,COUNTIF(QCI!$A$13:$A$15,ORÇAMENTO!E46)),OFFSET($D46,1,$C46,ROW($C$49)-ROW($C46)),0))</f>
        <v>0</v>
      </c>
      <c r="L46" s="116" t="str">
        <f t="shared" ca="1" si="64"/>
        <v/>
      </c>
      <c r="M46" s="117" t="s">
        <v>201</v>
      </c>
      <c r="N46" s="118" t="str">
        <f t="shared" ca="1" si="65"/>
        <v>Serviço</v>
      </c>
      <c r="O46" s="119" t="str">
        <f t="shared" ca="1" si="66"/>
        <v>-</v>
      </c>
      <c r="P46" s="120" t="s">
        <v>460</v>
      </c>
      <c r="Q46" s="121" t="s">
        <v>459</v>
      </c>
      <c r="R46" s="122" t="str">
        <f ca="1">IF($C46="S",REFERENCIA.Descricao,"(digite a descrição aqui)")</f>
        <v>(abra o arquivo 'Referência 04-2024.xls)</v>
      </c>
      <c r="S46" s="123" t="str">
        <f t="shared" ca="1" si="67"/>
        <v>-</v>
      </c>
      <c r="T46" s="124">
        <f ca="1">OFFSET(CÁLCULO!H$15,ROW($T46)-ROW(T$15),0)</f>
        <v>2</v>
      </c>
      <c r="U46" s="125">
        <f t="shared" ref="U46:U48" ca="1" si="78">AG46</f>
        <v>0</v>
      </c>
      <c r="V46" s="126" t="s">
        <v>158</v>
      </c>
      <c r="W46" s="124">
        <f t="shared" ca="1" si="68"/>
        <v>0</v>
      </c>
      <c r="X46" s="127">
        <f t="shared" ca="1" si="69"/>
        <v>0</v>
      </c>
      <c r="Y46" s="128" t="s">
        <v>247</v>
      </c>
      <c r="Z46" t="str">
        <f t="shared" ca="1" si="70"/>
        <v/>
      </c>
      <c r="AA46" s="129">
        <f ca="1">IF($C46="S",IF($Z46="CP",$X46,IF($Z46="RA",(($X46)*QCI!$AA$3),0)),SomaAgrup)</f>
        <v>0</v>
      </c>
      <c r="AB46" s="130">
        <f t="shared" ca="1" si="71"/>
        <v>0</v>
      </c>
      <c r="AC46" s="131" t="str">
        <f t="shared" ca="1" si="72"/>
        <v/>
      </c>
      <c r="AD46" t="str">
        <f ca="1">IF(C46&lt;=CRONO.NivelExibicao,MAX($AD$15:OFFSET(AD46,-1,0))+IF($C46&lt;&gt;1,1,MAX(1,COUNTIF(QCI!$A$13:$A$15,OFFSET($E46,-1,0)))),"")</f>
        <v/>
      </c>
      <c r="AE46" s="7" t="str">
        <f t="shared" ca="1" si="73"/>
        <v>COMPOSIÇÃO 007</v>
      </c>
      <c r="AF46" s="13" t="str">
        <f t="shared" ca="1" si="74"/>
        <v>(abra o arquivo 'Referência 04-2024.xls)</v>
      </c>
      <c r="AG46" s="498">
        <f t="shared" ca="1" si="75"/>
        <v>0</v>
      </c>
      <c r="AH46" s="499">
        <f t="shared" ca="1" si="76"/>
        <v>0.22869999999999999</v>
      </c>
      <c r="AJ46" s="501">
        <v>4</v>
      </c>
      <c r="AL46" s="527"/>
      <c r="AM46" s="380">
        <f t="shared" ca="1" si="0"/>
        <v>0</v>
      </c>
      <c r="AN46" s="566">
        <f t="shared" ca="1" si="77"/>
        <v>0</v>
      </c>
    </row>
    <row r="47" spans="1:40" s="583" customFormat="1" ht="25.5" x14ac:dyDescent="0.2">
      <c r="A47" s="583" t="str">
        <f t="shared" si="56"/>
        <v>S</v>
      </c>
      <c r="B47" s="583">
        <f t="shared" ca="1" si="57"/>
        <v>2</v>
      </c>
      <c r="C47" s="583" t="str">
        <f t="shared" ca="1" si="58"/>
        <v>S</v>
      </c>
      <c r="D47" s="583">
        <f t="shared" ca="1" si="59"/>
        <v>0</v>
      </c>
      <c r="E47" s="583">
        <f ca="1">IF($C47=1,OFFSET(E47,-1,0)+MAX(1,COUNTIF(QCI!$A$13:$A$15,OFFSET(ORÇAMENTO!E47,-1,0))),OFFSET(E47,-1,0))</f>
        <v>1</v>
      </c>
      <c r="F47" s="583">
        <f t="shared" ca="1" si="60"/>
        <v>10</v>
      </c>
      <c r="G47" s="583">
        <f t="shared" ca="1" si="61"/>
        <v>0</v>
      </c>
      <c r="H47" s="583">
        <f t="shared" ca="1" si="62"/>
        <v>0</v>
      </c>
      <c r="I47" s="583">
        <f t="shared" ca="1" si="63"/>
        <v>0</v>
      </c>
      <c r="J47" s="583">
        <f t="shared" ref="J47:J48" ca="1" si="79">IF(OR($C47="S",$C47=0),0,MATCH(0,OFFSET($D47,1,$C47,ROW($C$49)-ROW($C47)),0))</f>
        <v>0</v>
      </c>
      <c r="K47" s="583">
        <f ca="1">IF(OR($C47="S",$C47=0),0,MATCH(OFFSET($D47,0,$C47)+IF($C47&lt;&gt;1,1,COUNTIF(QCI!$A$13:$A$15,ORÇAMENTO!E47)),OFFSET($D47,1,$C47,ROW($C$49)-ROW($C47)),0))</f>
        <v>0</v>
      </c>
      <c r="L47" s="116" t="str">
        <f t="shared" ca="1" si="64"/>
        <v/>
      </c>
      <c r="M47" s="117" t="s">
        <v>201</v>
      </c>
      <c r="N47" s="118" t="str">
        <f t="shared" ca="1" si="65"/>
        <v>Serviço</v>
      </c>
      <c r="O47" s="119" t="str">
        <f t="shared" ca="1" si="66"/>
        <v>-</v>
      </c>
      <c r="P47" s="120" t="s">
        <v>461</v>
      </c>
      <c r="Q47" s="121" t="s">
        <v>514</v>
      </c>
      <c r="R47" s="122" t="str">
        <f ca="1">IF($C47="S",REFERENCIA.Descricao,"(digite a descrição aqui)")</f>
        <v>(abra o arquivo 'Referência 04-2024.xls)</v>
      </c>
      <c r="S47" s="123" t="str">
        <f t="shared" ca="1" si="67"/>
        <v>-</v>
      </c>
      <c r="T47" s="124">
        <f ca="1">OFFSET(CÁLCULO!H$15,ROW($T47)-ROW(T$15),0)</f>
        <v>4</v>
      </c>
      <c r="U47" s="125">
        <f t="shared" ca="1" si="78"/>
        <v>0</v>
      </c>
      <c r="V47" s="126" t="s">
        <v>158</v>
      </c>
      <c r="W47" s="124">
        <f t="shared" ca="1" si="68"/>
        <v>0</v>
      </c>
      <c r="X47" s="127">
        <f t="shared" ca="1" si="69"/>
        <v>0</v>
      </c>
      <c r="Y47" s="128" t="s">
        <v>247</v>
      </c>
      <c r="Z47" s="583" t="str">
        <f t="shared" ca="1" si="70"/>
        <v/>
      </c>
      <c r="AA47" s="129">
        <f ca="1">IF($C47="S",IF($Z47="CP",$X47,IF($Z47="RA",(($X47)*QCI!$AA$3),0)),SomaAgrup)</f>
        <v>0</v>
      </c>
      <c r="AB47" s="130">
        <f t="shared" ca="1" si="71"/>
        <v>0</v>
      </c>
      <c r="AC47" s="131" t="str">
        <f t="shared" ca="1" si="72"/>
        <v/>
      </c>
      <c r="AD47" s="583" t="str">
        <f ca="1">IF(C47&lt;=CRONO.NivelExibicao,MAX($AD$15:OFFSET(AD47,-1,0))+IF($C47&lt;&gt;1,1,MAX(1,COUNTIF(QCI!$A$13:$A$15,OFFSET($E47,-1,0)))),"")</f>
        <v/>
      </c>
      <c r="AE47" s="7" t="str">
        <f t="shared" ca="1" si="73"/>
        <v>Composição 025</v>
      </c>
      <c r="AF47" s="582" t="str">
        <f t="shared" ca="1" si="74"/>
        <v>(abra o arquivo 'Referência 04-2024.xls)</v>
      </c>
      <c r="AG47" s="498">
        <f t="shared" ca="1" si="75"/>
        <v>0</v>
      </c>
      <c r="AH47" s="499">
        <f t="shared" ca="1" si="76"/>
        <v>0.22869999999999999</v>
      </c>
      <c r="AJ47" s="501"/>
      <c r="AL47" s="527"/>
      <c r="AM47" s="380">
        <f t="shared" ca="1" si="0"/>
        <v>0</v>
      </c>
      <c r="AN47" s="566">
        <f t="shared" ca="1" si="77"/>
        <v>0</v>
      </c>
    </row>
    <row r="48" spans="1:40" s="583" customFormat="1" ht="25.5" x14ac:dyDescent="0.2">
      <c r="A48" s="583" t="str">
        <f t="shared" si="56"/>
        <v>S</v>
      </c>
      <c r="B48" s="583">
        <f t="shared" ca="1" si="57"/>
        <v>2</v>
      </c>
      <c r="C48" s="583" t="str">
        <f t="shared" ca="1" si="58"/>
        <v>S</v>
      </c>
      <c r="D48" s="583">
        <f t="shared" ca="1" si="59"/>
        <v>0</v>
      </c>
      <c r="E48" s="583">
        <f ca="1">IF($C48=1,OFFSET(E48,-1,0)+MAX(1,COUNTIF(QCI!$A$13:$A$15,OFFSET(ORÇAMENTO!E48,-1,0))),OFFSET(E48,-1,0))</f>
        <v>1</v>
      </c>
      <c r="F48" s="583">
        <f t="shared" ca="1" si="60"/>
        <v>10</v>
      </c>
      <c r="G48" s="583">
        <f t="shared" ca="1" si="61"/>
        <v>0</v>
      </c>
      <c r="H48" s="583">
        <f t="shared" ca="1" si="62"/>
        <v>0</v>
      </c>
      <c r="I48" s="583">
        <f t="shared" ca="1" si="63"/>
        <v>0</v>
      </c>
      <c r="J48" s="583">
        <f t="shared" ca="1" si="79"/>
        <v>0</v>
      </c>
      <c r="K48" s="583">
        <f ca="1">IF(OR($C48="S",$C48=0),0,MATCH(OFFSET($D48,0,$C48)+IF($C48&lt;&gt;1,1,COUNTIF(QCI!$A$13:$A$15,ORÇAMENTO!E48)),OFFSET($D48,1,$C48,ROW($C$49)-ROW($C48)),0))</f>
        <v>0</v>
      </c>
      <c r="L48" s="116" t="str">
        <f t="shared" ca="1" si="64"/>
        <v/>
      </c>
      <c r="M48" s="117" t="s">
        <v>201</v>
      </c>
      <c r="N48" s="118" t="str">
        <f t="shared" ca="1" si="65"/>
        <v>Serviço</v>
      </c>
      <c r="O48" s="119" t="str">
        <f t="shared" ca="1" si="66"/>
        <v>-</v>
      </c>
      <c r="P48" s="120" t="s">
        <v>461</v>
      </c>
      <c r="Q48" s="121" t="s">
        <v>515</v>
      </c>
      <c r="R48" s="122" t="str">
        <f ca="1">IF($C48="S",REFERENCIA.Descricao,"(digite a descrição aqui)")</f>
        <v>(abra o arquivo 'Referência 04-2024.xls)</v>
      </c>
      <c r="S48" s="123" t="str">
        <f t="shared" ca="1" si="67"/>
        <v>-</v>
      </c>
      <c r="T48" s="124">
        <f ca="1">OFFSET(CÁLCULO!H$15,ROW($T48)-ROW(T$15),0)</f>
        <v>2</v>
      </c>
      <c r="U48" s="125">
        <f t="shared" ca="1" si="78"/>
        <v>0</v>
      </c>
      <c r="V48" s="126" t="s">
        <v>158</v>
      </c>
      <c r="W48" s="124">
        <f t="shared" ca="1" si="68"/>
        <v>0</v>
      </c>
      <c r="X48" s="127">
        <f t="shared" ca="1" si="69"/>
        <v>0</v>
      </c>
      <c r="Y48" s="128" t="s">
        <v>247</v>
      </c>
      <c r="Z48" s="583" t="str">
        <f t="shared" ca="1" si="70"/>
        <v/>
      </c>
      <c r="AA48" s="129">
        <f ca="1">IF($C48="S",IF($Z48="CP",$X48,IF($Z48="RA",(($X48)*QCI!$AA$3),0)),SomaAgrup)</f>
        <v>0</v>
      </c>
      <c r="AB48" s="130">
        <f t="shared" ca="1" si="71"/>
        <v>0</v>
      </c>
      <c r="AC48" s="131" t="str">
        <f t="shared" ca="1" si="72"/>
        <v/>
      </c>
      <c r="AD48" s="583" t="str">
        <f ca="1">IF(C48&lt;=CRONO.NivelExibicao,MAX($AD$15:OFFSET(AD48,-1,0))+IF($C48&lt;&gt;1,1,MAX(1,COUNTIF(QCI!$A$13:$A$15,OFFSET($E48,-1,0)))),"")</f>
        <v/>
      </c>
      <c r="AE48" s="7" t="str">
        <f t="shared" ca="1" si="73"/>
        <v>Composição 031</v>
      </c>
      <c r="AF48" s="582" t="str">
        <f t="shared" ca="1" si="74"/>
        <v>(abra o arquivo 'Referência 04-2024.xls)</v>
      </c>
      <c r="AG48" s="498">
        <f t="shared" ca="1" si="75"/>
        <v>0</v>
      </c>
      <c r="AH48" s="499">
        <f t="shared" ca="1" si="76"/>
        <v>0.22869999999999999</v>
      </c>
      <c r="AJ48" s="501"/>
      <c r="AL48" s="527"/>
      <c r="AM48" s="380">
        <f t="shared" ca="1" si="0"/>
        <v>0</v>
      </c>
      <c r="AN48" s="566">
        <f t="shared" ca="1" si="77"/>
        <v>0</v>
      </c>
    </row>
    <row r="49" spans="1:40" ht="5.0999999999999996" customHeight="1" x14ac:dyDescent="0.2">
      <c r="A49">
        <v>-1</v>
      </c>
      <c r="C49">
        <v>-1</v>
      </c>
      <c r="E49">
        <v>0</v>
      </c>
      <c r="F49">
        <v>0</v>
      </c>
      <c r="G49">
        <v>0</v>
      </c>
      <c r="H49">
        <v>0</v>
      </c>
      <c r="I49">
        <v>0</v>
      </c>
      <c r="L49" s="116" t="s">
        <v>248</v>
      </c>
      <c r="M49" s="492"/>
      <c r="N49" s="493"/>
      <c r="O49" s="492"/>
      <c r="P49" s="494"/>
      <c r="Q49" s="494"/>
      <c r="R49" s="494"/>
      <c r="S49" s="494"/>
      <c r="T49" s="494"/>
      <c r="U49" s="494"/>
      <c r="V49" s="494"/>
      <c r="W49" s="494"/>
      <c r="X49" s="493"/>
      <c r="AG49" s="484"/>
      <c r="AH49" s="486"/>
      <c r="AJ49" s="495"/>
      <c r="AL49" s="484"/>
      <c r="AM49" s="485"/>
      <c r="AN49" s="486"/>
    </row>
    <row r="52" spans="1:40" ht="14.25" x14ac:dyDescent="0.2">
      <c r="O52" s="140" t="s">
        <v>250</v>
      </c>
      <c r="Q52" s="627" t="s">
        <v>251</v>
      </c>
      <c r="R52" s="627"/>
      <c r="S52" s="627"/>
      <c r="T52" s="627"/>
      <c r="U52" s="627"/>
      <c r="V52" s="627"/>
      <c r="W52" s="627"/>
      <c r="X52" s="627"/>
    </row>
    <row r="54" spans="1:40" ht="14.25" x14ac:dyDescent="0.2">
      <c r="O54" s="141" t="s">
        <v>189</v>
      </c>
      <c r="X54" s="4"/>
    </row>
    <row r="55" spans="1:40" ht="12.75" customHeight="1" x14ac:dyDescent="0.2">
      <c r="O55" s="628"/>
      <c r="P55" s="628"/>
      <c r="Q55" s="628"/>
      <c r="R55" s="628"/>
      <c r="S55" s="628"/>
      <c r="T55" s="628"/>
      <c r="U55" s="628"/>
      <c r="V55" s="628"/>
      <c r="W55" s="628"/>
      <c r="X55" s="628"/>
    </row>
    <row r="56" spans="1:40" x14ac:dyDescent="0.2">
      <c r="O56" s="628"/>
      <c r="P56" s="628"/>
      <c r="Q56" s="628"/>
      <c r="R56" s="628"/>
      <c r="S56" s="628"/>
      <c r="T56" s="628"/>
      <c r="U56" s="628"/>
      <c r="V56" s="628"/>
      <c r="W56" s="628"/>
      <c r="X56" s="628"/>
    </row>
    <row r="57" spans="1:40" x14ac:dyDescent="0.2">
      <c r="O57" s="628"/>
      <c r="P57" s="628"/>
      <c r="Q57" s="628"/>
      <c r="R57" s="628"/>
      <c r="S57" s="628"/>
      <c r="T57" s="628"/>
      <c r="U57" s="628"/>
      <c r="V57" s="628"/>
      <c r="W57" s="628"/>
      <c r="X57" s="628"/>
    </row>
    <row r="58" spans="1:40" ht="14.25" x14ac:dyDescent="0.2">
      <c r="O58" s="534"/>
      <c r="P58" s="534"/>
      <c r="Q58" s="534"/>
      <c r="R58" s="534"/>
      <c r="S58" s="534"/>
      <c r="T58" s="534"/>
      <c r="U58" s="534"/>
      <c r="V58" s="534"/>
      <c r="W58" s="534"/>
      <c r="X58" s="534"/>
      <c r="Y58" s="534"/>
      <c r="Z58" s="142"/>
      <c r="AA58" s="142"/>
      <c r="AB58" s="142"/>
    </row>
    <row r="59" spans="1:40" ht="15" x14ac:dyDescent="0.25">
      <c r="O59" s="629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59" s="629"/>
      <c r="Q59" s="629"/>
      <c r="R59" s="629"/>
      <c r="S59" s="629"/>
      <c r="T59" s="629"/>
      <c r="U59" s="629"/>
      <c r="V59" s="629"/>
      <c r="W59" s="629"/>
      <c r="X59" s="629"/>
      <c r="Y59" s="143"/>
      <c r="Z59" s="143"/>
      <c r="AA59" s="143"/>
      <c r="AB59" s="143"/>
    </row>
    <row r="60" spans="1:40" ht="15" customHeight="1" x14ac:dyDescent="0.25">
      <c r="O60" s="631" t="s">
        <v>252</v>
      </c>
      <c r="P60" s="631"/>
      <c r="Q60" s="631"/>
      <c r="R60" s="631"/>
      <c r="S60" s="631"/>
      <c r="T60" s="631"/>
      <c r="U60" s="631"/>
      <c r="V60" s="631"/>
      <c r="W60" s="631"/>
      <c r="X60" s="631"/>
      <c r="Y60" s="143"/>
      <c r="Z60" s="143"/>
      <c r="AA60" s="143"/>
      <c r="AB60" s="143"/>
    </row>
    <row r="62" spans="1:40" ht="30" customHeight="1" x14ac:dyDescent="0.2">
      <c r="O62" s="630" t="str">
        <f>Import.Município</f>
        <v>Caçapava do Sul/RS</v>
      </c>
      <c r="P62" s="630"/>
      <c r="Q62" s="630"/>
      <c r="S62" s="553"/>
      <c r="T62" s="553"/>
      <c r="U62" s="553"/>
      <c r="V62" s="553"/>
      <c r="W62" s="479"/>
    </row>
    <row r="63" spans="1:40" x14ac:dyDescent="0.2">
      <c r="O63" s="10" t="s">
        <v>190</v>
      </c>
      <c r="S63" s="194" t="s">
        <v>192</v>
      </c>
      <c r="T63" s="194"/>
      <c r="U63" s="194"/>
      <c r="V63" s="194"/>
    </row>
    <row r="64" spans="1:40" x14ac:dyDescent="0.2">
      <c r="S64" s="78" t="s">
        <v>109</v>
      </c>
      <c r="T64" s="79" t="str">
        <f t="array" ref="T64:T66">Import.RespOrçamento</f>
        <v>Schaiane da Silva Lopes</v>
      </c>
      <c r="V64" s="80"/>
    </row>
    <row r="65" spans="15:22" x14ac:dyDescent="0.2">
      <c r="O65" s="625">
        <f ca="1">DADOS!$F$25</f>
        <v>45518</v>
      </c>
      <c r="P65" s="625"/>
      <c r="Q65" s="625"/>
      <c r="S65" s="78" t="s">
        <v>110</v>
      </c>
      <c r="T65" s="79" t="str">
        <v>RS142294-4</v>
      </c>
      <c r="U65" s="80"/>
      <c r="V65" s="80"/>
    </row>
    <row r="66" spans="15:22" x14ac:dyDescent="0.2">
      <c r="O66" s="146" t="s">
        <v>191</v>
      </c>
      <c r="P66" s="1"/>
      <c r="Q66" s="1"/>
      <c r="S66" s="78" t="s">
        <v>111</v>
      </c>
      <c r="T66" s="79" t="str">
        <v>12377498</v>
      </c>
      <c r="U66" s="80"/>
      <c r="V66" s="80"/>
    </row>
  </sheetData>
  <sheetProtection password="BD1F" sheet="1" objects="1" scenarios="1" autoFilter="0"/>
  <autoFilter ref="L15:L49"/>
  <mergeCells count="24">
    <mergeCell ref="O65:Q65"/>
    <mergeCell ref="O15:R15"/>
    <mergeCell ref="Q52:X52"/>
    <mergeCell ref="O55:X57"/>
    <mergeCell ref="O59:X59"/>
    <mergeCell ref="O62:Q62"/>
    <mergeCell ref="O60:X60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20 M32:M33 M22:M24 M46 M26 M43:M44">
    <cfRule type="cellIs" dxfId="546" priority="9550" stopIfTrue="1" operator="notEqual">
      <formula>$N14</formula>
    </cfRule>
  </conditionalFormatting>
  <conditionalFormatting sqref="N14:O14 R14 W14:X14 W24:X24 N24:O24 N20:O20 R20 W20:X20 N32:O33 W32:X33 R32:R33 N46:O46 W46:X46 N26:O26 W26:X26 R26:R28 N43:O44 W43:X44 R43:R48">
    <cfRule type="expression" dxfId="545" priority="9551" stopIfTrue="1">
      <formula>$C14=1</formula>
    </cfRule>
    <cfRule type="expression" dxfId="544" priority="9552" stopIfTrue="1">
      <formula>OR($C14=0,$C14=2,$C14=3,$C14=4)</formula>
    </cfRule>
  </conditionalFormatting>
  <conditionalFormatting sqref="U14:V14 V24 U20:V20 V32:V33 V46 V26 U21:U36 U38:U40 U42:U48 V43:V44">
    <cfRule type="expression" dxfId="543" priority="9553" stopIfTrue="1">
      <formula>$C14=1</formula>
    </cfRule>
    <cfRule type="expression" dxfId="542" priority="9554" stopIfTrue="1">
      <formula>OR($C14=0,$C14=2,$C14=3,$C14=4)</formula>
    </cfRule>
    <cfRule type="expression" dxfId="541" priority="9555" stopIfTrue="1">
      <formula>AND(TIPOORCAMENTO="Licitado",$C14&lt;&gt;"L",$C14&lt;&gt;-1)</formula>
    </cfRule>
  </conditionalFormatting>
  <conditionalFormatting sqref="P14:Q14 S14:T14 Y14 AG14:AH14 S22:T23 P20:Q20 S20:T20 Y20 AG20:AH20 P32:Q33 S32:T33 Y32:Y33 AG32:AH33 AG22:AH24 Y22:Y24 P22:Q24 P46:Q46 S46:T46 Y46 AG46:AH46 S26:T26 P26:Q26 Y26 AG26:AH26 P43:Q44 S43:T44 Y43:Y44 AG43:AH44">
    <cfRule type="expression" dxfId="540" priority="9556" stopIfTrue="1">
      <formula>$C14=1</formula>
    </cfRule>
    <cfRule type="expression" dxfId="539" priority="9557" stopIfTrue="1">
      <formula>OR($C14=0,$C14=2,$C14=3,$C14=4)</formula>
    </cfRule>
  </conditionalFormatting>
  <conditionalFormatting sqref="AJ7:AJ15 AJ20 AJ32:AJ33 AJ22:AJ24 AJ46 AJ26 AJ49 AJ43:AJ44">
    <cfRule type="expression" dxfId="538" priority="9558" stopIfTrue="1">
      <formula>OR(ACOMPANHAMENTO&lt;&gt;"BM",TIPOORCAMENTO="Licitado")</formula>
    </cfRule>
    <cfRule type="expression" dxfId="537" priority="9559" stopIfTrue="1">
      <formula>$C7=1</formula>
    </cfRule>
    <cfRule type="expression" dxfId="536" priority="9560" stopIfTrue="1">
      <formula>OR(AND(ISNUMBER($C7),$C7=0),$C7=2,$C7=3,$C7=4)</formula>
    </cfRule>
  </conditionalFormatting>
  <conditionalFormatting sqref="AL7:AL15 AL20 AL32:AL33 AL22:AL24 AL46 AL26 AL49 AL43:AL44">
    <cfRule type="expression" dxfId="535" priority="9561" stopIfTrue="1">
      <formula>TIPOORCAMENTO="PROPOSTO"</formula>
    </cfRule>
    <cfRule type="expression" dxfId="534" priority="9562" stopIfTrue="1">
      <formula>$C7=1</formula>
    </cfRule>
    <cfRule type="expression" dxfId="533" priority="9563" stopIfTrue="1">
      <formula>OR(AND(ISNUMBER($C7),$C7=0),$C7=2,$C7=3,$C7=4)</formula>
    </cfRule>
  </conditionalFormatting>
  <conditionalFormatting sqref="O8:P8">
    <cfRule type="expression" dxfId="532" priority="9567" stopIfTrue="1">
      <formula>ISERROR(INDIRECT($F$9))</formula>
    </cfRule>
  </conditionalFormatting>
  <conditionalFormatting sqref="AM7:AN15 AM24:AN24 AM20:AN20 AM32:AN33 AM46:AN46 AM26:AN26 AM49:AN49 AM43:AN44">
    <cfRule type="expression" dxfId="531" priority="9564" stopIfTrue="1">
      <formula>TIPOORCAMENTO="PROPOSTO"</formula>
    </cfRule>
    <cfRule type="expression" dxfId="530" priority="9565" stopIfTrue="1">
      <formula>$C7=1</formula>
    </cfRule>
    <cfRule type="expression" dxfId="529" priority="9566" stopIfTrue="1">
      <formula>OR(AND(ISNUMBER($C7),$C7=0),$C7=2,$C7=3,$C7=4)</formula>
    </cfRule>
  </conditionalFormatting>
  <conditionalFormatting sqref="M16 M19 M21">
    <cfRule type="cellIs" dxfId="528" priority="2232" stopIfTrue="1" operator="notEqual">
      <formula>$N16</formula>
    </cfRule>
  </conditionalFormatting>
  <conditionalFormatting sqref="R24 R16 N16:O16 W16:X16 W19:X19 N19:O19 R19 N21:O21 W21:X21">
    <cfRule type="expression" dxfId="527" priority="2233" stopIfTrue="1">
      <formula>$C16=1</formula>
    </cfRule>
    <cfRule type="expression" dxfId="526" priority="2234" stopIfTrue="1">
      <formula>OR($C16=0,$C16=2,$C16=3,$C16=4)</formula>
    </cfRule>
  </conditionalFormatting>
  <conditionalFormatting sqref="U16:V16 U19:V19 V21">
    <cfRule type="expression" dxfId="525" priority="2235" stopIfTrue="1">
      <formula>$C16=1</formula>
    </cfRule>
    <cfRule type="expression" dxfId="524" priority="2236" stopIfTrue="1">
      <formula>OR($C16=0,$C16=2,$C16=3,$C16=4)</formula>
    </cfRule>
    <cfRule type="expression" dxfId="523" priority="2237" stopIfTrue="1">
      <formula>AND(TIPOORCAMENTO="Licitado",$C16&lt;&gt;"L",$C16&lt;&gt;-1)</formula>
    </cfRule>
  </conditionalFormatting>
  <conditionalFormatting sqref="S24:T24 T21 S16:T16 P16:Q16 Y16 AG16:AH16 AG19:AH19 Y19 P19:Q19 S19:T19 P21:Q21 Y21 AG21:AH21">
    <cfRule type="expression" dxfId="522" priority="2238" stopIfTrue="1">
      <formula>$C16=1</formula>
    </cfRule>
    <cfRule type="expression" dxfId="521" priority="2239" stopIfTrue="1">
      <formula>OR($C16=0,$C16=2,$C16=3,$C16=4)</formula>
    </cfRule>
  </conditionalFormatting>
  <conditionalFormatting sqref="AJ16 AJ19 AJ21">
    <cfRule type="expression" dxfId="520" priority="2240" stopIfTrue="1">
      <formula>OR(ACOMPANHAMENTO&lt;&gt;"BM",TIPOORCAMENTO="Licitado")</formula>
    </cfRule>
    <cfRule type="expression" dxfId="519" priority="2241" stopIfTrue="1">
      <formula>$C16=1</formula>
    </cfRule>
    <cfRule type="expression" dxfId="518" priority="2242" stopIfTrue="1">
      <formula>OR(AND(ISNUMBER($C16),$C16=0),$C16=2,$C16=3,$C16=4)</formula>
    </cfRule>
  </conditionalFormatting>
  <conditionalFormatting sqref="AL16 AL19 AL21">
    <cfRule type="expression" dxfId="517" priority="2243" stopIfTrue="1">
      <formula>TIPOORCAMENTO="PROPOSTO"</formula>
    </cfRule>
    <cfRule type="expression" dxfId="516" priority="2244" stopIfTrue="1">
      <formula>$C16=1</formula>
    </cfRule>
    <cfRule type="expression" dxfId="515" priority="2245" stopIfTrue="1">
      <formula>OR(AND(ISNUMBER($C16),$C16=0),$C16=2,$C16=3,$C16=4)</formula>
    </cfRule>
  </conditionalFormatting>
  <conditionalFormatting sqref="AM16:AN16 AM19:AN19 AM21:AN21">
    <cfRule type="expression" dxfId="514" priority="2246" stopIfTrue="1">
      <formula>TIPOORCAMENTO="PROPOSTO"</formula>
    </cfRule>
    <cfRule type="expression" dxfId="513" priority="2247" stopIfTrue="1">
      <formula>$C16=1</formula>
    </cfRule>
    <cfRule type="expression" dxfId="512" priority="2248" stopIfTrue="1">
      <formula>OR(AND(ISNUMBER($C16),$C16=0),$C16=2,$C16=3,$C16=4)</formula>
    </cfRule>
  </conditionalFormatting>
  <conditionalFormatting sqref="R21">
    <cfRule type="expression" dxfId="511" priority="2109" stopIfTrue="1">
      <formula>$C21=1</formula>
    </cfRule>
    <cfRule type="expression" dxfId="510" priority="2110" stopIfTrue="1">
      <formula>OR($C21=0,$C21=2,$C21=3,$C21=4)</formula>
    </cfRule>
  </conditionalFormatting>
  <conditionalFormatting sqref="M45">
    <cfRule type="cellIs" dxfId="509" priority="1095" stopIfTrue="1" operator="notEqual">
      <formula>$N45</formula>
    </cfRule>
  </conditionalFormatting>
  <conditionalFormatting sqref="N45:O45 W45:X45">
    <cfRule type="expression" dxfId="508" priority="1096" stopIfTrue="1">
      <formula>$C45=1</formula>
    </cfRule>
    <cfRule type="expression" dxfId="507" priority="1097" stopIfTrue="1">
      <formula>OR($C45=0,$C45=2,$C45=3,$C45=4)</formula>
    </cfRule>
  </conditionalFormatting>
  <conditionalFormatting sqref="V45">
    <cfRule type="expression" dxfId="506" priority="1098" stopIfTrue="1">
      <formula>$C45=1</formula>
    </cfRule>
    <cfRule type="expression" dxfId="505" priority="1099" stopIfTrue="1">
      <formula>OR($C45=0,$C45=2,$C45=3,$C45=4)</formula>
    </cfRule>
    <cfRule type="expression" dxfId="504" priority="1100" stopIfTrue="1">
      <formula>AND(TIPOORCAMENTO="Licitado",$C45&lt;&gt;"L",$C45&lt;&gt;-1)</formula>
    </cfRule>
  </conditionalFormatting>
  <conditionalFormatting sqref="P45:Q45 S45:T45 Y45 AG45:AH45">
    <cfRule type="expression" dxfId="503" priority="1101" stopIfTrue="1">
      <formula>$C45=1</formula>
    </cfRule>
    <cfRule type="expression" dxfId="502" priority="1102" stopIfTrue="1">
      <formula>OR($C45=0,$C45=2,$C45=3,$C45=4)</formula>
    </cfRule>
  </conditionalFormatting>
  <conditionalFormatting sqref="AJ45">
    <cfRule type="expression" dxfId="501" priority="1103" stopIfTrue="1">
      <formula>OR(ACOMPANHAMENTO&lt;&gt;"BM",TIPOORCAMENTO="Licitado")</formula>
    </cfRule>
    <cfRule type="expression" dxfId="500" priority="1104" stopIfTrue="1">
      <formula>$C45=1</formula>
    </cfRule>
    <cfRule type="expression" dxfId="499" priority="1105" stopIfTrue="1">
      <formula>OR(AND(ISNUMBER($C45),$C45=0),$C45=2,$C45=3,$C45=4)</formula>
    </cfRule>
  </conditionalFormatting>
  <conditionalFormatting sqref="AL45">
    <cfRule type="expression" dxfId="498" priority="1106" stopIfTrue="1">
      <formula>TIPOORCAMENTO="PROPOSTO"</formula>
    </cfRule>
    <cfRule type="expression" dxfId="497" priority="1107" stopIfTrue="1">
      <formula>$C45=1</formula>
    </cfRule>
    <cfRule type="expression" dxfId="496" priority="1108" stopIfTrue="1">
      <formula>OR(AND(ISNUMBER($C45),$C45=0),$C45=2,$C45=3,$C45=4)</formula>
    </cfRule>
  </conditionalFormatting>
  <conditionalFormatting sqref="AM45:AN45">
    <cfRule type="expression" dxfId="495" priority="1109" stopIfTrue="1">
      <formula>TIPOORCAMENTO="PROPOSTO"</formula>
    </cfRule>
    <cfRule type="expression" dxfId="494" priority="1110" stopIfTrue="1">
      <formula>$C45=1</formula>
    </cfRule>
    <cfRule type="expression" dxfId="493" priority="1111" stopIfTrue="1">
      <formula>OR(AND(ISNUMBER($C45),$C45=0),$C45=2,$C45=3,$C45=4)</formula>
    </cfRule>
  </conditionalFormatting>
  <conditionalFormatting sqref="S21">
    <cfRule type="expression" dxfId="492" priority="999" stopIfTrue="1">
      <formula>$C21=1</formula>
    </cfRule>
    <cfRule type="expression" dxfId="491" priority="1000" stopIfTrue="1">
      <formula>OR($C21=0,$C21=2,$C21=3,$C21=4)</formula>
    </cfRule>
  </conditionalFormatting>
  <conditionalFormatting sqref="M30">
    <cfRule type="cellIs" dxfId="490" priority="762" stopIfTrue="1" operator="notEqual">
      <formula>$N30</formula>
    </cfRule>
  </conditionalFormatting>
  <conditionalFormatting sqref="N30:O30 R30 W30:X30">
    <cfRule type="expression" dxfId="489" priority="763" stopIfTrue="1">
      <formula>$C30=1</formula>
    </cfRule>
    <cfRule type="expression" dxfId="488" priority="764" stopIfTrue="1">
      <formula>OR($C30=0,$C30=2,$C30=3,$C30=4)</formula>
    </cfRule>
  </conditionalFormatting>
  <conditionalFormatting sqref="V30">
    <cfRule type="expression" dxfId="487" priority="765" stopIfTrue="1">
      <formula>$C30=1</formula>
    </cfRule>
    <cfRule type="expression" dxfId="486" priority="766" stopIfTrue="1">
      <formula>OR($C30=0,$C30=2,$C30=3,$C30=4)</formula>
    </cfRule>
    <cfRule type="expression" dxfId="485" priority="767" stopIfTrue="1">
      <formula>AND(TIPOORCAMENTO="Licitado",$C30&lt;&gt;"L",$C30&lt;&gt;-1)</formula>
    </cfRule>
  </conditionalFormatting>
  <conditionalFormatting sqref="P30:Q30 S30:T30 Y30 AG30:AH30">
    <cfRule type="expression" dxfId="484" priority="768" stopIfTrue="1">
      <formula>$C30=1</formula>
    </cfRule>
    <cfRule type="expression" dxfId="483" priority="769" stopIfTrue="1">
      <formula>OR($C30=0,$C30=2,$C30=3,$C30=4)</formula>
    </cfRule>
  </conditionalFormatting>
  <conditionalFormatting sqref="AJ30">
    <cfRule type="expression" dxfId="482" priority="770" stopIfTrue="1">
      <formula>OR(ACOMPANHAMENTO&lt;&gt;"BM",TIPOORCAMENTO="Licitado")</formula>
    </cfRule>
    <cfRule type="expression" dxfId="481" priority="771" stopIfTrue="1">
      <formula>$C30=1</formula>
    </cfRule>
    <cfRule type="expression" dxfId="480" priority="772" stopIfTrue="1">
      <formula>OR(AND(ISNUMBER($C30),$C30=0),$C30=2,$C30=3,$C30=4)</formula>
    </cfRule>
  </conditionalFormatting>
  <conditionalFormatting sqref="AL30">
    <cfRule type="expression" dxfId="479" priority="773" stopIfTrue="1">
      <formula>TIPOORCAMENTO="PROPOSTO"</formula>
    </cfRule>
    <cfRule type="expression" dxfId="478" priority="774" stopIfTrue="1">
      <formula>$C30=1</formula>
    </cfRule>
    <cfRule type="expression" dxfId="477" priority="775" stopIfTrue="1">
      <formula>OR(AND(ISNUMBER($C30),$C30=0),$C30=2,$C30=3,$C30=4)</formula>
    </cfRule>
  </conditionalFormatting>
  <conditionalFormatting sqref="AM30:AN30">
    <cfRule type="expression" dxfId="476" priority="776" stopIfTrue="1">
      <formula>TIPOORCAMENTO="PROPOSTO"</formula>
    </cfRule>
    <cfRule type="expression" dxfId="475" priority="777" stopIfTrue="1">
      <formula>$C30=1</formula>
    </cfRule>
    <cfRule type="expression" dxfId="474" priority="778" stopIfTrue="1">
      <formula>OR(AND(ISNUMBER($C30),$C30=0),$C30=2,$C30=3,$C30=4)</formula>
    </cfRule>
  </conditionalFormatting>
  <conditionalFormatting sqref="M31">
    <cfRule type="cellIs" dxfId="473" priority="660" stopIfTrue="1" operator="notEqual">
      <formula>$N31</formula>
    </cfRule>
  </conditionalFormatting>
  <conditionalFormatting sqref="N31:O31 R31 W31:X31">
    <cfRule type="expression" dxfId="472" priority="661" stopIfTrue="1">
      <formula>$C31=1</formula>
    </cfRule>
    <cfRule type="expression" dxfId="471" priority="662" stopIfTrue="1">
      <formula>OR($C31=0,$C31=2,$C31=3,$C31=4)</formula>
    </cfRule>
  </conditionalFormatting>
  <conditionalFormatting sqref="V31">
    <cfRule type="expression" dxfId="470" priority="663" stopIfTrue="1">
      <formula>$C31=1</formula>
    </cfRule>
    <cfRule type="expression" dxfId="469" priority="664" stopIfTrue="1">
      <formula>OR($C31=0,$C31=2,$C31=3,$C31=4)</formula>
    </cfRule>
    <cfRule type="expression" dxfId="468" priority="665" stopIfTrue="1">
      <formula>AND(TIPOORCAMENTO="Licitado",$C31&lt;&gt;"L",$C31&lt;&gt;-1)</formula>
    </cfRule>
  </conditionalFormatting>
  <conditionalFormatting sqref="P31 S31:T31 Y31 AG31:AH31">
    <cfRule type="expression" dxfId="467" priority="666" stopIfTrue="1">
      <formula>$C31=1</formula>
    </cfRule>
    <cfRule type="expression" dxfId="466" priority="667" stopIfTrue="1">
      <formula>OR($C31=0,$C31=2,$C31=3,$C31=4)</formula>
    </cfRule>
  </conditionalFormatting>
  <conditionalFormatting sqref="AJ31">
    <cfRule type="expression" dxfId="465" priority="668" stopIfTrue="1">
      <formula>OR(ACOMPANHAMENTO&lt;&gt;"BM",TIPOORCAMENTO="Licitado")</formula>
    </cfRule>
    <cfRule type="expression" dxfId="464" priority="669" stopIfTrue="1">
      <formula>$C31=1</formula>
    </cfRule>
    <cfRule type="expression" dxfId="463" priority="670" stopIfTrue="1">
      <formula>OR(AND(ISNUMBER($C31),$C31=0),$C31=2,$C31=3,$C31=4)</formula>
    </cfRule>
  </conditionalFormatting>
  <conditionalFormatting sqref="AL31">
    <cfRule type="expression" dxfId="462" priority="671" stopIfTrue="1">
      <formula>TIPOORCAMENTO="PROPOSTO"</formula>
    </cfRule>
    <cfRule type="expression" dxfId="461" priority="672" stopIfTrue="1">
      <formula>$C31=1</formula>
    </cfRule>
    <cfRule type="expression" dxfId="460" priority="673" stopIfTrue="1">
      <formula>OR(AND(ISNUMBER($C31),$C31=0),$C31=2,$C31=3,$C31=4)</formula>
    </cfRule>
  </conditionalFormatting>
  <conditionalFormatting sqref="AM31:AN31">
    <cfRule type="expression" dxfId="459" priority="674" stopIfTrue="1">
      <formula>TIPOORCAMENTO="PROPOSTO"</formula>
    </cfRule>
    <cfRule type="expression" dxfId="458" priority="675" stopIfTrue="1">
      <formula>$C31=1</formula>
    </cfRule>
    <cfRule type="expression" dxfId="457" priority="676" stopIfTrue="1">
      <formula>OR(AND(ISNUMBER($C31),$C31=0),$C31=2,$C31=3,$C31=4)</formula>
    </cfRule>
  </conditionalFormatting>
  <conditionalFormatting sqref="Q31">
    <cfRule type="expression" dxfId="456" priority="658" stopIfTrue="1">
      <formula>$C31=1</formula>
    </cfRule>
    <cfRule type="expression" dxfId="455" priority="659" stopIfTrue="1">
      <formula>OR($C31=0,$C31=2,$C31=3,$C31=4)</formula>
    </cfRule>
  </conditionalFormatting>
  <conditionalFormatting sqref="M25">
    <cfRule type="cellIs" dxfId="454" priority="502" stopIfTrue="1" operator="notEqual">
      <formula>$N25</formula>
    </cfRule>
  </conditionalFormatting>
  <conditionalFormatting sqref="N25:O25 R25 W25:X25">
    <cfRule type="expression" dxfId="453" priority="503" stopIfTrue="1">
      <formula>$C25=1</formula>
    </cfRule>
    <cfRule type="expression" dxfId="452" priority="504" stopIfTrue="1">
      <formula>OR($C25=0,$C25=2,$C25=3,$C25=4)</formula>
    </cfRule>
  </conditionalFormatting>
  <conditionalFormatting sqref="V25">
    <cfRule type="expression" dxfId="451" priority="505" stopIfTrue="1">
      <formula>$C25=1</formula>
    </cfRule>
    <cfRule type="expression" dxfId="450" priority="506" stopIfTrue="1">
      <formula>OR($C25=0,$C25=2,$C25=3,$C25=4)</formula>
    </cfRule>
    <cfRule type="expression" dxfId="449" priority="507" stopIfTrue="1">
      <formula>AND(TIPOORCAMENTO="Licitado",$C25&lt;&gt;"L",$C25&lt;&gt;-1)</formula>
    </cfRule>
  </conditionalFormatting>
  <conditionalFormatting sqref="P25:Q25 S25:T25 Y25 AG25:AH25">
    <cfRule type="expression" dxfId="448" priority="508" stopIfTrue="1">
      <formula>$C25=1</formula>
    </cfRule>
    <cfRule type="expression" dxfId="447" priority="509" stopIfTrue="1">
      <formula>OR($C25=0,$C25=2,$C25=3,$C25=4)</formula>
    </cfRule>
  </conditionalFormatting>
  <conditionalFormatting sqref="AJ25">
    <cfRule type="expression" dxfId="446" priority="510" stopIfTrue="1">
      <formula>OR(ACOMPANHAMENTO&lt;&gt;"BM",TIPOORCAMENTO="Licitado")</formula>
    </cfRule>
    <cfRule type="expression" dxfId="445" priority="511" stopIfTrue="1">
      <formula>$C25=1</formula>
    </cfRule>
    <cfRule type="expression" dxfId="444" priority="512" stopIfTrue="1">
      <formula>OR(AND(ISNUMBER($C25),$C25=0),$C25=2,$C25=3,$C25=4)</formula>
    </cfRule>
  </conditionalFormatting>
  <conditionalFormatting sqref="AL25">
    <cfRule type="expression" dxfId="443" priority="513" stopIfTrue="1">
      <formula>TIPOORCAMENTO="PROPOSTO"</formula>
    </cfRule>
    <cfRule type="expression" dxfId="442" priority="514" stopIfTrue="1">
      <formula>$C25=1</formula>
    </cfRule>
    <cfRule type="expression" dxfId="441" priority="515" stopIfTrue="1">
      <formula>OR(AND(ISNUMBER($C25),$C25=0),$C25=2,$C25=3,$C25=4)</formula>
    </cfRule>
  </conditionalFormatting>
  <conditionalFormatting sqref="AM25:AN25">
    <cfRule type="expression" dxfId="440" priority="516" stopIfTrue="1">
      <formula>TIPOORCAMENTO="PROPOSTO"</formula>
    </cfRule>
    <cfRule type="expression" dxfId="439" priority="517" stopIfTrue="1">
      <formula>$C25=1</formula>
    </cfRule>
    <cfRule type="expression" dxfId="438" priority="518" stopIfTrue="1">
      <formula>OR(AND(ISNUMBER($C25),$C25=0),$C25=2,$C25=3,$C25=4)</formula>
    </cfRule>
  </conditionalFormatting>
  <conditionalFormatting sqref="M29">
    <cfRule type="cellIs" dxfId="437" priority="485" stopIfTrue="1" operator="notEqual">
      <formula>$N29</formula>
    </cfRule>
  </conditionalFormatting>
  <conditionalFormatting sqref="N29:O29 R29 W29:X29">
    <cfRule type="expression" dxfId="436" priority="486" stopIfTrue="1">
      <formula>$C29=1</formula>
    </cfRule>
    <cfRule type="expression" dxfId="435" priority="487" stopIfTrue="1">
      <formula>OR($C29=0,$C29=2,$C29=3,$C29=4)</formula>
    </cfRule>
  </conditionalFormatting>
  <conditionalFormatting sqref="V29">
    <cfRule type="expression" dxfId="434" priority="488" stopIfTrue="1">
      <formula>$C29=1</formula>
    </cfRule>
    <cfRule type="expression" dxfId="433" priority="489" stopIfTrue="1">
      <formula>OR($C29=0,$C29=2,$C29=3,$C29=4)</formula>
    </cfRule>
    <cfRule type="expression" dxfId="432" priority="490" stopIfTrue="1">
      <formula>AND(TIPOORCAMENTO="Licitado",$C29&lt;&gt;"L",$C29&lt;&gt;-1)</formula>
    </cfRule>
  </conditionalFormatting>
  <conditionalFormatting sqref="P29:Q29 S29:T29 Y29 AG29:AH29">
    <cfRule type="expression" dxfId="431" priority="491" stopIfTrue="1">
      <formula>$C29=1</formula>
    </cfRule>
    <cfRule type="expression" dxfId="430" priority="492" stopIfTrue="1">
      <formula>OR($C29=0,$C29=2,$C29=3,$C29=4)</formula>
    </cfRule>
  </conditionalFormatting>
  <conditionalFormatting sqref="AJ29">
    <cfRule type="expression" dxfId="429" priority="493" stopIfTrue="1">
      <formula>OR(ACOMPANHAMENTO&lt;&gt;"BM",TIPOORCAMENTO="Licitado")</formula>
    </cfRule>
    <cfRule type="expression" dxfId="428" priority="494" stopIfTrue="1">
      <formula>$C29=1</formula>
    </cfRule>
    <cfRule type="expression" dxfId="427" priority="495" stopIfTrue="1">
      <formula>OR(AND(ISNUMBER($C29),$C29=0),$C29=2,$C29=3,$C29=4)</formula>
    </cfRule>
  </conditionalFormatting>
  <conditionalFormatting sqref="AL29">
    <cfRule type="expression" dxfId="426" priority="496" stopIfTrue="1">
      <formula>TIPOORCAMENTO="PROPOSTO"</formula>
    </cfRule>
    <cfRule type="expression" dxfId="425" priority="497" stopIfTrue="1">
      <formula>$C29=1</formula>
    </cfRule>
    <cfRule type="expression" dxfId="424" priority="498" stopIfTrue="1">
      <formula>OR(AND(ISNUMBER($C29),$C29=0),$C29=2,$C29=3,$C29=4)</formula>
    </cfRule>
  </conditionalFormatting>
  <conditionalFormatting sqref="AM29:AN29">
    <cfRule type="expression" dxfId="423" priority="499" stopIfTrue="1">
      <formula>TIPOORCAMENTO="PROPOSTO"</formula>
    </cfRule>
    <cfRule type="expression" dxfId="422" priority="500" stopIfTrue="1">
      <formula>$C29=1</formula>
    </cfRule>
    <cfRule type="expression" dxfId="421" priority="501" stopIfTrue="1">
      <formula>OR(AND(ISNUMBER($C29),$C29=0),$C29=2,$C29=3,$C29=4)</formula>
    </cfRule>
  </conditionalFormatting>
  <conditionalFormatting sqref="M40">
    <cfRule type="cellIs" dxfId="420" priority="451" stopIfTrue="1" operator="notEqual">
      <formula>$N40</formula>
    </cfRule>
  </conditionalFormatting>
  <conditionalFormatting sqref="W40:X40 R40 N40:O40">
    <cfRule type="expression" dxfId="419" priority="452" stopIfTrue="1">
      <formula>$C40=1</formula>
    </cfRule>
    <cfRule type="expression" dxfId="418" priority="453" stopIfTrue="1">
      <formula>OR($C40=0,$C40=2,$C40=3,$C40=4)</formula>
    </cfRule>
  </conditionalFormatting>
  <conditionalFormatting sqref="V40">
    <cfRule type="expression" dxfId="417" priority="454" stopIfTrue="1">
      <formula>$C40=1</formula>
    </cfRule>
    <cfRule type="expression" dxfId="416" priority="455" stopIfTrue="1">
      <formula>OR($C40=0,$C40=2,$C40=3,$C40=4)</formula>
    </cfRule>
    <cfRule type="expression" dxfId="415" priority="456" stopIfTrue="1">
      <formula>AND(TIPOORCAMENTO="Licitado",$C40&lt;&gt;"L",$C40&lt;&gt;-1)</formula>
    </cfRule>
  </conditionalFormatting>
  <conditionalFormatting sqref="AG40:AH40 Y40 S40:T40 P40:Q40">
    <cfRule type="expression" dxfId="414" priority="457" stopIfTrue="1">
      <formula>$C40=1</formula>
    </cfRule>
    <cfRule type="expression" dxfId="413" priority="458" stopIfTrue="1">
      <formula>OR($C40=0,$C40=2,$C40=3,$C40=4)</formula>
    </cfRule>
  </conditionalFormatting>
  <conditionalFormatting sqref="AJ40">
    <cfRule type="expression" dxfId="412" priority="459" stopIfTrue="1">
      <formula>OR(ACOMPANHAMENTO&lt;&gt;"BM",TIPOORCAMENTO="Licitado")</formula>
    </cfRule>
    <cfRule type="expression" dxfId="411" priority="460" stopIfTrue="1">
      <formula>$C40=1</formula>
    </cfRule>
    <cfRule type="expression" dxfId="410" priority="461" stopIfTrue="1">
      <formula>OR(AND(ISNUMBER($C40),$C40=0),$C40=2,$C40=3,$C40=4)</formula>
    </cfRule>
  </conditionalFormatting>
  <conditionalFormatting sqref="AL40">
    <cfRule type="expression" dxfId="409" priority="462" stopIfTrue="1">
      <formula>TIPOORCAMENTO="PROPOSTO"</formula>
    </cfRule>
    <cfRule type="expression" dxfId="408" priority="463" stopIfTrue="1">
      <formula>$C40=1</formula>
    </cfRule>
    <cfRule type="expression" dxfId="407" priority="464" stopIfTrue="1">
      <formula>OR(AND(ISNUMBER($C40),$C40=0),$C40=2,$C40=3,$C40=4)</formula>
    </cfRule>
  </conditionalFormatting>
  <conditionalFormatting sqref="AM40:AN40">
    <cfRule type="expression" dxfId="406" priority="465" stopIfTrue="1">
      <formula>TIPOORCAMENTO="PROPOSTO"</formula>
    </cfRule>
    <cfRule type="expression" dxfId="405" priority="466" stopIfTrue="1">
      <formula>$C40=1</formula>
    </cfRule>
    <cfRule type="expression" dxfId="404" priority="467" stopIfTrue="1">
      <formula>OR(AND(ISNUMBER($C40),$C40=0),$C40=2,$C40=3,$C40=4)</formula>
    </cfRule>
  </conditionalFormatting>
  <conditionalFormatting sqref="M17:M18">
    <cfRule type="cellIs" dxfId="403" priority="349" stopIfTrue="1" operator="notEqual">
      <formula>$N17</formula>
    </cfRule>
  </conditionalFormatting>
  <conditionalFormatting sqref="N17:O18 R17:R18 W17:X18">
    <cfRule type="expression" dxfId="402" priority="350" stopIfTrue="1">
      <formula>$C17=1</formula>
    </cfRule>
    <cfRule type="expression" dxfId="401" priority="351" stopIfTrue="1">
      <formula>OR($C17=0,$C17=2,$C17=3,$C17=4)</formula>
    </cfRule>
  </conditionalFormatting>
  <conditionalFormatting sqref="U17:V18">
    <cfRule type="expression" dxfId="400" priority="352" stopIfTrue="1">
      <formula>$C17=1</formula>
    </cfRule>
    <cfRule type="expression" dxfId="399" priority="353" stopIfTrue="1">
      <formula>OR($C17=0,$C17=2,$C17=3,$C17=4)</formula>
    </cfRule>
    <cfRule type="expression" dxfId="398" priority="354" stopIfTrue="1">
      <formula>AND(TIPOORCAMENTO="Licitado",$C17&lt;&gt;"L",$C17&lt;&gt;-1)</formula>
    </cfRule>
  </conditionalFormatting>
  <conditionalFormatting sqref="P17:Q18 S17:T18 Y17:Y18 AG17:AH18">
    <cfRule type="expression" dxfId="397" priority="355" stopIfTrue="1">
      <formula>$C17=1</formula>
    </cfRule>
    <cfRule type="expression" dxfId="396" priority="356" stopIfTrue="1">
      <formula>OR($C17=0,$C17=2,$C17=3,$C17=4)</formula>
    </cfRule>
  </conditionalFormatting>
  <conditionalFormatting sqref="AJ17:AJ18">
    <cfRule type="expression" dxfId="395" priority="357" stopIfTrue="1">
      <formula>OR(ACOMPANHAMENTO&lt;&gt;"BM",TIPOORCAMENTO="Licitado")</formula>
    </cfRule>
    <cfRule type="expression" dxfId="394" priority="358" stopIfTrue="1">
      <formula>$C17=1</formula>
    </cfRule>
    <cfRule type="expression" dxfId="393" priority="359" stopIfTrue="1">
      <formula>OR(AND(ISNUMBER($C17),$C17=0),$C17=2,$C17=3,$C17=4)</formula>
    </cfRule>
  </conditionalFormatting>
  <conditionalFormatting sqref="AL17:AL18">
    <cfRule type="expression" dxfId="392" priority="360" stopIfTrue="1">
      <formula>TIPOORCAMENTO="PROPOSTO"</formula>
    </cfRule>
    <cfRule type="expression" dxfId="391" priority="361" stopIfTrue="1">
      <formula>$C17=1</formula>
    </cfRule>
    <cfRule type="expression" dxfId="390" priority="362" stopIfTrue="1">
      <formula>OR(AND(ISNUMBER($C17),$C17=0),$C17=2,$C17=3,$C17=4)</formula>
    </cfRule>
  </conditionalFormatting>
  <conditionalFormatting sqref="AM17:AN18">
    <cfRule type="expression" dxfId="389" priority="363" stopIfTrue="1">
      <formula>TIPOORCAMENTO="PROPOSTO"</formula>
    </cfRule>
    <cfRule type="expression" dxfId="388" priority="364" stopIfTrue="1">
      <formula>$C17=1</formula>
    </cfRule>
    <cfRule type="expression" dxfId="387" priority="365" stopIfTrue="1">
      <formula>OR(AND(ISNUMBER($C17),$C17=0),$C17=2,$C17=3,$C17=4)</formula>
    </cfRule>
  </conditionalFormatting>
  <conditionalFormatting sqref="N22:O23 R22:R23 W22:X23">
    <cfRule type="expression" dxfId="386" priority="307" stopIfTrue="1">
      <formula>$C22=1</formula>
    </cfRule>
    <cfRule type="expression" dxfId="385" priority="308" stopIfTrue="1">
      <formula>OR($C22=0,$C22=2,$C22=3,$C22=4)</formula>
    </cfRule>
  </conditionalFormatting>
  <conditionalFormatting sqref="V22:V23">
    <cfRule type="expression" dxfId="384" priority="309" stopIfTrue="1">
      <formula>$C22=1</formula>
    </cfRule>
    <cfRule type="expression" dxfId="383" priority="310" stopIfTrue="1">
      <formula>OR($C22=0,$C22=2,$C22=3,$C22=4)</formula>
    </cfRule>
    <cfRule type="expression" dxfId="382" priority="311" stopIfTrue="1">
      <formula>AND(TIPOORCAMENTO="Licitado",$C22&lt;&gt;"L",$C22&lt;&gt;-1)</formula>
    </cfRule>
  </conditionalFormatting>
  <conditionalFormatting sqref="AM22:AN23">
    <cfRule type="expression" dxfId="381" priority="312" stopIfTrue="1">
      <formula>TIPOORCAMENTO="PROPOSTO"</formula>
    </cfRule>
    <cfRule type="expression" dxfId="380" priority="313" stopIfTrue="1">
      <formula>$C22=1</formula>
    </cfRule>
    <cfRule type="expression" dxfId="379" priority="314" stopIfTrue="1">
      <formula>OR(AND(ISNUMBER($C22),$C22=0),$C22=2,$C22=3,$C22=4)</formula>
    </cfRule>
  </conditionalFormatting>
  <conditionalFormatting sqref="M42">
    <cfRule type="cellIs" dxfId="378" priority="205" stopIfTrue="1" operator="notEqual">
      <formula>$N42</formula>
    </cfRule>
  </conditionalFormatting>
  <conditionalFormatting sqref="N42:O42 R42 W42:X42">
    <cfRule type="expression" dxfId="377" priority="206" stopIfTrue="1">
      <formula>$C42=1</formula>
    </cfRule>
    <cfRule type="expression" dxfId="376" priority="207" stopIfTrue="1">
      <formula>OR($C42=0,$C42=2,$C42=3,$C42=4)</formula>
    </cfRule>
  </conditionalFormatting>
  <conditionalFormatting sqref="V42">
    <cfRule type="expression" dxfId="375" priority="208" stopIfTrue="1">
      <formula>$C42=1</formula>
    </cfRule>
    <cfRule type="expression" dxfId="374" priority="209" stopIfTrue="1">
      <formula>OR($C42=0,$C42=2,$C42=3,$C42=4)</formula>
    </cfRule>
    <cfRule type="expression" dxfId="373" priority="210" stopIfTrue="1">
      <formula>AND(TIPOORCAMENTO="Licitado",$C42&lt;&gt;"L",$C42&lt;&gt;-1)</formula>
    </cfRule>
  </conditionalFormatting>
  <conditionalFormatting sqref="P42:Q42 S42:T42 Y42 AG42:AH42">
    <cfRule type="expression" dxfId="372" priority="211" stopIfTrue="1">
      <formula>$C42=1</formula>
    </cfRule>
    <cfRule type="expression" dxfId="371" priority="212" stopIfTrue="1">
      <formula>OR($C42=0,$C42=2,$C42=3,$C42=4)</formula>
    </cfRule>
  </conditionalFormatting>
  <conditionalFormatting sqref="AJ42">
    <cfRule type="expression" dxfId="370" priority="213" stopIfTrue="1">
      <formula>OR(ACOMPANHAMENTO&lt;&gt;"BM",TIPOORCAMENTO="Licitado")</formula>
    </cfRule>
    <cfRule type="expression" dxfId="369" priority="214" stopIfTrue="1">
      <formula>$C42=1</formula>
    </cfRule>
    <cfRule type="expression" dxfId="368" priority="215" stopIfTrue="1">
      <formula>OR(AND(ISNUMBER($C42),$C42=0),$C42=2,$C42=3,$C42=4)</formula>
    </cfRule>
  </conditionalFormatting>
  <conditionalFormatting sqref="AL42">
    <cfRule type="expression" dxfId="367" priority="216" stopIfTrue="1">
      <formula>TIPOORCAMENTO="PROPOSTO"</formula>
    </cfRule>
    <cfRule type="expression" dxfId="366" priority="217" stopIfTrue="1">
      <formula>$C42=1</formula>
    </cfRule>
    <cfRule type="expression" dxfId="365" priority="218" stopIfTrue="1">
      <formula>OR(AND(ISNUMBER($C42),$C42=0),$C42=2,$C42=3,$C42=4)</formula>
    </cfRule>
  </conditionalFormatting>
  <conditionalFormatting sqref="AM42:AN42">
    <cfRule type="expression" dxfId="364" priority="219" stopIfTrue="1">
      <formula>TIPOORCAMENTO="PROPOSTO"</formula>
    </cfRule>
    <cfRule type="expression" dxfId="363" priority="220" stopIfTrue="1">
      <formula>$C42=1</formula>
    </cfRule>
    <cfRule type="expression" dxfId="362" priority="221" stopIfTrue="1">
      <formula>OR(AND(ISNUMBER($C42),$C42=0),$C42=2,$C42=3,$C42=4)</formula>
    </cfRule>
  </conditionalFormatting>
  <conditionalFormatting sqref="M41">
    <cfRule type="cellIs" dxfId="361" priority="171" stopIfTrue="1" operator="notEqual">
      <formula>$N41</formula>
    </cfRule>
  </conditionalFormatting>
  <conditionalFormatting sqref="N41:O41 R41 W41:X41">
    <cfRule type="expression" dxfId="360" priority="172" stopIfTrue="1">
      <formula>$C41=1</formula>
    </cfRule>
    <cfRule type="expression" dxfId="359" priority="173" stopIfTrue="1">
      <formula>OR($C41=0,$C41=2,$C41=3,$C41=4)</formula>
    </cfRule>
  </conditionalFormatting>
  <conditionalFormatting sqref="U41:V41">
    <cfRule type="expression" dxfId="358" priority="174" stopIfTrue="1">
      <formula>$C41=1</formula>
    </cfRule>
    <cfRule type="expression" dxfId="357" priority="175" stopIfTrue="1">
      <formula>OR($C41=0,$C41=2,$C41=3,$C41=4)</formula>
    </cfRule>
    <cfRule type="expression" dxfId="356" priority="176" stopIfTrue="1">
      <formula>AND(TIPOORCAMENTO="Licitado",$C41&lt;&gt;"L",$C41&lt;&gt;-1)</formula>
    </cfRule>
  </conditionalFormatting>
  <conditionalFormatting sqref="P41:Q41 S41:T41 Y41 AG41:AH41">
    <cfRule type="expression" dxfId="355" priority="177" stopIfTrue="1">
      <formula>$C41=1</formula>
    </cfRule>
    <cfRule type="expression" dxfId="354" priority="178" stopIfTrue="1">
      <formula>OR($C41=0,$C41=2,$C41=3,$C41=4)</formula>
    </cfRule>
  </conditionalFormatting>
  <conditionalFormatting sqref="AJ41">
    <cfRule type="expression" dxfId="353" priority="179" stopIfTrue="1">
      <formula>OR(ACOMPANHAMENTO&lt;&gt;"BM",TIPOORCAMENTO="Licitado")</formula>
    </cfRule>
    <cfRule type="expression" dxfId="352" priority="180" stopIfTrue="1">
      <formula>$C41=1</formula>
    </cfRule>
    <cfRule type="expression" dxfId="351" priority="181" stopIfTrue="1">
      <formula>OR(AND(ISNUMBER($C41),$C41=0),$C41=2,$C41=3,$C41=4)</formula>
    </cfRule>
  </conditionalFormatting>
  <conditionalFormatting sqref="AL41">
    <cfRule type="expression" dxfId="350" priority="182" stopIfTrue="1">
      <formula>TIPOORCAMENTO="PROPOSTO"</formula>
    </cfRule>
    <cfRule type="expression" dxfId="349" priority="183" stopIfTrue="1">
      <formula>$C41=1</formula>
    </cfRule>
    <cfRule type="expression" dxfId="348" priority="184" stopIfTrue="1">
      <formula>OR(AND(ISNUMBER($C41),$C41=0),$C41=2,$C41=3,$C41=4)</formula>
    </cfRule>
  </conditionalFormatting>
  <conditionalFormatting sqref="AM41:AN41">
    <cfRule type="expression" dxfId="347" priority="185" stopIfTrue="1">
      <formula>TIPOORCAMENTO="PROPOSTO"</formula>
    </cfRule>
    <cfRule type="expression" dxfId="346" priority="186" stopIfTrue="1">
      <formula>$C41=1</formula>
    </cfRule>
    <cfRule type="expression" dxfId="345" priority="187" stopIfTrue="1">
      <formula>OR(AND(ISNUMBER($C41),$C41=0),$C41=2,$C41=3,$C41=4)</formula>
    </cfRule>
  </conditionalFormatting>
  <conditionalFormatting sqref="M27:M28">
    <cfRule type="cellIs" dxfId="344" priority="103" stopIfTrue="1" operator="notEqual">
      <formula>$N27</formula>
    </cfRule>
  </conditionalFormatting>
  <conditionalFormatting sqref="N27:O28 W27:X28">
    <cfRule type="expression" dxfId="343" priority="104" stopIfTrue="1">
      <formula>$C27=1</formula>
    </cfRule>
    <cfRule type="expression" dxfId="342" priority="105" stopIfTrue="1">
      <formula>OR($C27=0,$C27=2,$C27=3,$C27=4)</formula>
    </cfRule>
  </conditionalFormatting>
  <conditionalFormatting sqref="V27:V28">
    <cfRule type="expression" dxfId="341" priority="106" stopIfTrue="1">
      <formula>$C27=1</formula>
    </cfRule>
    <cfRule type="expression" dxfId="340" priority="107" stopIfTrue="1">
      <formula>OR($C27=0,$C27=2,$C27=3,$C27=4)</formula>
    </cfRule>
    <cfRule type="expression" dxfId="339" priority="108" stopIfTrue="1">
      <formula>AND(TIPOORCAMENTO="Licitado",$C27&lt;&gt;"L",$C27&lt;&gt;-1)</formula>
    </cfRule>
  </conditionalFormatting>
  <conditionalFormatting sqref="P27:Q28 S27:T28 Y27:Y28 AG27:AH28">
    <cfRule type="expression" dxfId="338" priority="109" stopIfTrue="1">
      <formula>$C27=1</formula>
    </cfRule>
    <cfRule type="expression" dxfId="337" priority="110" stopIfTrue="1">
      <formula>OR($C27=0,$C27=2,$C27=3,$C27=4)</formula>
    </cfRule>
  </conditionalFormatting>
  <conditionalFormatting sqref="AJ27:AJ28">
    <cfRule type="expression" dxfId="336" priority="111" stopIfTrue="1">
      <formula>OR(ACOMPANHAMENTO&lt;&gt;"BM",TIPOORCAMENTO="Licitado")</formula>
    </cfRule>
    <cfRule type="expression" dxfId="335" priority="112" stopIfTrue="1">
      <formula>$C27=1</formula>
    </cfRule>
    <cfRule type="expression" dxfId="334" priority="113" stopIfTrue="1">
      <formula>OR(AND(ISNUMBER($C27),$C27=0),$C27=2,$C27=3,$C27=4)</formula>
    </cfRule>
  </conditionalFormatting>
  <conditionalFormatting sqref="AL27:AL28">
    <cfRule type="expression" dxfId="333" priority="114" stopIfTrue="1">
      <formula>TIPOORCAMENTO="PROPOSTO"</formula>
    </cfRule>
    <cfRule type="expression" dxfId="332" priority="115" stopIfTrue="1">
      <formula>$C27=1</formula>
    </cfRule>
    <cfRule type="expression" dxfId="331" priority="116" stopIfTrue="1">
      <formula>OR(AND(ISNUMBER($C27),$C27=0),$C27=2,$C27=3,$C27=4)</formula>
    </cfRule>
  </conditionalFormatting>
  <conditionalFormatting sqref="AM27:AN28">
    <cfRule type="expression" dxfId="330" priority="117" stopIfTrue="1">
      <formula>TIPOORCAMENTO="PROPOSTO"</formula>
    </cfRule>
    <cfRule type="expression" dxfId="329" priority="118" stopIfTrue="1">
      <formula>$C27=1</formula>
    </cfRule>
    <cfRule type="expression" dxfId="328" priority="119" stopIfTrue="1">
      <formula>OR(AND(ISNUMBER($C27),$C27=0),$C27=2,$C27=3,$C27=4)</formula>
    </cfRule>
  </conditionalFormatting>
  <conditionalFormatting sqref="M34:M36 M38">
    <cfRule type="cellIs" dxfId="327" priority="86" stopIfTrue="1" operator="notEqual">
      <formula>$N34</formula>
    </cfRule>
  </conditionalFormatting>
  <conditionalFormatting sqref="N34:O36 W34:X36 R34:R36 R38 W38:X38 N38:O38">
    <cfRule type="expression" dxfId="326" priority="87" stopIfTrue="1">
      <formula>$C34=1</formula>
    </cfRule>
    <cfRule type="expression" dxfId="325" priority="88" stopIfTrue="1">
      <formula>OR($C34=0,$C34=2,$C34=3,$C34=4)</formula>
    </cfRule>
  </conditionalFormatting>
  <conditionalFormatting sqref="V34:V36 V38">
    <cfRule type="expression" dxfId="324" priority="89" stopIfTrue="1">
      <formula>$C34=1</formula>
    </cfRule>
    <cfRule type="expression" dxfId="323" priority="90" stopIfTrue="1">
      <formula>OR($C34=0,$C34=2,$C34=3,$C34=4)</formula>
    </cfRule>
    <cfRule type="expression" dxfId="322" priority="91" stopIfTrue="1">
      <formula>AND(TIPOORCAMENTO="Licitado",$C34&lt;&gt;"L",$C34&lt;&gt;-1)</formula>
    </cfRule>
  </conditionalFormatting>
  <conditionalFormatting sqref="P34:Q36 S34:T36 Y34:Y36 AG34:AH36 AG38:AH38 Y38 S38:T38 P38:Q38">
    <cfRule type="expression" dxfId="321" priority="92" stopIfTrue="1">
      <formula>$C34=1</formula>
    </cfRule>
    <cfRule type="expression" dxfId="320" priority="93" stopIfTrue="1">
      <formula>OR($C34=0,$C34=2,$C34=3,$C34=4)</formula>
    </cfRule>
  </conditionalFormatting>
  <conditionalFormatting sqref="AJ34:AJ36 AJ38">
    <cfRule type="expression" dxfId="319" priority="94" stopIfTrue="1">
      <formula>OR(ACOMPANHAMENTO&lt;&gt;"BM",TIPOORCAMENTO="Licitado")</formula>
    </cfRule>
    <cfRule type="expression" dxfId="318" priority="95" stopIfTrue="1">
      <formula>$C34=1</formula>
    </cfRule>
    <cfRule type="expression" dxfId="317" priority="96" stopIfTrue="1">
      <formula>OR(AND(ISNUMBER($C34),$C34=0),$C34=2,$C34=3,$C34=4)</formula>
    </cfRule>
  </conditionalFormatting>
  <conditionalFormatting sqref="AL34:AL36 AL38">
    <cfRule type="expression" dxfId="316" priority="97" stopIfTrue="1">
      <formula>TIPOORCAMENTO="PROPOSTO"</formula>
    </cfRule>
    <cfRule type="expression" dxfId="315" priority="98" stopIfTrue="1">
      <formula>$C34=1</formula>
    </cfRule>
    <cfRule type="expression" dxfId="314" priority="99" stopIfTrue="1">
      <formula>OR(AND(ISNUMBER($C34),$C34=0),$C34=2,$C34=3,$C34=4)</formula>
    </cfRule>
  </conditionalFormatting>
  <conditionalFormatting sqref="AM34:AN36 AM38:AN38">
    <cfRule type="expression" dxfId="313" priority="100" stopIfTrue="1">
      <formula>TIPOORCAMENTO="PROPOSTO"</formula>
    </cfRule>
    <cfRule type="expression" dxfId="312" priority="101" stopIfTrue="1">
      <formula>$C34=1</formula>
    </cfRule>
    <cfRule type="expression" dxfId="311" priority="102" stopIfTrue="1">
      <formula>OR(AND(ISNUMBER($C34),$C34=0),$C34=2,$C34=3,$C34=4)</formula>
    </cfRule>
  </conditionalFormatting>
  <conditionalFormatting sqref="M37">
    <cfRule type="cellIs" dxfId="310" priority="52" stopIfTrue="1" operator="notEqual">
      <formula>$N37</formula>
    </cfRule>
  </conditionalFormatting>
  <conditionalFormatting sqref="N37:O37 R37 W37:X37">
    <cfRule type="expression" dxfId="309" priority="53" stopIfTrue="1">
      <formula>$C37=1</formula>
    </cfRule>
    <cfRule type="expression" dxfId="308" priority="54" stopIfTrue="1">
      <formula>OR($C37=0,$C37=2,$C37=3,$C37=4)</formula>
    </cfRule>
  </conditionalFormatting>
  <conditionalFormatting sqref="U37:V37">
    <cfRule type="expression" dxfId="307" priority="55" stopIfTrue="1">
      <formula>$C37=1</formula>
    </cfRule>
    <cfRule type="expression" dxfId="306" priority="56" stopIfTrue="1">
      <formula>OR($C37=0,$C37=2,$C37=3,$C37=4)</formula>
    </cfRule>
    <cfRule type="expression" dxfId="305" priority="57" stopIfTrue="1">
      <formula>AND(TIPOORCAMENTO="Licitado",$C37&lt;&gt;"L",$C37&lt;&gt;-1)</formula>
    </cfRule>
  </conditionalFormatting>
  <conditionalFormatting sqref="P37:Q37 S37:T37 Y37 AG37:AH37">
    <cfRule type="expression" dxfId="304" priority="58" stopIfTrue="1">
      <formula>$C37=1</formula>
    </cfRule>
    <cfRule type="expression" dxfId="303" priority="59" stopIfTrue="1">
      <formula>OR($C37=0,$C37=2,$C37=3,$C37=4)</formula>
    </cfRule>
  </conditionalFormatting>
  <conditionalFormatting sqref="AJ37">
    <cfRule type="expression" dxfId="302" priority="60" stopIfTrue="1">
      <formula>OR(ACOMPANHAMENTO&lt;&gt;"BM",TIPOORCAMENTO="Licitado")</formula>
    </cfRule>
    <cfRule type="expression" dxfId="301" priority="61" stopIfTrue="1">
      <formula>$C37=1</formula>
    </cfRule>
    <cfRule type="expression" dxfId="300" priority="62" stopIfTrue="1">
      <formula>OR(AND(ISNUMBER($C37),$C37=0),$C37=2,$C37=3,$C37=4)</formula>
    </cfRule>
  </conditionalFormatting>
  <conditionalFormatting sqref="AL37">
    <cfRule type="expression" dxfId="299" priority="63" stopIfTrue="1">
      <formula>TIPOORCAMENTO="PROPOSTO"</formula>
    </cfRule>
    <cfRule type="expression" dxfId="298" priority="64" stopIfTrue="1">
      <formula>$C37=1</formula>
    </cfRule>
    <cfRule type="expression" dxfId="297" priority="65" stopIfTrue="1">
      <formula>OR(AND(ISNUMBER($C37),$C37=0),$C37=2,$C37=3,$C37=4)</formula>
    </cfRule>
  </conditionalFormatting>
  <conditionalFormatting sqref="AM37:AN37">
    <cfRule type="expression" dxfId="296" priority="66" stopIfTrue="1">
      <formula>TIPOORCAMENTO="PROPOSTO"</formula>
    </cfRule>
    <cfRule type="expression" dxfId="295" priority="67" stopIfTrue="1">
      <formula>$C37=1</formula>
    </cfRule>
    <cfRule type="expression" dxfId="294" priority="68" stopIfTrue="1">
      <formula>OR(AND(ISNUMBER($C37),$C37=0),$C37=2,$C37=3,$C37=4)</formula>
    </cfRule>
  </conditionalFormatting>
  <conditionalFormatting sqref="M39">
    <cfRule type="cellIs" dxfId="293" priority="18" stopIfTrue="1" operator="notEqual">
      <formula>$N39</formula>
    </cfRule>
  </conditionalFormatting>
  <conditionalFormatting sqref="N39:O39 R39 W39:X39">
    <cfRule type="expression" dxfId="292" priority="19" stopIfTrue="1">
      <formula>$C39=1</formula>
    </cfRule>
    <cfRule type="expression" dxfId="291" priority="20" stopIfTrue="1">
      <formula>OR($C39=0,$C39=2,$C39=3,$C39=4)</formula>
    </cfRule>
  </conditionalFormatting>
  <conditionalFormatting sqref="V39">
    <cfRule type="expression" dxfId="290" priority="21" stopIfTrue="1">
      <formula>$C39=1</formula>
    </cfRule>
    <cfRule type="expression" dxfId="289" priority="22" stopIfTrue="1">
      <formula>OR($C39=0,$C39=2,$C39=3,$C39=4)</formula>
    </cfRule>
    <cfRule type="expression" dxfId="288" priority="23" stopIfTrue="1">
      <formula>AND(TIPOORCAMENTO="Licitado",$C39&lt;&gt;"L",$C39&lt;&gt;-1)</formula>
    </cfRule>
  </conditionalFormatting>
  <conditionalFormatting sqref="P39:Q39 S39:T39 Y39 AG39:AH39">
    <cfRule type="expression" dxfId="287" priority="24" stopIfTrue="1">
      <formula>$C39=1</formula>
    </cfRule>
    <cfRule type="expression" dxfId="286" priority="25" stopIfTrue="1">
      <formula>OR($C39=0,$C39=2,$C39=3,$C39=4)</formula>
    </cfRule>
  </conditionalFormatting>
  <conditionalFormatting sqref="AJ39">
    <cfRule type="expression" dxfId="285" priority="26" stopIfTrue="1">
      <formula>OR(ACOMPANHAMENTO&lt;&gt;"BM",TIPOORCAMENTO="Licitado")</formula>
    </cfRule>
    <cfRule type="expression" dxfId="284" priority="27" stopIfTrue="1">
      <formula>$C39=1</formula>
    </cfRule>
    <cfRule type="expression" dxfId="283" priority="28" stopIfTrue="1">
      <formula>OR(AND(ISNUMBER($C39),$C39=0),$C39=2,$C39=3,$C39=4)</formula>
    </cfRule>
  </conditionalFormatting>
  <conditionalFormatting sqref="AL39">
    <cfRule type="expression" dxfId="282" priority="29" stopIfTrue="1">
      <formula>TIPOORCAMENTO="PROPOSTO"</formula>
    </cfRule>
    <cfRule type="expression" dxfId="281" priority="30" stopIfTrue="1">
      <formula>$C39=1</formula>
    </cfRule>
    <cfRule type="expression" dxfId="280" priority="31" stopIfTrue="1">
      <formula>OR(AND(ISNUMBER($C39),$C39=0),$C39=2,$C39=3,$C39=4)</formula>
    </cfRule>
  </conditionalFormatting>
  <conditionalFormatting sqref="AM39:AN39">
    <cfRule type="expression" dxfId="279" priority="32" stopIfTrue="1">
      <formula>TIPOORCAMENTO="PROPOSTO"</formula>
    </cfRule>
    <cfRule type="expression" dxfId="278" priority="33" stopIfTrue="1">
      <formula>$C39=1</formula>
    </cfRule>
    <cfRule type="expression" dxfId="277" priority="34" stopIfTrue="1">
      <formula>OR(AND(ISNUMBER($C39),$C39=0),$C39=2,$C39=3,$C39=4)</formula>
    </cfRule>
  </conditionalFormatting>
  <conditionalFormatting sqref="M47:M48">
    <cfRule type="cellIs" dxfId="276" priority="1" stopIfTrue="1" operator="notEqual">
      <formula>$N47</formula>
    </cfRule>
  </conditionalFormatting>
  <conditionalFormatting sqref="N47:O48 W47:X48">
    <cfRule type="expression" dxfId="275" priority="2" stopIfTrue="1">
      <formula>$C47=1</formula>
    </cfRule>
    <cfRule type="expression" dxfId="274" priority="3" stopIfTrue="1">
      <formula>OR($C47=0,$C47=2,$C47=3,$C47=4)</formula>
    </cfRule>
  </conditionalFormatting>
  <conditionalFormatting sqref="V47:V48">
    <cfRule type="expression" dxfId="273" priority="4" stopIfTrue="1">
      <formula>$C47=1</formula>
    </cfRule>
    <cfRule type="expression" dxfId="272" priority="5" stopIfTrue="1">
      <formula>OR($C47=0,$C47=2,$C47=3,$C47=4)</formula>
    </cfRule>
    <cfRule type="expression" dxfId="271" priority="6" stopIfTrue="1">
      <formula>AND(TIPOORCAMENTO="Licitado",$C47&lt;&gt;"L",$C47&lt;&gt;-1)</formula>
    </cfRule>
  </conditionalFormatting>
  <conditionalFormatting sqref="P47:Q48 S47:T48 Y47:Y48 AG47:AH48">
    <cfRule type="expression" dxfId="270" priority="7" stopIfTrue="1">
      <formula>$C47=1</formula>
    </cfRule>
    <cfRule type="expression" dxfId="269" priority="8" stopIfTrue="1">
      <formula>OR($C47=0,$C47=2,$C47=3,$C47=4)</formula>
    </cfRule>
  </conditionalFormatting>
  <conditionalFormatting sqref="AJ47:AJ48">
    <cfRule type="expression" dxfId="268" priority="9" stopIfTrue="1">
      <formula>OR(ACOMPANHAMENTO&lt;&gt;"BM",TIPOORCAMENTO="Licitado")</formula>
    </cfRule>
    <cfRule type="expression" dxfId="267" priority="10" stopIfTrue="1">
      <formula>$C47=1</formula>
    </cfRule>
    <cfRule type="expression" dxfId="266" priority="11" stopIfTrue="1">
      <formula>OR(AND(ISNUMBER($C47),$C47=0),$C47=2,$C47=3,$C47=4)</formula>
    </cfRule>
  </conditionalFormatting>
  <conditionalFormatting sqref="AL47:AL48">
    <cfRule type="expression" dxfId="265" priority="12" stopIfTrue="1">
      <formula>TIPOORCAMENTO="PROPOSTO"</formula>
    </cfRule>
    <cfRule type="expression" dxfId="264" priority="13" stopIfTrue="1">
      <formula>$C47=1</formula>
    </cfRule>
    <cfRule type="expression" dxfId="263" priority="14" stopIfTrue="1">
      <formula>OR(AND(ISNUMBER($C47),$C47=0),$C47=2,$C47=3,$C47=4)</formula>
    </cfRule>
  </conditionalFormatting>
  <conditionalFormatting sqref="AM47:AN48">
    <cfRule type="expression" dxfId="262" priority="15" stopIfTrue="1">
      <formula>TIPOORCAMENTO="PROPOSTO"</formula>
    </cfRule>
    <cfRule type="expression" dxfId="261" priority="16" stopIfTrue="1">
      <formula>$C47=1</formula>
    </cfRule>
    <cfRule type="expression" dxfId="260" priority="17" stopIfTrue="1">
      <formula>OR(AND(ISNUMBER($C47),$C47=0),$C47=2,$C47=3,$C47=4)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J16:AJ48 U16:U48 AL16:AL48">
      <formula1>0</formula1>
      <formula2>0</formula2>
    </dataValidation>
    <dataValidation type="list" allowBlank="1" sqref="P14 P16:P48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48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48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48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48"/>
    <dataValidation allowBlank="1" showInputMessage="1" showErrorMessage="1" prompt="Para Orçamento Proposto, o Preço Unitário é resultado do produto do Custo Unitário pelo BDI._x000a_Para Orçamento Licitado, deve ser preenchido na Coluna AL." sqref="W14 W16:W48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53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19"/>
  <sheetViews>
    <sheetView showGridLines="0" view="pageBreakPreview" zoomScale="80" zoomScaleNormal="90" zoomScaleSheetLayoutView="8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A45" sqref="A45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33" t="str">
        <f>IF(ACOMPANHAMENTO="BM","MEMÓRIA DE CÁLCULO","PLQ - PLANILHA DE LEVANTAMENTO DE QUANTIDADES")</f>
        <v>PLQ - PLANILHA DE LEVANTAMENTO DE QUANTIDADES</v>
      </c>
      <c r="G1" s="633"/>
      <c r="H1" s="633"/>
      <c r="I1" s="147"/>
      <c r="K1" s="147"/>
      <c r="L1" s="147"/>
      <c r="M1" s="148"/>
      <c r="N1" s="147"/>
      <c r="P1" s="147"/>
      <c r="Q1" s="612" t="s">
        <v>141</v>
      </c>
      <c r="R1" s="612"/>
      <c r="Y1" s="612" t="s">
        <v>141</v>
      </c>
      <c r="Z1" s="612"/>
    </row>
    <row r="2" spans="1:59" ht="15" customHeight="1" x14ac:dyDescent="0.2">
      <c r="F2" s="634" t="str">
        <f>IF(ACOMPANHAMENTO="BM","","Memória de Cálculo")&amp;" - "&amp;import.recurso</f>
        <v>Memória de Cálculo - OGU</v>
      </c>
      <c r="G2" s="634"/>
      <c r="H2" s="634"/>
      <c r="I2" s="149"/>
      <c r="K2" s="149"/>
      <c r="L2" s="149"/>
      <c r="M2" s="150"/>
      <c r="N2" s="149"/>
      <c r="P2" s="149"/>
      <c r="Q2" s="613" t="s">
        <v>144</v>
      </c>
      <c r="R2" s="613"/>
      <c r="Y2" s="613" t="s">
        <v>144</v>
      </c>
      <c r="Z2" s="613"/>
    </row>
    <row r="3" spans="1:59" ht="12.75" customHeight="1" x14ac:dyDescent="0.2"/>
    <row r="4" spans="1:59" ht="12.75" customHeight="1" x14ac:dyDescent="0.2">
      <c r="E4" s="607" t="s">
        <v>204</v>
      </c>
      <c r="F4" s="607"/>
      <c r="G4" s="607" t="s">
        <v>148</v>
      </c>
      <c r="H4" s="607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607" t="s">
        <v>147</v>
      </c>
      <c r="T4" s="607"/>
      <c r="U4" s="607" t="s">
        <v>149</v>
      </c>
      <c r="V4" s="607"/>
      <c r="W4" s="607"/>
      <c r="X4" s="607"/>
      <c r="Y4" s="607"/>
      <c r="Z4" s="607"/>
    </row>
    <row r="5" spans="1:59" ht="12.75" customHeight="1" x14ac:dyDescent="0.2">
      <c r="E5" s="611" t="str">
        <f>Import.Apelido</f>
        <v>Calçamento da Rua Barão do Rio Branco</v>
      </c>
      <c r="F5" s="611"/>
      <c r="G5" s="611">
        <f>Import.SICONV</f>
        <v>0</v>
      </c>
      <c r="H5" s="611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611">
        <f>Import.CR</f>
        <v>0</v>
      </c>
      <c r="T5" s="611"/>
      <c r="U5" s="611" t="str">
        <f>Import.Proponente</f>
        <v>Prefeitura Municipal de Caçapava do Sul</v>
      </c>
      <c r="V5" s="611"/>
      <c r="W5" s="611"/>
      <c r="X5" s="611"/>
      <c r="Y5" s="611"/>
      <c r="Z5" s="611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IF(ACOMPANHAMENTO="BM",0,COUNTIF(M15:M49,0))</f>
        <v>1</v>
      </c>
      <c r="N12" s="158" t="s">
        <v>259</v>
      </c>
      <c r="O12" s="162"/>
      <c r="P12" s="159" t="s">
        <v>257</v>
      </c>
      <c r="Q12" s="543" t="s">
        <v>443</v>
      </c>
      <c r="R12" s="162" t="s">
        <v>500</v>
      </c>
      <c r="S12" s="162" t="s">
        <v>501</v>
      </c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TRECHO 01 (Primeiros 31,10m)</v>
      </c>
      <c r="AD12" s="164" t="str">
        <f t="shared" ca="1" si="0"/>
        <v>TRECHO 02 (últimos 31,10m)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TRECHO 01 (Primeiros 31,10m)</v>
      </c>
      <c r="AO12" s="164" t="str">
        <f t="shared" ca="1" si="1"/>
        <v>TRECHO 02 (últimos 31,10m)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TRECHO 01 (Primeiros 31,10m)</v>
      </c>
      <c r="AZ12" s="164" t="str">
        <f t="shared" ca="1" si="2"/>
        <v>TRECHO 02 (últimos 31,10m)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32" t="str">
        <f>Import.DescLote</f>
        <v>Lote Único - Empreitada Preço Global</v>
      </c>
      <c r="F15" s="632"/>
      <c r="G15" s="632"/>
      <c r="H15" s="632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ROUND(SUM(OFFSET(AB$15,1,0):AB$49),2)</f>
        <v>0</v>
      </c>
      <c r="AC15" s="188">
        <f ca="1">SUM(OFFSET(AC$15,1,0):AC$49)</f>
        <v>0</v>
      </c>
      <c r="AD15" s="188">
        <f ca="1">SUM(OFFSET(AD$15,1,0):AD$49)</f>
        <v>0</v>
      </c>
      <c r="AE15" s="188">
        <f ca="1">SUM(OFFSET(AE$15,1,0):AE$49)</f>
        <v>0</v>
      </c>
      <c r="AF15" s="188">
        <f ca="1">SUM(OFFSET(AF$15,1,0):AF$49)</f>
        <v>0</v>
      </c>
      <c r="AG15" s="188">
        <f ca="1">SUM(OFFSET(AG$15,1,0):AG$49)</f>
        <v>0</v>
      </c>
      <c r="AH15" s="188">
        <f ca="1">SUM(OFFSET(AH$15,1,0):AH$49)</f>
        <v>0</v>
      </c>
      <c r="AI15" s="188">
        <f ca="1">SUM(OFFSET(AI$15,1,0):AI$49)</f>
        <v>0</v>
      </c>
      <c r="AJ15" s="188">
        <f ca="1">SUM(OFFSET(AJ$15,1,0):AJ$49)</f>
        <v>0</v>
      </c>
      <c r="AK15" s="188">
        <f ca="1">SUM(OFFSET(AK$15,1,0):AK$49)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40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DA RUA BARÃO DO RIO BRANCO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478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478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499</v>
      </c>
      <c r="K18" s="173" t="s">
        <v>478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0.5</v>
      </c>
      <c r="S18" s="178">
        <v>0.5</v>
      </c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454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480</v>
      </c>
      <c r="K20" s="173" t="s">
        <v>454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38.25" x14ac:dyDescent="0.2">
      <c r="A21" s="7">
        <f t="shared" ca="1" si="8"/>
        <v>2</v>
      </c>
      <c r="B21" s="7" t="str">
        <f ca="1">OFFSET(ORÇAMENTO!C$15,ROW(B21)-ROW(B$15),0)</f>
        <v>S</v>
      </c>
      <c r="C21" s="7" t="str">
        <f ca="1">OFFSET(ORÇAMENTO!L$15,ROW(C21)-ROW(C$15),0)</f>
        <v/>
      </c>
      <c r="D21" s="118" t="str">
        <f ca="1">OFFSET(ORÇAMENTO!N$15,ROW(D21)-ROW(D$15),0)</f>
        <v>Serviço</v>
      </c>
      <c r="E21" s="119" t="str">
        <f ca="1">OFFSET(ORÇAMENTO!O$15,ROW(E21)-ROW(E$15),0)</f>
        <v>-</v>
      </c>
      <c r="F21" s="171" t="str">
        <f ca="1">OFFSET(ORÇAMENTO!R$15,ROW(F21)-ROW(F$15),0)</f>
        <v>(abra o arquivo 'Referência 04-2024.xls)</v>
      </c>
      <c r="G21" s="172" t="str">
        <f ca="1">IF($D21&lt;&gt;"Serviço","",OFFSET(ORÇAMENTO!S$15,ROW(G21)-ROW(G$15),0))</f>
        <v>-</v>
      </c>
      <c r="H21" s="124">
        <f ca="1">IF($D21&lt;&gt;"Serviço",0,IF(ACOMPANHAMENTO="BM",ROUND(OFFSET(ORÇAMENTO!AJ$15,ROW(H21)-ROW(H$15),0),15-13*ORÇAMENTO!$AF$7),SUMPRODUCT(($Q$12:$AA$12&lt;&gt;"")*ROUND($Q21:$AA21,15-13*ORÇAMENTO!$AF$7))))</f>
        <v>186.6</v>
      </c>
      <c r="I21" s="561" t="s">
        <v>463</v>
      </c>
      <c r="K21" s="173" t="s">
        <v>454</v>
      </c>
      <c r="L21" s="174" t="s">
        <v>257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176" t="str">
        <f ca="1">IF($D21&lt;&gt;"Serviço","",IF(AUTOEVENTO="Manual",IF($A21=0,"&lt;-- defina o número do agrupador",OFFSET(EVENTOS!$D$14,$A21,0)),OFFSET($F$15,$A21,0)))</f>
        <v>Serviços Preliminares</v>
      </c>
      <c r="O21" s="177"/>
      <c r="Q21" s="177"/>
      <c r="R21" s="178">
        <f>31.1*3</f>
        <v>93.300000000000011</v>
      </c>
      <c r="S21" s="178">
        <f>28.8+31.1+33.4</f>
        <v>93.300000000000011</v>
      </c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1</v>
      </c>
      <c r="AO21" s="180">
        <f ca="1">IF($D21&lt;&gt;"Serviço",0,IF(AND(AUTOEVENTO="Manual",$M21=1),0,IF(OFFSET(CRONOPLE!$F$14,$M21,AO$13)="",10^12,OFFSET(CRONOPLE!$F$14,$M21,AO$13))))</f>
        <v>1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12.7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>
        <f ca="1">OFFSET(ORÇAMENTO!C$15,ROW(B22)-ROW(B$15),0)</f>
        <v>2</v>
      </c>
      <c r="C22" s="7" t="str">
        <f ca="1">OFFSET(ORÇAMENTO!L$15,ROW(C22)-ROW(C$15),0)</f>
        <v>F</v>
      </c>
      <c r="D22" s="118" t="str">
        <f ca="1">OFFSET(ORÇAMENTO!N$15,ROW(D22)-ROW(D$15),0)</f>
        <v>Nível 2</v>
      </c>
      <c r="E22" s="119" t="str">
        <f ca="1">OFFSET(ORÇAMENTO!O$15,ROW(E22)-ROW(E$15),0)</f>
        <v>1.3.</v>
      </c>
      <c r="F22" s="171" t="str">
        <f ca="1">OFFSET(ORÇAMENTO!R$15,ROW(F22)-ROW(F$15),0)</f>
        <v>TERRAPLANAGEM</v>
      </c>
      <c r="G22" s="172" t="str">
        <f ca="1">IF($D22&lt;&gt;"Serviço","",OFFSET(ORÇAMENTO!S$15,ROW(G22)-ROW(G$15),0))</f>
        <v/>
      </c>
      <c r="H22" s="124">
        <f ca="1">IF($D22&lt;&gt;"Serviço",0,IF(ACOMPANHAMENTO="BM",ROUND(OFFSET(ORÇAMENTO!AJ$15,ROW(H22)-ROW(H$15),0),15-13*ORÇAMENTO!$AF$7),SUMPRODUCT(($Q$12:$AA$12&lt;&gt;"")*ROUND($Q22:$AA22,15-13*ORÇAMENTO!$AF$7))))</f>
        <v>0</v>
      </c>
      <c r="I22" s="561"/>
      <c r="K22" s="173" t="s">
        <v>484</v>
      </c>
      <c r="L22" s="174" t="s">
        <v>257</v>
      </c>
      <c r="M22" s="175" t="str">
        <f ca="1">IF($D22&lt;&gt;"Serviço","",IF(AUTOEVENTO="manual",$A22,IF(ISERROR(MATCH($A22,$A$15:OFFSET($A22,-1,0),0)),MAX($M$15:OFFSET(M22,-1,0))+1,INDEX($M$15:OFFSET(M22,-1,0),MATCH($A22,$A$15:OFFSET($A22,-1,0),0)))))</f>
        <v/>
      </c>
      <c r="N22" s="176" t="str">
        <f ca="1">IF($D22&lt;&gt;"Serviço","",IF(AUTOEVENTO="Manual",IF($A22=0,"&lt;-- defina o número do agrupador",OFFSET(EVENTOS!$D$14,$A22,0)),OFFSET($F$15,$A22,0)))</f>
        <v/>
      </c>
      <c r="O22" s="177"/>
      <c r="Q22" s="177"/>
      <c r="R22" s="178"/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0</v>
      </c>
      <c r="AN22" s="180">
        <f ca="1">IF($D22&lt;&gt;"Serviço",0,IF(AND(AUTOEVENTO="Manual",$M22=1),0,IF(OFFSET(CRONOPLE!$F$14,$M22,AN$13)="",10^12,OFFSET(CRONOPLE!$F$14,$M22,AN$13))))</f>
        <v>0</v>
      </c>
      <c r="AO22" s="180">
        <f ca="1">IF($D22&lt;&gt;"Serviço",0,IF(AND(AUTOEVENTO="Manual",$M22=1),0,IF(OFFSET(CRONOPLE!$F$14,$M22,AO$13)="",10^12,OFFSET(CRONOPLE!$F$14,$M22,AO$13))))</f>
        <v>0</v>
      </c>
      <c r="AP22" s="180">
        <f ca="1">IF($D22&lt;&gt;"Serviço",0,IF(AND(AUTOEVENTO="Manual",$M22=1),0,IF(OFFSET(CRONOPLE!$F$14,$M22,AP$13)="",10^12,OFFSET(CRONOPLE!$F$14,$M22,AP$13))))</f>
        <v>0</v>
      </c>
      <c r="AQ22" s="180">
        <f ca="1">IF($D22&lt;&gt;"Serviço",0,IF(AND(AUTOEVENTO="Manual",$M22=1),0,IF(OFFSET(CRONOPLE!$F$14,$M22,AQ$13)="",10^12,OFFSET(CRONOPLE!$F$14,$M22,AQ$13))))</f>
        <v>0</v>
      </c>
      <c r="AR22" s="180">
        <f ca="1">IF($D22&lt;&gt;"Serviço",0,IF(AND(AUTOEVENTO="Manual",$M22=1),0,IF(OFFSET(CRONOPLE!$F$14,$M22,AR$13)="",10^12,OFFSET(CRONOPLE!$F$14,$M22,AR$13))))</f>
        <v>0</v>
      </c>
      <c r="AS22" s="180">
        <f ca="1">IF($D22&lt;&gt;"Serviço",0,IF(AND(AUTOEVENTO="Manual",$M22=1),0,IF(OFFSET(CRONOPLE!$F$14,$M22,AS$13)="",10^12,OFFSET(CRONOPLE!$F$14,$M22,AS$13))))</f>
        <v>0</v>
      </c>
      <c r="AT22" s="180">
        <f ca="1">IF($D22&lt;&gt;"Serviço",0,IF(AND(AUTOEVENTO="Manual",$M22=1),0,IF(OFFSET(CRONOPLE!$F$14,$M22,AT$13)="",10^12,OFFSET(CRONOPLE!$F$14,$M22,AT$13))))</f>
        <v>0</v>
      </c>
      <c r="AU22" s="180">
        <f ca="1">IF($D22&lt;&gt;"Serviço",0,IF(AND(AUTOEVENTO="Manual",$M22=1),0,IF(OFFSET(CRONOPLE!$F$14,$M22,AU$13)="",10^12,OFFSET(CRONOPLE!$F$14,$M22,AU$13))))</f>
        <v>0</v>
      </c>
      <c r="AV22" s="180">
        <f ca="1">IF($D22&lt;&gt;"Serviço",0,IF(AND(AUTOEVENTO="Manual",$M22=1),0,IF(OFFSET(CRONOPLE!$F$14,$M22,AV$13)="",10^12,OFFSET(CRONOPLE!$F$14,$M22,AV$13))))</f>
        <v>0</v>
      </c>
      <c r="AX22" s="181">
        <f ca="1">IF($D22&lt;&gt;"Serviço",0,IF(OR(AND(AUTOEVENTO="Manual",$M22=1),$M22&gt;(ROW(PLE.lastrow)-ROW(PLE.firstrow))),0,IF(OFFSET(PLE!$G$14,$M22,AX$13)="",10^12,OFFSET(PLE!$G$14,$M22,AX$13))))</f>
        <v>0</v>
      </c>
      <c r="AY22" s="181">
        <f ca="1">IF($D22&lt;&gt;"Serviço",0,IF(OR(AND(AUTOEVENTO="Manual",$M22=1),$M22&gt;(ROW(PLE.lastrow)-ROW(PLE.firstrow))),0,IF(OFFSET(PLE!$G$14,$M22,AY$13)="",10^12,OFFSET(PLE!$G$14,$M22,AY$13))))</f>
        <v>0</v>
      </c>
      <c r="AZ22" s="181">
        <f ca="1">IF($D22&lt;&gt;"Serviço",0,IF(OR(AND(AUTOEVENTO="Manual",$M22=1),$M22&gt;(ROW(PLE.lastrow)-ROW(PLE.firstrow))),0,IF(OFFSET(PLE!$G$14,$M22,AZ$13)="",10^12,OFFSET(PLE!$G$14,$M22,AZ$13))))</f>
        <v>0</v>
      </c>
      <c r="BA22" s="181">
        <f ca="1">IF($D22&lt;&gt;"Serviço",0,IF(OR(AND(AUTOEVENTO="Manual",$M22=1),$M22&gt;(ROW(PLE.lastrow)-ROW(PLE.firstrow))),0,IF(OFFSET(PLE!$G$14,$M22,BA$13)="",10^12,OFFSET(PLE!$G$14,$M22,BA$13))))</f>
        <v>0</v>
      </c>
      <c r="BB22" s="181">
        <f ca="1">IF($D22&lt;&gt;"Serviço",0,IF(OR(AND(AUTOEVENTO="Manual",$M22=1),$M22&gt;(ROW(PLE.lastrow)-ROW(PLE.firstrow))),0,IF(OFFSET(PLE!$G$14,$M22,BB$13)="",10^12,OFFSET(PLE!$G$14,$M22,BB$13))))</f>
        <v>0</v>
      </c>
      <c r="BC22" s="181">
        <f ca="1">IF($D22&lt;&gt;"Serviço",0,IF(OR(AND(AUTOEVENTO="Manual",$M22=1),$M22&gt;(ROW(PLE.lastrow)-ROW(PLE.firstrow))),0,IF(OFFSET(PLE!$G$14,$M22,BC$13)="",10^12,OFFSET(PLE!$G$14,$M22,BC$13))))</f>
        <v>0</v>
      </c>
      <c r="BD22" s="181">
        <f ca="1">IF($D22&lt;&gt;"Serviço",0,IF(OR(AND(AUTOEVENTO="Manual",$M22=1),$M22&gt;(ROW(PLE.lastrow)-ROW(PLE.firstrow))),0,IF(OFFSET(PLE!$G$14,$M22,BD$13)="",10^12,OFFSET(PLE!$G$14,$M22,BD$13))))</f>
        <v>0</v>
      </c>
      <c r="BE22" s="181">
        <f ca="1">IF($D22&lt;&gt;"Serviço",0,IF(OR(AND(AUTOEVENTO="Manual",$M22=1),$M22&gt;(ROW(PLE.lastrow)-ROW(PLE.firstrow))),0,IF(OFFSET(PLE!$G$14,$M22,BE$13)="",10^12,OFFSET(PLE!$G$14,$M22,BE$13))))</f>
        <v>0</v>
      </c>
      <c r="BF22" s="181">
        <f ca="1">IF($D22&lt;&gt;"Serviço",0,IF(OR(AND(AUTOEVENTO="Manual",$M22=1),$M22&gt;(ROW(PLE.lastrow)-ROW(PLE.firstrow))),0,IF(OFFSET(PLE!$G$14,$M22,BF$13)="",10^12,OFFSET(PLE!$G$14,$M22,BF$13))))</f>
        <v>0</v>
      </c>
      <c r="BG22" s="181">
        <f ca="1">IF($D22&lt;&gt;"Serviço",0,IF(OR(AND(AUTOEVENTO="Manual",$M22=1),$M22&gt;(ROW(PLE.lastrow)-ROW(PLE.firstrow))),0,IF(OFFSET(PLE!$G$14,$M22,BG$13)="",10^12,OFFSET(PLE!$G$14,$M22,BG$13))))</f>
        <v>0</v>
      </c>
    </row>
    <row r="23" spans="1:59" ht="51" x14ac:dyDescent="0.2">
      <c r="A23" s="7">
        <f ca="1">IF(AUTOEVENTO="Manual",IF(K23&lt;&gt;"",MIN(VALUE(LEFT(K23,FIND(".",K23)-1)),COUNTA(EVENTOS.Lista)),0),IF(OR($B23&gt;AUTOEVENTO,$B23="S",$B23=0),SUBSTITUTE(OFFSET($A23,-1,0),IF($D23="Serviço",".",""),""),ROW(A23)-ROW($A$15)&amp;"."))</f>
        <v>3</v>
      </c>
      <c r="B23" s="7" t="str">
        <f ca="1">OFFSET(ORÇAMENTO!C$15,ROW(B23)-ROW(B$15),0)</f>
        <v>S</v>
      </c>
      <c r="C23" s="7" t="str">
        <f ca="1">OFFSET(ORÇAMENTO!L$15,ROW(C23)-ROW(C$15),0)</f>
        <v/>
      </c>
      <c r="D23" s="118" t="str">
        <f ca="1">OFFSET(ORÇAMENTO!N$15,ROW(D23)-ROW(D$15),0)</f>
        <v>Serviço</v>
      </c>
      <c r="E23" s="119" t="str">
        <f ca="1">OFFSET(ORÇAMENTO!O$15,ROW(E23)-ROW(E$15),0)</f>
        <v>-</v>
      </c>
      <c r="F23" s="171" t="str">
        <f ca="1">OFFSET(ORÇAMENTO!R$15,ROW(F23)-ROW(F$15),0)</f>
        <v>(abra o arquivo 'Referência 04-2024.xls)</v>
      </c>
      <c r="G23" s="172" t="str">
        <f ca="1">IF($D23&lt;&gt;"Serviço","",OFFSET(ORÇAMENTO!S$15,ROW(G23)-ROW(G$15),0))</f>
        <v>-</v>
      </c>
      <c r="H23" s="124">
        <f ca="1">IF($D23&lt;&gt;"Serviço",0,IF(ACOMPANHAMENTO="BM",ROUND(OFFSET(ORÇAMENTO!AJ$15,ROW(H23)-ROW(H$15),0),15-13*ORÇAMENTO!$AF$7),SUMPRODUCT(($Q$12:$AA$12&lt;&gt;"")*ROUND($Q23:$AA23,15-13*ORÇAMENTO!$AF$7))))</f>
        <v>622</v>
      </c>
      <c r="I23" s="561" t="s">
        <v>487</v>
      </c>
      <c r="K23" s="173" t="s">
        <v>484</v>
      </c>
      <c r="L23" s="174" t="s">
        <v>257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176" t="str">
        <f ca="1">IF($D23&lt;&gt;"Serviço","",IF(AUTOEVENTO="Manual",IF($A23=0,"&lt;-- defina o número do agrupador",OFFSET(EVENTOS!$D$14,$A23,0)),OFFSET($F$15,$A23,0)))</f>
        <v xml:space="preserve">Terraplanagem </v>
      </c>
      <c r="O23" s="177"/>
      <c r="Q23" s="177"/>
      <c r="R23" s="178">
        <f>622-311.05</f>
        <v>310.95</v>
      </c>
      <c r="S23" s="178">
        <v>311.05</v>
      </c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1000000000000</v>
      </c>
      <c r="AN23" s="180">
        <f ca="1">IF($D23&lt;&gt;"Serviço",0,IF(AND(AUTOEVENTO="Manual",$M23=1),0,IF(OFFSET(CRONOPLE!$F$14,$M23,AN$13)="",10^12,OFFSET(CRONOPLE!$F$14,$M23,AN$13))))</f>
        <v>2</v>
      </c>
      <c r="AO23" s="180">
        <f ca="1">IF($D23&lt;&gt;"Serviço",0,IF(AND(AUTOEVENTO="Manual",$M23=1),0,IF(OFFSET(CRONOPLE!$F$14,$M23,AO$13)="",10^12,OFFSET(CRONOPLE!$F$14,$M23,AO$13))))</f>
        <v>2</v>
      </c>
      <c r="AP23" s="180">
        <f ca="1">IF($D23&lt;&gt;"Serviço",0,IF(AND(AUTOEVENTO="Manual",$M23=1),0,IF(OFFSET(CRONOPLE!$F$14,$M23,AP$13)="",10^12,OFFSET(CRONOPLE!$F$14,$M23,AP$13))))</f>
        <v>5</v>
      </c>
      <c r="AQ23" s="180">
        <f ca="1">IF($D23&lt;&gt;"Serviço",0,IF(AND(AUTOEVENTO="Manual",$M23=1),0,IF(OFFSET(CRONOPLE!$F$14,$M23,AQ$13)="",10^12,OFFSET(CRONOPLE!$F$14,$M23,AQ$13))))</f>
        <v>6</v>
      </c>
      <c r="AR23" s="180">
        <f ca="1">IF($D23&lt;&gt;"Serviço",0,IF(AND(AUTOEVENTO="Manual",$M23=1),0,IF(OFFSET(CRONOPLE!$F$14,$M23,AR$13)="",10^12,OFFSET(CRONOPLE!$F$14,$M23,AR$13))))</f>
        <v>4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12.75" x14ac:dyDescent="0.2">
      <c r="A24" s="7">
        <f t="shared" ca="1" si="8"/>
        <v>3</v>
      </c>
      <c r="B24" s="7">
        <f ca="1">OFFSET(ORÇAMENTO!C$15,ROW(B24)-ROW(B$15),0)</f>
        <v>2</v>
      </c>
      <c r="C24" s="7" t="str">
        <f ca="1">OFFSET(ORÇAMENTO!L$15,ROW(C24)-ROW(C$15),0)</f>
        <v>F</v>
      </c>
      <c r="D24" s="118" t="str">
        <f ca="1">OFFSET(ORÇAMENTO!N$15,ROW(D24)-ROW(D$15),0)</f>
        <v>Nível 2</v>
      </c>
      <c r="E24" s="119" t="str">
        <f ca="1">OFFSET(ORÇAMENTO!O$15,ROW(E24)-ROW(E$15),0)</f>
        <v>1.4.</v>
      </c>
      <c r="F24" s="171" t="str">
        <f ca="1">OFFSET(ORÇAMENTO!R$15,ROW(F24)-ROW(F$15),0)</f>
        <v xml:space="preserve">PAVIMENTAÇÃO 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455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12.7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>
        <f ca="1">OFFSET(ORÇAMENTO!C$15,ROW(B25)-ROW(B$15),0)</f>
        <v>3</v>
      </c>
      <c r="C25" s="7" t="str">
        <f ca="1">OFFSET(ORÇAMENTO!L$15,ROW(C25)-ROW(C$15),0)</f>
        <v>F</v>
      </c>
      <c r="D25" s="118" t="str">
        <f ca="1">OFFSET(ORÇAMENTO!N$15,ROW(D25)-ROW(D$15),0)</f>
        <v>Nível 3</v>
      </c>
      <c r="E25" s="119" t="str">
        <f ca="1">OFFSET(ORÇAMENTO!O$15,ROW(E25)-ROW(E$15),0)</f>
        <v>1.4.1.</v>
      </c>
      <c r="F25" s="171" t="str">
        <f ca="1">OFFSET(ORÇAMENTO!R$15,ROW(F25)-ROW(F$15),0)</f>
        <v>Meio-Fio</v>
      </c>
      <c r="G25" s="172" t="str">
        <f ca="1">IF($D25&lt;&gt;"Serviço","",OFFSET(ORÇAMENTO!S$15,ROW(G25)-ROW(G$15),0))</f>
        <v/>
      </c>
      <c r="H25" s="124">
        <f ca="1">IF($D25&lt;&gt;"Serviço",0,IF(ACOMPANHAMENTO="BM",ROUND(OFFSET(ORÇAMENTO!AJ$15,ROW(H25)-ROW(H$15),0),15-13*ORÇAMENTO!$AF$7),SUMPRODUCT(($Q$12:$AA$12&lt;&gt;"")*ROUND($Q25:$AA25,15-13*ORÇAMENTO!$AF$7))))</f>
        <v>0</v>
      </c>
      <c r="I25" s="561"/>
      <c r="K25" s="173" t="s">
        <v>485</v>
      </c>
      <c r="L25" s="174" t="s">
        <v>257</v>
      </c>
      <c r="M25" s="175" t="str">
        <f ca="1">IF($D25&lt;&gt;"Serviço","",IF(AUTOEVENTO="manual",$A25,IF(ISERROR(MATCH($A25,$A$15:OFFSET($A25,-1,0),0)),MAX($M$15:OFFSET(M25,-1,0))+1,INDEX($M$15:OFFSET(M25,-1,0),MATCH($A25,$A$15:OFFSET($A25,-1,0),0)))))</f>
        <v/>
      </c>
      <c r="N25" s="176" t="str">
        <f ca="1">IF($D25&lt;&gt;"Serviço","",IF(AUTOEVENTO="Manual",IF($A25=0,"&lt;-- defina o número do agrupador",OFFSET(EVENTOS!$D$14,$A25,0)),OFFSET($F$15,$A25,0)))</f>
        <v/>
      </c>
      <c r="O25" s="177"/>
      <c r="Q25" s="177"/>
      <c r="R25" s="178"/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0</v>
      </c>
      <c r="AN25" s="180">
        <f ca="1">IF($D25&lt;&gt;"Serviço",0,IF(AND(AUTOEVENTO="Manual",$M25=1),0,IF(OFFSET(CRONOPLE!$F$14,$M25,AN$13)="",10^12,OFFSET(CRONOPLE!$F$14,$M25,AN$13))))</f>
        <v>0</v>
      </c>
      <c r="AO25" s="180">
        <f ca="1">IF($D25&lt;&gt;"Serviço",0,IF(AND(AUTOEVENTO="Manual",$M25=1),0,IF(OFFSET(CRONOPLE!$F$14,$M25,AO$13)="",10^12,OFFSET(CRONOPLE!$F$14,$M25,AO$13))))</f>
        <v>0</v>
      </c>
      <c r="AP25" s="180">
        <f ca="1">IF($D25&lt;&gt;"Serviço",0,IF(AND(AUTOEVENTO="Manual",$M25=1),0,IF(OFFSET(CRONOPLE!$F$14,$M25,AP$13)="",10^12,OFFSET(CRONOPLE!$F$14,$M25,AP$13))))</f>
        <v>0</v>
      </c>
      <c r="AQ25" s="180">
        <f ca="1">IF($D25&lt;&gt;"Serviço",0,IF(AND(AUTOEVENTO="Manual",$M25=1),0,IF(OFFSET(CRONOPLE!$F$14,$M25,AQ$13)="",10^12,OFFSET(CRONOPLE!$F$14,$M25,AQ$13))))</f>
        <v>0</v>
      </c>
      <c r="AR25" s="180">
        <f ca="1">IF($D25&lt;&gt;"Serviço",0,IF(AND(AUTOEVENTO="Manual",$M25=1),0,IF(OFFSET(CRONOPLE!$F$14,$M25,AR$13)="",10^12,OFFSET(CRONOPLE!$F$14,$M25,AR$13))))</f>
        <v>0</v>
      </c>
      <c r="AS25" s="180">
        <f ca="1">IF($D25&lt;&gt;"Serviço",0,IF(AND(AUTOEVENTO="Manual",$M25=1),0,IF(OFFSET(CRONOPLE!$F$14,$M25,AS$13)="",10^12,OFFSET(CRONOPLE!$F$14,$M25,AS$13))))</f>
        <v>0</v>
      </c>
      <c r="AT25" s="180">
        <f ca="1">IF($D25&lt;&gt;"Serviço",0,IF(AND(AUTOEVENTO="Manual",$M25=1),0,IF(OFFSET(CRONOPLE!$F$14,$M25,AT$13)="",10^12,OFFSET(CRONOPLE!$F$14,$M25,AT$13))))</f>
        <v>0</v>
      </c>
      <c r="AU25" s="180">
        <f ca="1">IF($D25&lt;&gt;"Serviço",0,IF(AND(AUTOEVENTO="Manual",$M25=1),0,IF(OFFSET(CRONOPLE!$F$14,$M25,AU$13)="",10^12,OFFSET(CRONOPLE!$F$14,$M25,AU$13))))</f>
        <v>0</v>
      </c>
      <c r="AV25" s="180">
        <f ca="1">IF($D25&lt;&gt;"Serviço",0,IF(AND(AUTOEVENTO="Manual",$M25=1),0,IF(OFFSET(CRONOPLE!$F$14,$M25,AV$13)="",10^12,OFFSET(CRONOPLE!$F$14,$M25,AV$13))))</f>
        <v>0</v>
      </c>
      <c r="AX25" s="181">
        <f ca="1">IF($D25&lt;&gt;"Serviço",0,IF(OR(AND(AUTOEVENTO="Manual",$M25=1),$M25&gt;(ROW(PLE.lastrow)-ROW(PLE.firstrow))),0,IF(OFFSET(PLE!$G$14,$M25,AX$13)="",10^12,OFFSET(PLE!$G$14,$M25,AX$13))))</f>
        <v>0</v>
      </c>
      <c r="AY25" s="181">
        <f ca="1">IF($D25&lt;&gt;"Serviço",0,IF(OR(AND(AUTOEVENTO="Manual",$M25=1),$M25&gt;(ROW(PLE.lastrow)-ROW(PLE.firstrow))),0,IF(OFFSET(PLE!$G$14,$M25,AY$13)="",10^12,OFFSET(PLE!$G$14,$M25,AY$13))))</f>
        <v>0</v>
      </c>
      <c r="AZ25" s="181">
        <f ca="1">IF($D25&lt;&gt;"Serviço",0,IF(OR(AND(AUTOEVENTO="Manual",$M25=1),$M25&gt;(ROW(PLE.lastrow)-ROW(PLE.firstrow))),0,IF(OFFSET(PLE!$G$14,$M25,AZ$13)="",10^12,OFFSET(PLE!$G$14,$M25,AZ$13))))</f>
        <v>0</v>
      </c>
      <c r="BA25" s="181">
        <f ca="1">IF($D25&lt;&gt;"Serviço",0,IF(OR(AND(AUTOEVENTO="Manual",$M25=1),$M25&gt;(ROW(PLE.lastrow)-ROW(PLE.firstrow))),0,IF(OFFSET(PLE!$G$14,$M25,BA$13)="",10^12,OFFSET(PLE!$G$14,$M25,BA$13))))</f>
        <v>0</v>
      </c>
      <c r="BB25" s="181">
        <f ca="1">IF($D25&lt;&gt;"Serviço",0,IF(OR(AND(AUTOEVENTO="Manual",$M25=1),$M25&gt;(ROW(PLE.lastrow)-ROW(PLE.firstrow))),0,IF(OFFSET(PLE!$G$14,$M25,BB$13)="",10^12,OFFSET(PLE!$G$14,$M25,BB$13))))</f>
        <v>0</v>
      </c>
      <c r="BC25" s="181">
        <f ca="1">IF($D25&lt;&gt;"Serviço",0,IF(OR(AND(AUTOEVENTO="Manual",$M25=1),$M25&gt;(ROW(PLE.lastrow)-ROW(PLE.firstrow))),0,IF(OFFSET(PLE!$G$14,$M25,BC$13)="",10^12,OFFSET(PLE!$G$14,$M25,BC$13))))</f>
        <v>0</v>
      </c>
      <c r="BD25" s="181">
        <f ca="1">IF($D25&lt;&gt;"Serviço",0,IF(OR(AND(AUTOEVENTO="Manual",$M25=1),$M25&gt;(ROW(PLE.lastrow)-ROW(PLE.firstrow))),0,IF(OFFSET(PLE!$G$14,$M25,BD$13)="",10^12,OFFSET(PLE!$G$14,$M25,BD$13))))</f>
        <v>0</v>
      </c>
      <c r="BE25" s="181">
        <f ca="1">IF($D25&lt;&gt;"Serviço",0,IF(OR(AND(AUTOEVENTO="Manual",$M25=1),$M25&gt;(ROW(PLE.lastrow)-ROW(PLE.firstrow))),0,IF(OFFSET(PLE!$G$14,$M25,BE$13)="",10^12,OFFSET(PLE!$G$14,$M25,BE$13))))</f>
        <v>0</v>
      </c>
      <c r="BF25" s="181">
        <f ca="1">IF($D25&lt;&gt;"Serviço",0,IF(OR(AND(AUTOEVENTO="Manual",$M25=1),$M25&gt;(ROW(PLE.lastrow)-ROW(PLE.firstrow))),0,IF(OFFSET(PLE!$G$14,$M25,BF$13)="",10^12,OFFSET(PLE!$G$14,$M25,BF$13))))</f>
        <v>0</v>
      </c>
      <c r="BG25" s="181">
        <f ca="1">IF($D25&lt;&gt;"Serviço",0,IF(OR(AND(AUTOEVENTO="Manual",$M25=1),$M25&gt;(ROW(PLE.lastrow)-ROW(PLE.firstrow))),0,IF(OFFSET(PLE!$G$14,$M25,BG$13)="",10^12,OFFSET(PLE!$G$14,$M25,BG$13))))</f>
        <v>0</v>
      </c>
    </row>
    <row r="26" spans="1:59" ht="114.7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146</v>
      </c>
      <c r="I26" s="561" t="s">
        <v>488</v>
      </c>
      <c r="K26" s="173" t="s">
        <v>485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f>31+31+10</f>
        <v>72</v>
      </c>
      <c r="S26" s="178">
        <f>29+33+12</f>
        <v>74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3</v>
      </c>
      <c r="AO26" s="180">
        <f ca="1">IF($D26&lt;&gt;"Serviço",0,IF(AND(AUTOEVENTO="Manual",$M26=1),0,IF(OFFSET(CRONOPLE!$F$14,$M26,AO$13)="",10^12,OFFSET(CRONOPLE!$F$14,$M26,AO$13))))</f>
        <v>4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s="579" customFormat="1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183.95999999999998</v>
      </c>
      <c r="I27" s="561" t="s">
        <v>504</v>
      </c>
      <c r="K27" s="173" t="s">
        <v>485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(R26*0.042)*30</f>
        <v>90.72</v>
      </c>
      <c r="S27" s="178">
        <f>(S26*0.042)*30</f>
        <v>93.240000000000009</v>
      </c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3</v>
      </c>
      <c r="AO27" s="180">
        <f ca="1">IF($D27&lt;&gt;"Serviço",0,IF(AND(AUTOEVENTO="Manual",$M27=1),0,IF(OFFSET(CRONOPLE!$F$14,$M27,AO$13)="",10^12,OFFSET(CRONOPLE!$F$14,$M27,AO$13))))</f>
        <v>4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s="579" customFormat="1" ht="76.5" x14ac:dyDescent="0.2">
      <c r="A28" s="7">
        <f t="shared" ca="1" si="8"/>
        <v>5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115.89</v>
      </c>
      <c r="I28" s="561" t="s">
        <v>505</v>
      </c>
      <c r="K28" s="173" t="s">
        <v>502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5</v>
      </c>
      <c r="N28" s="176" t="str">
        <f ca="1">IF($D28&lt;&gt;"Serviço","",IF(AUTOEVENTO="Manual",IF($A28=0,"&lt;-- defina o número do agrupador",OFFSET(EVENTOS!$D$14,$A28,0)),OFFSET($F$15,$A28,0)))</f>
        <v>Passeio Público</v>
      </c>
      <c r="O28" s="177"/>
      <c r="Q28" s="177"/>
      <c r="R28" s="178">
        <f>(R27*0.042)*15</f>
        <v>57.153600000000004</v>
      </c>
      <c r="S28" s="178">
        <f>(S27*0.042)*15</f>
        <v>58.741200000000006</v>
      </c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3</v>
      </c>
      <c r="AO28" s="180">
        <f ca="1">IF($D28&lt;&gt;"Serviço",0,IF(AND(AUTOEVENTO="Manual",$M28=1),0,IF(OFFSET(CRONOPLE!$F$14,$M28,AO$13)="",10^12,OFFSET(CRONOPLE!$F$14,$M28,AO$13))))</f>
        <v>4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1000000000000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ca="1">IF(AUTOEVENTO="Manual",IF(K29&lt;&gt;"",MIN(VALUE(LEFT(K29,FIND(".",K29)-1)),COUNTA(EVENTOS.Lista)),0),IF(OR($B29&gt;AUTOEVENTO,$B29="S",$B29=0),SUBSTITUTE(OFFSET($A29,-1,0),IF($D29="Serviço",".",""),""),ROW(A29)-ROW($A$15)&amp;"."))</f>
        <v>3</v>
      </c>
      <c r="B29" s="7">
        <f ca="1">OFFSET(ORÇAMENTO!C$15,ROW(B29)-ROW(B$15),0)</f>
        <v>3</v>
      </c>
      <c r="C29" s="7" t="str">
        <f ca="1">OFFSET(ORÇAMENTO!L$15,ROW(C29)-ROW(C$15),0)</f>
        <v>F</v>
      </c>
      <c r="D29" s="118" t="str">
        <f ca="1">OFFSET(ORÇAMENTO!N$15,ROW(D29)-ROW(D$15),0)</f>
        <v>Nível 3</v>
      </c>
      <c r="E29" s="119" t="str">
        <f ca="1">OFFSET(ORÇAMENTO!O$15,ROW(E29)-ROW(E$15),0)</f>
        <v>1.4.2.</v>
      </c>
      <c r="F29" s="171" t="str">
        <f ca="1">OFFSET(ORÇAMENTO!R$15,ROW(F29)-ROW(F$15),0)</f>
        <v>Pavimentação da pista de rolamento com bloco de concreto 16 faces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455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38.25" x14ac:dyDescent="0.2">
      <c r="A30" s="7">
        <f ca="1">IF(AUTOEVENTO="Manual",IF(K30&lt;&gt;"",MIN(VALUE(LEFT(K30,FIND(".",K30)-1)),COUNTA(EVENTOS.Lista)),0),IF(OR($B30&gt;AUTOEVENTO,$B30="S",$B30=0),SUBSTITUTE(OFFSET($A30,-1,0),IF($D30="Serviço",".",""),""),ROW(A30)-ROW($A$15)&amp;"."))</f>
        <v>4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622</v>
      </c>
      <c r="I30" s="561" t="s">
        <v>468</v>
      </c>
      <c r="K30" s="173" t="s">
        <v>485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176" t="str">
        <f ca="1">IF($D30&lt;&gt;"Serviço","",IF(AUTOEVENTO="Manual",IF($A30=0,"&lt;-- defina o número do agrupador",OFFSET(EVENTOS!$D$14,$A30,0)),OFFSET($F$15,$A30,0)))</f>
        <v>Pavimantação - Pista</v>
      </c>
      <c r="O30" s="177"/>
      <c r="Q30" s="177"/>
      <c r="R30" s="178">
        <f>R23</f>
        <v>310.95</v>
      </c>
      <c r="S30" s="178">
        <f>S23</f>
        <v>311.05</v>
      </c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3</v>
      </c>
      <c r="AO30" s="180">
        <f ca="1">IF($D30&lt;&gt;"Serviço",0,IF(AND(AUTOEVENTO="Manual",$M30=1),0,IF(OFFSET(CRONOPLE!$F$14,$M30,AO$13)="",10^12,OFFSET(CRONOPLE!$F$14,$M30,AO$13))))</f>
        <v>4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4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76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4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421.09000000000003</v>
      </c>
      <c r="I31" s="561" t="s">
        <v>464</v>
      </c>
      <c r="K31" s="173" t="s">
        <v>485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176" t="str">
        <f ca="1">IF($D31&lt;&gt;"Serviço","",IF(AUTOEVENTO="Manual",IF($A31=0,"&lt;-- defina o número do agrupador",OFFSET(EVENTOS!$D$14,$A31,0)),OFFSET($F$15,$A31,0)))</f>
        <v>Pavimantação - Pista</v>
      </c>
      <c r="O31" s="177"/>
      <c r="Q31" s="177"/>
      <c r="R31" s="178">
        <f>(R30*0.0677)*10</f>
        <v>210.51315</v>
      </c>
      <c r="S31" s="178">
        <f>(S30*0.0677)*10</f>
        <v>210.58085</v>
      </c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3</v>
      </c>
      <c r="AO31" s="180">
        <f ca="1">IF($D31&lt;&gt;"Serviço",0,IF(AND(AUTOEVENTO="Manual",$M31=1),0,IF(OFFSET(CRONOPLE!$F$14,$M31,AO$13)="",10^12,OFFSET(CRONOPLE!$F$14,$M31,AO$13))))</f>
        <v>4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4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102" x14ac:dyDescent="0.2">
      <c r="A32" s="7">
        <f t="shared" ca="1" si="8"/>
        <v>4</v>
      </c>
      <c r="B32" s="7" t="str">
        <f ca="1">OFFSET(ORÇAMENTO!C$15,ROW(B32)-ROW(B$15),0)</f>
        <v>S</v>
      </c>
      <c r="C32" s="7" t="str">
        <f ca="1">OFFSET(ORÇAMENTO!L$15,ROW(C32)-ROW(C$15),0)</f>
        <v/>
      </c>
      <c r="D32" s="118" t="str">
        <f ca="1">OFFSET(ORÇAMENTO!N$15,ROW(D32)-ROW(D$15),0)</f>
        <v>Serviço</v>
      </c>
      <c r="E32" s="119" t="str">
        <f ca="1">OFFSET(ORÇAMENTO!O$15,ROW(E32)-ROW(E$15),0)</f>
        <v>-</v>
      </c>
      <c r="F32" s="171" t="str">
        <f ca="1">OFFSET(ORÇAMENTO!R$15,ROW(F32)-ROW(F$15),0)</f>
        <v>(abra o arquivo 'Referência 04-2024.xls)</v>
      </c>
      <c r="G32" s="172" t="str">
        <f ca="1">IF($D32&lt;&gt;"Serviço","",OFFSET(ORÇAMENTO!S$15,ROW(G32)-ROW(G$15),0))</f>
        <v>-</v>
      </c>
      <c r="H32" s="124">
        <f ca="1">IF($D32&lt;&gt;"Serviço",0,IF(ACOMPANHAMENTO="BM",ROUND(OFFSET(ORÇAMENTO!AJ$15,ROW(H32)-ROW(H$15),0),15-13*ORÇAMENTO!$AF$7),SUMPRODUCT(($Q$12:$AA$12&lt;&gt;"")*ROUND($Q32:$AA32,15-13*ORÇAMENTO!$AF$7))))</f>
        <v>45.15</v>
      </c>
      <c r="I32" s="561" t="s">
        <v>467</v>
      </c>
      <c r="K32" s="173" t="s">
        <v>485</v>
      </c>
      <c r="L32" s="174" t="s">
        <v>257</v>
      </c>
      <c r="M32" s="175">
        <f ca="1">IF($D32&lt;&gt;"Serviço","",IF(AUTOEVENTO="manual",$A32,IF(ISERROR(MATCH($A32,$A$15:OFFSET($A32,-1,0),0)),MAX($M$15:OFFSET(M32,-1,0))+1,INDEX($M$15:OFFSET(M32,-1,0),MATCH($A32,$A$15:OFFSET($A32,-1,0),0)))))</f>
        <v>4</v>
      </c>
      <c r="N32" s="176" t="str">
        <f ca="1">IF($D32&lt;&gt;"Serviço","",IF(AUTOEVENTO="Manual",IF($A32=0,"&lt;-- defina o número do agrupador",OFFSET(EVENTOS!$D$14,$A32,0)),OFFSET($F$15,$A32,0)))</f>
        <v>Pavimantação - Pista</v>
      </c>
      <c r="O32" s="177"/>
      <c r="Q32" s="177"/>
      <c r="R32" s="178">
        <f>((R30*(0.22*0.11*0.1))*30)</f>
        <v>22.57497</v>
      </c>
      <c r="S32" s="178">
        <f>((S30*(0.22*0.11*0.1))*30)</f>
        <v>22.582230000000003</v>
      </c>
      <c r="T32" s="178"/>
      <c r="U32" s="178"/>
      <c r="V32" s="178"/>
      <c r="W32" s="178"/>
      <c r="X32" s="178"/>
      <c r="Y32" s="178"/>
      <c r="Z32" s="179"/>
      <c r="AB32" s="544">
        <f ca="1">IF(AND($D32="Serviço",AB$12&lt;&gt;0,$H32&gt;0,OR(AUTOEVENTO&lt;&gt;"manual",$M32&lt;&gt;1)),ROUND(OFFSET($P32,0,AB$13),15-13*ORÇAMENTO!$AF$7)/$H32*OFFSET(ORÇAMENTO!$X$15,ROW(AB32)-ROW(AB$15),0),0)</f>
        <v>0</v>
      </c>
      <c r="AC32" s="545">
        <f ca="1">IF(AND($D32="Serviço",AC$12&lt;&gt;0,$H32&gt;0,OR(AUTOEVENTO&lt;&gt;"manual",$M32&lt;&gt;1)),ROUND(OFFSET($P32,0,AC$13),15-13*ORÇAMENTO!$AF$7)/$H32*OFFSET(ORÇAMENTO!$X$15,ROW(AC32)-ROW(AC$15),0),0)</f>
        <v>0</v>
      </c>
      <c r="AD32" s="545">
        <f ca="1">IF(AND($D32="Serviço",AD$12&lt;&gt;0,$H32&gt;0,OR(AUTOEVENTO&lt;&gt;"manual",$M32&lt;&gt;1)),ROUND(OFFSET($P32,0,AD$13),15-13*ORÇAMENTO!$AF$7)/$H32*OFFSET(ORÇAMENTO!$X$15,ROW(AD32)-ROW(AD$15),0),0)</f>
        <v>0</v>
      </c>
      <c r="AE32" s="545">
        <f ca="1">IF(AND($D32="Serviço",AE$12&lt;&gt;0,$H32&gt;0,OR(AUTOEVENTO&lt;&gt;"manual",$M32&lt;&gt;1)),ROUND(OFFSET($P32,0,AE$13),15-13*ORÇAMENTO!$AF$7)/$H32*OFFSET(ORÇAMENTO!$X$15,ROW(AE32)-ROW(AE$15),0),0)</f>
        <v>0</v>
      </c>
      <c r="AF32" s="545">
        <f ca="1">IF(AND($D32="Serviço",AF$12&lt;&gt;0,$H32&gt;0,OR(AUTOEVENTO&lt;&gt;"manual",$M32&lt;&gt;1)),ROUND(OFFSET($P32,0,AF$13),15-13*ORÇAMENTO!$AF$7)/$H32*OFFSET(ORÇAMENTO!$X$15,ROW(AF32)-ROW(AF$15),0),0)</f>
        <v>0</v>
      </c>
      <c r="AG32" s="545">
        <f ca="1">IF(AND($D32="Serviço",AG$12&lt;&gt;0,$H32&gt;0,OR(AUTOEVENTO&lt;&gt;"manual",$M32&lt;&gt;1)),ROUND(OFFSET($P32,0,AG$13),15-13*ORÇAMENTO!$AF$7)/$H32*OFFSET(ORÇAMENTO!$X$15,ROW(AG32)-ROW(AG$15),0),0)</f>
        <v>0</v>
      </c>
      <c r="AH32" s="545">
        <f ca="1">IF(AND($D32="Serviço",AH$12&lt;&gt;0,$H32&gt;0,OR(AUTOEVENTO&lt;&gt;"manual",$M32&lt;&gt;1)),ROUND(OFFSET($P32,0,AH$13),15-13*ORÇAMENTO!$AF$7)/$H32*OFFSET(ORÇAMENTO!$X$15,ROW(AH32)-ROW(AH$15),0),0)</f>
        <v>0</v>
      </c>
      <c r="AI32" s="545">
        <f ca="1">IF(AND($D32="Serviço",AI$12&lt;&gt;0,$H32&gt;0,OR(AUTOEVENTO&lt;&gt;"manual",$M32&lt;&gt;1)),ROUND(OFFSET($P32,0,AI$13),15-13*ORÇAMENTO!$AF$7)/$H32*OFFSET(ORÇAMENTO!$X$15,ROW(AI32)-ROW(AI$15),0),0)</f>
        <v>0</v>
      </c>
      <c r="AJ32" s="545">
        <f ca="1">IF(AND($D32="Serviço",AJ$12&lt;&gt;0,$H32&gt;0,OR(AUTOEVENTO&lt;&gt;"manual",$M32&lt;&gt;1)),ROUND(OFFSET($P32,0,AJ$13),15-13*ORÇAMENTO!$AF$7)/$H32*OFFSET(ORÇAMENTO!$X$15,ROW(AJ32)-ROW(AJ$15),0),0)</f>
        <v>0</v>
      </c>
      <c r="AK32" s="546">
        <f ca="1">IF(AND($D32="Serviço",AK$12&lt;&gt;0,$H32&gt;0,OR(AUTOEVENTO&lt;&gt;"manual",$M32&lt;&gt;1)),ROUND(OFFSET($P32,0,AK$13),15-13*ORÇAMENTO!$AF$7)/$H32*OFFSET(ORÇAMENTO!$X$15,ROW(AK32)-ROW(AK$15),0),0)</f>
        <v>0</v>
      </c>
      <c r="AM32" s="180">
        <f ca="1">IF($D32&lt;&gt;"Serviço",0,IF(AND(AUTOEVENTO="Manual",$M32=1),0,IF(OFFSET(CRONOPLE!$F$14,$M32,AM$13)="",10^12,OFFSET(CRONOPLE!$F$14,$M32,AM$13))))</f>
        <v>1000000000000</v>
      </c>
      <c r="AN32" s="180">
        <f ca="1">IF($D32&lt;&gt;"Serviço",0,IF(AND(AUTOEVENTO="Manual",$M32=1),0,IF(OFFSET(CRONOPLE!$F$14,$M32,AN$13)="",10^12,OFFSET(CRONOPLE!$F$14,$M32,AN$13))))</f>
        <v>3</v>
      </c>
      <c r="AO32" s="180">
        <f ca="1">IF($D32&lt;&gt;"Serviço",0,IF(AND(AUTOEVENTO="Manual",$M32=1),0,IF(OFFSET(CRONOPLE!$F$14,$M32,AO$13)="",10^12,OFFSET(CRONOPLE!$F$14,$M32,AO$13))))</f>
        <v>4</v>
      </c>
      <c r="AP32" s="180">
        <f ca="1">IF($D32&lt;&gt;"Serviço",0,IF(AND(AUTOEVENTO="Manual",$M32=1),0,IF(OFFSET(CRONOPLE!$F$14,$M32,AP$13)="",10^12,OFFSET(CRONOPLE!$F$14,$M32,AP$13))))</f>
        <v>1000000000000</v>
      </c>
      <c r="AQ32" s="180">
        <f ca="1">IF($D32&lt;&gt;"Serviço",0,IF(AND(AUTOEVENTO="Manual",$M32=1),0,IF(OFFSET(CRONOPLE!$F$14,$M32,AQ$13)="",10^12,OFFSET(CRONOPLE!$F$14,$M32,AQ$13))))</f>
        <v>4</v>
      </c>
      <c r="AR32" s="180">
        <f ca="1">IF($D32&lt;&gt;"Serviço",0,IF(AND(AUTOEVENTO="Manual",$M32=1),0,IF(OFFSET(CRONOPLE!$F$14,$M32,AR$13)="",10^12,OFFSET(CRONOPLE!$F$14,$M32,AR$13))))</f>
        <v>1000000000000</v>
      </c>
      <c r="AS32" s="180">
        <f ca="1">IF($D32&lt;&gt;"Serviço",0,IF(AND(AUTOEVENTO="Manual",$M32=1),0,IF(OFFSET(CRONOPLE!$F$14,$M32,AS$13)="",10^12,OFFSET(CRONOPLE!$F$14,$M32,AS$13))))</f>
        <v>1000000000000</v>
      </c>
      <c r="AT32" s="180">
        <f ca="1">IF($D32&lt;&gt;"Serviço",0,IF(AND(AUTOEVENTO="Manual",$M32=1),0,IF(OFFSET(CRONOPLE!$F$14,$M32,AT$13)="",10^12,OFFSET(CRONOPLE!$F$14,$M32,AT$13))))</f>
        <v>1000000000000</v>
      </c>
      <c r="AU32" s="180">
        <f ca="1">IF($D32&lt;&gt;"Serviço",0,IF(AND(AUTOEVENTO="Manual",$M32=1),0,IF(OFFSET(CRONOPLE!$F$14,$M32,AU$13)="",10^12,OFFSET(CRONOPLE!$F$14,$M32,AU$13))))</f>
        <v>1000000000000</v>
      </c>
      <c r="AV32" s="180">
        <f ca="1">IF($D32&lt;&gt;"Serviço",0,IF(AND(AUTOEVENTO="Manual",$M32=1),0,IF(OFFSET(CRONOPLE!$F$14,$M32,AV$13)="",10^12,OFFSET(CRONOPLE!$F$14,$M32,AV$13))))</f>
        <v>1000000000000</v>
      </c>
      <c r="AX32" s="181">
        <f ca="1">IF($D32&lt;&gt;"Serviço",0,IF(OR(AND(AUTOEVENTO="Manual",$M32=1),$M32&gt;(ROW(PLE.lastrow)-ROW(PLE.firstrow))),0,IF(OFFSET(PLE!$G$14,$M32,AX$13)="",10^12,OFFSET(PLE!$G$14,$M32,AX$13))))</f>
        <v>1000000000000</v>
      </c>
      <c r="AY32" s="181">
        <f ca="1">IF($D32&lt;&gt;"Serviço",0,IF(OR(AND(AUTOEVENTO="Manual",$M32=1),$M32&gt;(ROW(PLE.lastrow)-ROW(PLE.firstrow))),0,IF(OFFSET(PLE!$G$14,$M32,AY$13)="",10^12,OFFSET(PLE!$G$14,$M32,AY$13))))</f>
        <v>1000000000000</v>
      </c>
      <c r="AZ32" s="181">
        <f ca="1">IF($D32&lt;&gt;"Serviço",0,IF(OR(AND(AUTOEVENTO="Manual",$M32=1),$M32&gt;(ROW(PLE.lastrow)-ROW(PLE.firstrow))),0,IF(OFFSET(PLE!$G$14,$M32,AZ$13)="",10^12,OFFSET(PLE!$G$14,$M32,AZ$13))))</f>
        <v>1000000000000</v>
      </c>
      <c r="BA32" s="181">
        <f ca="1">IF($D32&lt;&gt;"Serviço",0,IF(OR(AND(AUTOEVENTO="Manual",$M32=1),$M32&gt;(ROW(PLE.lastrow)-ROW(PLE.firstrow))),0,IF(OFFSET(PLE!$G$14,$M32,BA$13)="",10^12,OFFSET(PLE!$G$14,$M32,BA$13))))</f>
        <v>1000000000000</v>
      </c>
      <c r="BB32" s="181">
        <f ca="1">IF($D32&lt;&gt;"Serviço",0,IF(OR(AND(AUTOEVENTO="Manual",$M32=1),$M32&gt;(ROW(PLE.lastrow)-ROW(PLE.firstrow))),0,IF(OFFSET(PLE!$G$14,$M32,BB$13)="",10^12,OFFSET(PLE!$G$14,$M32,BB$13))))</f>
        <v>1000000000000</v>
      </c>
      <c r="BC32" s="181">
        <f ca="1">IF($D32&lt;&gt;"Serviço",0,IF(OR(AND(AUTOEVENTO="Manual",$M32=1),$M32&gt;(ROW(PLE.lastrow)-ROW(PLE.firstrow))),0,IF(OFFSET(PLE!$G$14,$M32,BC$13)="",10^12,OFFSET(PLE!$G$14,$M32,BC$13))))</f>
        <v>1000000000000</v>
      </c>
      <c r="BD32" s="181">
        <f ca="1">IF($D32&lt;&gt;"Serviço",0,IF(OR(AND(AUTOEVENTO="Manual",$M32=1),$M32&gt;(ROW(PLE.lastrow)-ROW(PLE.firstrow))),0,IF(OFFSET(PLE!$G$14,$M32,BD$13)="",10^12,OFFSET(PLE!$G$14,$M32,BD$13))))</f>
        <v>1000000000000</v>
      </c>
      <c r="BE32" s="181">
        <f ca="1">IF($D32&lt;&gt;"Serviço",0,IF(OR(AND(AUTOEVENTO="Manual",$M32=1),$M32&gt;(ROW(PLE.lastrow)-ROW(PLE.firstrow))),0,IF(OFFSET(PLE!$G$14,$M32,BE$13)="",10^12,OFFSET(PLE!$G$14,$M32,BE$13))))</f>
        <v>1000000000000</v>
      </c>
      <c r="BF32" s="181">
        <f ca="1">IF($D32&lt;&gt;"Serviço",0,IF(OR(AND(AUTOEVENTO="Manual",$M32=1),$M32&gt;(ROW(PLE.lastrow)-ROW(PLE.firstrow))),0,IF(OFFSET(PLE!$G$14,$M32,BF$13)="",10^12,OFFSET(PLE!$G$14,$M32,BF$13))))</f>
        <v>1000000000000</v>
      </c>
      <c r="BG32" s="181">
        <f ca="1">IF($D32&lt;&gt;"Serviço",0,IF(OR(AND(AUTOEVENTO="Manual",$M32=1),$M32&gt;(ROW(PLE.lastrow)-ROW(PLE.firstrow))),0,IF(OFFSET(PLE!$G$14,$M32,BG$13)="",10^12,OFFSET(PLE!$G$14,$M32,BG$13))))</f>
        <v>1000000000000</v>
      </c>
    </row>
    <row r="33" spans="1:59" ht="102" x14ac:dyDescent="0.2">
      <c r="A33" s="7">
        <f t="shared" ca="1" si="8"/>
        <v>4</v>
      </c>
      <c r="B33" s="7" t="str">
        <f ca="1">OFFSET(ORÇAMENTO!C$15,ROW(B33)-ROW(B$15),0)</f>
        <v>S</v>
      </c>
      <c r="C33" s="7" t="str">
        <f ca="1">OFFSET(ORÇAMENTO!L$15,ROW(C33)-ROW(C$15),0)</f>
        <v/>
      </c>
      <c r="D33" s="118" t="str">
        <f ca="1">OFFSET(ORÇAMENTO!N$15,ROW(D33)-ROW(D$15),0)</f>
        <v>Serviço</v>
      </c>
      <c r="E33" s="119" t="str">
        <f ca="1">OFFSET(ORÇAMENTO!O$15,ROW(E33)-ROW(E$15),0)</f>
        <v>-</v>
      </c>
      <c r="F33" s="171" t="str">
        <f ca="1">OFFSET(ORÇAMENTO!R$15,ROW(F33)-ROW(F$15),0)</f>
        <v>(abra o arquivo 'Referência 04-2024.xls)</v>
      </c>
      <c r="G33" s="172" t="str">
        <f ca="1">IF($D33&lt;&gt;"Serviço","",OFFSET(ORÇAMENTO!S$15,ROW(G33)-ROW(G$15),0))</f>
        <v>-</v>
      </c>
      <c r="H33" s="124">
        <f ca="1">IF($D33&lt;&gt;"Serviço",0,IF(ACOMPANHAMENTO="BM",ROUND(OFFSET(ORÇAMENTO!AJ$15,ROW(H33)-ROW(H$15),0),15-13*ORÇAMENTO!$AF$7),SUMPRODUCT(($Q$12:$AA$12&lt;&gt;"")*ROUND($Q33:$AA33,15-13*ORÇAMENTO!$AF$7))))</f>
        <v>22.58</v>
      </c>
      <c r="I33" s="561" t="s">
        <v>466</v>
      </c>
      <c r="K33" s="173" t="s">
        <v>485</v>
      </c>
      <c r="L33" s="174" t="s">
        <v>257</v>
      </c>
      <c r="M33" s="175">
        <f ca="1">IF($D33&lt;&gt;"Serviço","",IF(AUTOEVENTO="manual",$A33,IF(ISERROR(MATCH($A33,$A$15:OFFSET($A33,-1,0),0)),MAX($M$15:OFFSET(M33,-1,0))+1,INDEX($M$15:OFFSET(M33,-1,0),MATCH($A33,$A$15:OFFSET($A33,-1,0),0)))))</f>
        <v>4</v>
      </c>
      <c r="N33" s="176" t="str">
        <f ca="1">IF($D33&lt;&gt;"Serviço","",IF(AUTOEVENTO="Manual",IF($A33=0,"&lt;-- defina o número do agrupador",OFFSET(EVENTOS!$D$14,$A33,0)),OFFSET($F$15,$A33,0)))</f>
        <v>Pavimantação - Pista</v>
      </c>
      <c r="O33" s="177"/>
      <c r="Q33" s="177"/>
      <c r="R33" s="178">
        <f>((R30*(0.22*0.11*0.1))*15)</f>
        <v>11.287485</v>
      </c>
      <c r="S33" s="178">
        <f>((S30*(0.22*0.11*0.1))*15)</f>
        <v>11.291115000000001</v>
      </c>
      <c r="T33" s="178"/>
      <c r="U33" s="178"/>
      <c r="V33" s="178"/>
      <c r="W33" s="178"/>
      <c r="X33" s="178"/>
      <c r="Y33" s="178"/>
      <c r="Z33" s="179"/>
      <c r="AB33" s="544">
        <f ca="1">IF(AND($D33="Serviço",AB$12&lt;&gt;0,$H33&gt;0,OR(AUTOEVENTO&lt;&gt;"manual",$M33&lt;&gt;1)),ROUND(OFFSET($P33,0,AB$13),15-13*ORÇAMENTO!$AF$7)/$H33*OFFSET(ORÇAMENTO!$X$15,ROW(AB33)-ROW(AB$15),0),0)</f>
        <v>0</v>
      </c>
      <c r="AC33" s="545">
        <f ca="1">IF(AND($D33="Serviço",AC$12&lt;&gt;0,$H33&gt;0,OR(AUTOEVENTO&lt;&gt;"manual",$M33&lt;&gt;1)),ROUND(OFFSET($P33,0,AC$13),15-13*ORÇAMENTO!$AF$7)/$H33*OFFSET(ORÇAMENTO!$X$15,ROW(AC33)-ROW(AC$15),0),0)</f>
        <v>0</v>
      </c>
      <c r="AD33" s="545">
        <f ca="1">IF(AND($D33="Serviço",AD$12&lt;&gt;0,$H33&gt;0,OR(AUTOEVENTO&lt;&gt;"manual",$M33&lt;&gt;1)),ROUND(OFFSET($P33,0,AD$13),15-13*ORÇAMENTO!$AF$7)/$H33*OFFSET(ORÇAMENTO!$X$15,ROW(AD33)-ROW(AD$15),0),0)</f>
        <v>0</v>
      </c>
      <c r="AE33" s="545">
        <f ca="1">IF(AND($D33="Serviço",AE$12&lt;&gt;0,$H33&gt;0,OR(AUTOEVENTO&lt;&gt;"manual",$M33&lt;&gt;1)),ROUND(OFFSET($P33,0,AE$13),15-13*ORÇAMENTO!$AF$7)/$H33*OFFSET(ORÇAMENTO!$X$15,ROW(AE33)-ROW(AE$15),0),0)</f>
        <v>0</v>
      </c>
      <c r="AF33" s="545">
        <f ca="1">IF(AND($D33="Serviço",AF$12&lt;&gt;0,$H33&gt;0,OR(AUTOEVENTO&lt;&gt;"manual",$M33&lt;&gt;1)),ROUND(OFFSET($P33,0,AF$13),15-13*ORÇAMENTO!$AF$7)/$H33*OFFSET(ORÇAMENTO!$X$15,ROW(AF33)-ROW(AF$15),0),0)</f>
        <v>0</v>
      </c>
      <c r="AG33" s="545">
        <f ca="1">IF(AND($D33="Serviço",AG$12&lt;&gt;0,$H33&gt;0,OR(AUTOEVENTO&lt;&gt;"manual",$M33&lt;&gt;1)),ROUND(OFFSET($P33,0,AG$13),15-13*ORÇAMENTO!$AF$7)/$H33*OFFSET(ORÇAMENTO!$X$15,ROW(AG33)-ROW(AG$15),0),0)</f>
        <v>0</v>
      </c>
      <c r="AH33" s="545">
        <f ca="1">IF(AND($D33="Serviço",AH$12&lt;&gt;0,$H33&gt;0,OR(AUTOEVENTO&lt;&gt;"manual",$M33&lt;&gt;1)),ROUND(OFFSET($P33,0,AH$13),15-13*ORÇAMENTO!$AF$7)/$H33*OFFSET(ORÇAMENTO!$X$15,ROW(AH33)-ROW(AH$15),0),0)</f>
        <v>0</v>
      </c>
      <c r="AI33" s="545">
        <f ca="1">IF(AND($D33="Serviço",AI$12&lt;&gt;0,$H33&gt;0,OR(AUTOEVENTO&lt;&gt;"manual",$M33&lt;&gt;1)),ROUND(OFFSET($P33,0,AI$13),15-13*ORÇAMENTO!$AF$7)/$H33*OFFSET(ORÇAMENTO!$X$15,ROW(AI33)-ROW(AI$15),0),0)</f>
        <v>0</v>
      </c>
      <c r="AJ33" s="545">
        <f ca="1">IF(AND($D33="Serviço",AJ$12&lt;&gt;0,$H33&gt;0,OR(AUTOEVENTO&lt;&gt;"manual",$M33&lt;&gt;1)),ROUND(OFFSET($P33,0,AJ$13),15-13*ORÇAMENTO!$AF$7)/$H33*OFFSET(ORÇAMENTO!$X$15,ROW(AJ33)-ROW(AJ$15),0),0)</f>
        <v>0</v>
      </c>
      <c r="AK33" s="546">
        <f ca="1">IF(AND($D33="Serviço",AK$12&lt;&gt;0,$H33&gt;0,OR(AUTOEVENTO&lt;&gt;"manual",$M33&lt;&gt;1)),ROUND(OFFSET($P33,0,AK$13),15-13*ORÇAMENTO!$AF$7)/$H33*OFFSET(ORÇAMENTO!$X$15,ROW(AK33)-ROW(AK$15),0),0)</f>
        <v>0</v>
      </c>
      <c r="AM33" s="180">
        <f ca="1">IF($D33&lt;&gt;"Serviço",0,IF(AND(AUTOEVENTO="Manual",$M33=1),0,IF(OFFSET(CRONOPLE!$F$14,$M33,AM$13)="",10^12,OFFSET(CRONOPLE!$F$14,$M33,AM$13))))</f>
        <v>1000000000000</v>
      </c>
      <c r="AN33" s="180">
        <f ca="1">IF($D33&lt;&gt;"Serviço",0,IF(AND(AUTOEVENTO="Manual",$M33=1),0,IF(OFFSET(CRONOPLE!$F$14,$M33,AN$13)="",10^12,OFFSET(CRONOPLE!$F$14,$M33,AN$13))))</f>
        <v>3</v>
      </c>
      <c r="AO33" s="180">
        <f ca="1">IF($D33&lt;&gt;"Serviço",0,IF(AND(AUTOEVENTO="Manual",$M33=1),0,IF(OFFSET(CRONOPLE!$F$14,$M33,AO$13)="",10^12,OFFSET(CRONOPLE!$F$14,$M33,AO$13))))</f>
        <v>4</v>
      </c>
      <c r="AP33" s="180">
        <f ca="1">IF($D33&lt;&gt;"Serviço",0,IF(AND(AUTOEVENTO="Manual",$M33=1),0,IF(OFFSET(CRONOPLE!$F$14,$M33,AP$13)="",10^12,OFFSET(CRONOPLE!$F$14,$M33,AP$13))))</f>
        <v>1000000000000</v>
      </c>
      <c r="AQ33" s="180">
        <f ca="1">IF($D33&lt;&gt;"Serviço",0,IF(AND(AUTOEVENTO="Manual",$M33=1),0,IF(OFFSET(CRONOPLE!$F$14,$M33,AQ$13)="",10^12,OFFSET(CRONOPLE!$F$14,$M33,AQ$13))))</f>
        <v>4</v>
      </c>
      <c r="AR33" s="180">
        <f ca="1">IF($D33&lt;&gt;"Serviço",0,IF(AND(AUTOEVENTO="Manual",$M33=1),0,IF(OFFSET(CRONOPLE!$F$14,$M33,AR$13)="",10^12,OFFSET(CRONOPLE!$F$14,$M33,AR$13))))</f>
        <v>1000000000000</v>
      </c>
      <c r="AS33" s="180">
        <f ca="1">IF($D33&lt;&gt;"Serviço",0,IF(AND(AUTOEVENTO="Manual",$M33=1),0,IF(OFFSET(CRONOPLE!$F$14,$M33,AS$13)="",10^12,OFFSET(CRONOPLE!$F$14,$M33,AS$13))))</f>
        <v>1000000000000</v>
      </c>
      <c r="AT33" s="180">
        <f ca="1">IF($D33&lt;&gt;"Serviço",0,IF(AND(AUTOEVENTO="Manual",$M33=1),0,IF(OFFSET(CRONOPLE!$F$14,$M33,AT$13)="",10^12,OFFSET(CRONOPLE!$F$14,$M33,AT$13))))</f>
        <v>1000000000000</v>
      </c>
      <c r="AU33" s="180">
        <f ca="1">IF($D33&lt;&gt;"Serviço",0,IF(AND(AUTOEVENTO="Manual",$M33=1),0,IF(OFFSET(CRONOPLE!$F$14,$M33,AU$13)="",10^12,OFFSET(CRONOPLE!$F$14,$M33,AU$13))))</f>
        <v>1000000000000</v>
      </c>
      <c r="AV33" s="180">
        <f ca="1">IF($D33&lt;&gt;"Serviço",0,IF(AND(AUTOEVENTO="Manual",$M33=1),0,IF(OFFSET(CRONOPLE!$F$14,$M33,AV$13)="",10^12,OFFSET(CRONOPLE!$F$14,$M33,AV$13))))</f>
        <v>1000000000000</v>
      </c>
      <c r="AX33" s="181">
        <f ca="1">IF($D33&lt;&gt;"Serviço",0,IF(OR(AND(AUTOEVENTO="Manual",$M33=1),$M33&gt;(ROW(PLE.lastrow)-ROW(PLE.firstrow))),0,IF(OFFSET(PLE!$G$14,$M33,AX$13)="",10^12,OFFSET(PLE!$G$14,$M33,AX$13))))</f>
        <v>1000000000000</v>
      </c>
      <c r="AY33" s="181">
        <f ca="1">IF($D33&lt;&gt;"Serviço",0,IF(OR(AND(AUTOEVENTO="Manual",$M33=1),$M33&gt;(ROW(PLE.lastrow)-ROW(PLE.firstrow))),0,IF(OFFSET(PLE!$G$14,$M33,AY$13)="",10^12,OFFSET(PLE!$G$14,$M33,AY$13))))</f>
        <v>1000000000000</v>
      </c>
      <c r="AZ33" s="181">
        <f ca="1">IF($D33&lt;&gt;"Serviço",0,IF(OR(AND(AUTOEVENTO="Manual",$M33=1),$M33&gt;(ROW(PLE.lastrow)-ROW(PLE.firstrow))),0,IF(OFFSET(PLE!$G$14,$M33,AZ$13)="",10^12,OFFSET(PLE!$G$14,$M33,AZ$13))))</f>
        <v>1000000000000</v>
      </c>
      <c r="BA33" s="181">
        <f ca="1">IF($D33&lt;&gt;"Serviço",0,IF(OR(AND(AUTOEVENTO="Manual",$M33=1),$M33&gt;(ROW(PLE.lastrow)-ROW(PLE.firstrow))),0,IF(OFFSET(PLE!$G$14,$M33,BA$13)="",10^12,OFFSET(PLE!$G$14,$M33,BA$13))))</f>
        <v>1000000000000</v>
      </c>
      <c r="BB33" s="181">
        <f ca="1">IF($D33&lt;&gt;"Serviço",0,IF(OR(AND(AUTOEVENTO="Manual",$M33=1),$M33&gt;(ROW(PLE.lastrow)-ROW(PLE.firstrow))),0,IF(OFFSET(PLE!$G$14,$M33,BB$13)="",10^12,OFFSET(PLE!$G$14,$M33,BB$13))))</f>
        <v>1000000000000</v>
      </c>
      <c r="BC33" s="181">
        <f ca="1">IF($D33&lt;&gt;"Serviço",0,IF(OR(AND(AUTOEVENTO="Manual",$M33=1),$M33&gt;(ROW(PLE.lastrow)-ROW(PLE.firstrow))),0,IF(OFFSET(PLE!$G$14,$M33,BC$13)="",10^12,OFFSET(PLE!$G$14,$M33,BC$13))))</f>
        <v>1000000000000</v>
      </c>
      <c r="BD33" s="181">
        <f ca="1">IF($D33&lt;&gt;"Serviço",0,IF(OR(AND(AUTOEVENTO="Manual",$M33=1),$M33&gt;(ROW(PLE.lastrow)-ROW(PLE.firstrow))),0,IF(OFFSET(PLE!$G$14,$M33,BD$13)="",10^12,OFFSET(PLE!$G$14,$M33,BD$13))))</f>
        <v>1000000000000</v>
      </c>
      <c r="BE33" s="181">
        <f ca="1">IF($D33&lt;&gt;"Serviço",0,IF(OR(AND(AUTOEVENTO="Manual",$M33=1),$M33&gt;(ROW(PLE.lastrow)-ROW(PLE.firstrow))),0,IF(OFFSET(PLE!$G$14,$M33,BE$13)="",10^12,OFFSET(PLE!$G$14,$M33,BE$13))))</f>
        <v>1000000000000</v>
      </c>
      <c r="BF33" s="181">
        <f ca="1">IF($D33&lt;&gt;"Serviço",0,IF(OR(AND(AUTOEVENTO="Manual",$M33=1),$M33&gt;(ROW(PLE.lastrow)-ROW(PLE.firstrow))),0,IF(OFFSET(PLE!$G$14,$M33,BF$13)="",10^12,OFFSET(PLE!$G$14,$M33,BF$13))))</f>
        <v>1000000000000</v>
      </c>
      <c r="BG33" s="181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s="583" customFormat="1" ht="25.5" x14ac:dyDescent="0.2">
      <c r="A34" s="7">
        <f t="shared" ca="1" si="8"/>
        <v>7</v>
      </c>
      <c r="B34" s="7">
        <f ca="1">OFFSET(ORÇAMENTO!C$15,ROW(B34)-ROW(B$15),0)</f>
        <v>2</v>
      </c>
      <c r="C34" s="7" t="str">
        <f ca="1">OFFSET(ORÇAMENTO!L$15,ROW(C34)-ROW(C$15),0)</f>
        <v>F</v>
      </c>
      <c r="D34" s="118" t="str">
        <f ca="1">OFFSET(ORÇAMENTO!N$15,ROW(D34)-ROW(D$15),0)</f>
        <v>Nível 2</v>
      </c>
      <c r="E34" s="119" t="str">
        <f ca="1">OFFSET(ORÇAMENTO!O$15,ROW(E34)-ROW(E$15),0)</f>
        <v>1.5.</v>
      </c>
      <c r="F34" s="171" t="str">
        <f ca="1">OFFSET(ORÇAMENTO!R$15,ROW(F34)-ROW(F$15),0)</f>
        <v>FAIXA ELEVADA PARA TRAVESSIA DE PEDESTRE EM BLOCO DE CONCRETO</v>
      </c>
      <c r="G34" s="172" t="str">
        <f ca="1">IF($D34&lt;&gt;"Serviço","",OFFSET(ORÇAMENTO!S$15,ROW(G34)-ROW(G$15),0))</f>
        <v/>
      </c>
      <c r="H34" s="124">
        <f ca="1">IF($D34&lt;&gt;"Serviço",0,IF(ACOMPANHAMENTO="BM",ROUND(OFFSET(ORÇAMENTO!AJ$15,ROW(H34)-ROW(H$15),0),15-13*ORÇAMENTO!$AF$7),SUMPRODUCT(($Q$12:$AA$12&lt;&gt;"")*ROUND($Q34:$AA34,15-13*ORÇAMENTO!$AF$7))))</f>
        <v>0</v>
      </c>
      <c r="I34" s="561"/>
      <c r="K34" s="173" t="s">
        <v>507</v>
      </c>
      <c r="L34" s="174" t="s">
        <v>257</v>
      </c>
      <c r="M34" s="175" t="str">
        <f ca="1">IF($D34&lt;&gt;"Serviço","",IF(AUTOEVENTO="manual",$A34,IF(ISERROR(MATCH($A34,$A$15:OFFSET($A34,-1,0),0)),MAX($M$15:OFFSET(M34,-1,0))+1,INDEX($M$15:OFFSET(M34,-1,0),MATCH($A34,$A$15:OFFSET($A34,-1,0),0)))))</f>
        <v/>
      </c>
      <c r="N34" s="176" t="str">
        <f ca="1">IF($D34&lt;&gt;"Serviço","",IF(AUTOEVENTO="Manual",IF($A34=0,"&lt;-- defina o número do agrupador",OFFSET(EVENTOS!$D$14,$A34,0)),OFFSET($F$15,$A34,0)))</f>
        <v/>
      </c>
      <c r="O34" s="177"/>
      <c r="Q34" s="177"/>
      <c r="R34" s="178"/>
      <c r="S34" s="178"/>
      <c r="T34" s="178"/>
      <c r="U34" s="178"/>
      <c r="V34" s="178"/>
      <c r="W34" s="178"/>
      <c r="X34" s="178"/>
      <c r="Y34" s="178"/>
      <c r="Z34" s="179"/>
      <c r="AB34" s="544">
        <f ca="1">IF(AND($D34="Serviço",AB$12&lt;&gt;0,$H34&gt;0,OR(AUTOEVENTO&lt;&gt;"manual",$M34&lt;&gt;1)),ROUND(OFFSET($P34,0,AB$13),15-13*ORÇAMENTO!$AF$7)/$H34*OFFSET(ORÇAMENTO!$X$15,ROW(AB34)-ROW(AB$15),0),0)</f>
        <v>0</v>
      </c>
      <c r="AC34" s="545">
        <f ca="1">IF(AND($D34="Serviço",AC$12&lt;&gt;0,$H34&gt;0,OR(AUTOEVENTO&lt;&gt;"manual",$M34&lt;&gt;1)),ROUND(OFFSET($P34,0,AC$13),15-13*ORÇAMENTO!$AF$7)/$H34*OFFSET(ORÇAMENTO!$X$15,ROW(AC34)-ROW(AC$15),0),0)</f>
        <v>0</v>
      </c>
      <c r="AD34" s="545">
        <f ca="1">IF(AND($D34="Serviço",AD$12&lt;&gt;0,$H34&gt;0,OR(AUTOEVENTO&lt;&gt;"manual",$M34&lt;&gt;1)),ROUND(OFFSET($P34,0,AD$13),15-13*ORÇAMENTO!$AF$7)/$H34*OFFSET(ORÇAMENTO!$X$15,ROW(AD34)-ROW(AD$15),0),0)</f>
        <v>0</v>
      </c>
      <c r="AE34" s="545">
        <f ca="1">IF(AND($D34="Serviço",AE$12&lt;&gt;0,$H34&gt;0,OR(AUTOEVENTO&lt;&gt;"manual",$M34&lt;&gt;1)),ROUND(OFFSET($P34,0,AE$13),15-13*ORÇAMENTO!$AF$7)/$H34*OFFSET(ORÇAMENTO!$X$15,ROW(AE34)-ROW(AE$15),0),0)</f>
        <v>0</v>
      </c>
      <c r="AF34" s="545">
        <f ca="1">IF(AND($D34="Serviço",AF$12&lt;&gt;0,$H34&gt;0,OR(AUTOEVENTO&lt;&gt;"manual",$M34&lt;&gt;1)),ROUND(OFFSET($P34,0,AF$13),15-13*ORÇAMENTO!$AF$7)/$H34*OFFSET(ORÇAMENTO!$X$15,ROW(AF34)-ROW(AF$15),0),0)</f>
        <v>0</v>
      </c>
      <c r="AG34" s="545">
        <f ca="1">IF(AND($D34="Serviço",AG$12&lt;&gt;0,$H34&gt;0,OR(AUTOEVENTO&lt;&gt;"manual",$M34&lt;&gt;1)),ROUND(OFFSET($P34,0,AG$13),15-13*ORÇAMENTO!$AF$7)/$H34*OFFSET(ORÇAMENTO!$X$15,ROW(AG34)-ROW(AG$15),0),0)</f>
        <v>0</v>
      </c>
      <c r="AH34" s="545">
        <f ca="1">IF(AND($D34="Serviço",AH$12&lt;&gt;0,$H34&gt;0,OR(AUTOEVENTO&lt;&gt;"manual",$M34&lt;&gt;1)),ROUND(OFFSET($P34,0,AH$13),15-13*ORÇAMENTO!$AF$7)/$H34*OFFSET(ORÇAMENTO!$X$15,ROW(AH34)-ROW(AH$15),0),0)</f>
        <v>0</v>
      </c>
      <c r="AI34" s="545">
        <f ca="1">IF(AND($D34="Serviço",AI$12&lt;&gt;0,$H34&gt;0,OR(AUTOEVENTO&lt;&gt;"manual",$M34&lt;&gt;1)),ROUND(OFFSET($P34,0,AI$13),15-13*ORÇAMENTO!$AF$7)/$H34*OFFSET(ORÇAMENTO!$X$15,ROW(AI34)-ROW(AI$15),0),0)</f>
        <v>0</v>
      </c>
      <c r="AJ34" s="545">
        <f ca="1">IF(AND($D34="Serviço",AJ$12&lt;&gt;0,$H34&gt;0,OR(AUTOEVENTO&lt;&gt;"manual",$M34&lt;&gt;1)),ROUND(OFFSET($P34,0,AJ$13),15-13*ORÇAMENTO!$AF$7)/$H34*OFFSET(ORÇAMENTO!$X$15,ROW(AJ34)-ROW(AJ$15),0),0)</f>
        <v>0</v>
      </c>
      <c r="AK34" s="546">
        <f ca="1">IF(AND($D34="Serviço",AK$12&lt;&gt;0,$H34&gt;0,OR(AUTOEVENTO&lt;&gt;"manual",$M34&lt;&gt;1)),ROUND(OFFSET($P34,0,AK$13),15-13*ORÇAMENTO!$AF$7)/$H34*OFFSET(ORÇAMENTO!$X$15,ROW(AK34)-ROW(AK$15),0),0)</f>
        <v>0</v>
      </c>
      <c r="AM34" s="180">
        <f ca="1">IF($D34&lt;&gt;"Serviço",0,IF(AND(AUTOEVENTO="Manual",$M34=1),0,IF(OFFSET(CRONOPLE!$F$14,$M34,AM$13)="",10^12,OFFSET(CRONOPLE!$F$14,$M34,AM$13))))</f>
        <v>0</v>
      </c>
      <c r="AN34" s="180">
        <f ca="1">IF($D34&lt;&gt;"Serviço",0,IF(AND(AUTOEVENTO="Manual",$M34=1),0,IF(OFFSET(CRONOPLE!$F$14,$M34,AN$13)="",10^12,OFFSET(CRONOPLE!$F$14,$M34,AN$13))))</f>
        <v>0</v>
      </c>
      <c r="AO34" s="180">
        <f ca="1">IF($D34&lt;&gt;"Serviço",0,IF(AND(AUTOEVENTO="Manual",$M34=1),0,IF(OFFSET(CRONOPLE!$F$14,$M34,AO$13)="",10^12,OFFSET(CRONOPLE!$F$14,$M34,AO$13))))</f>
        <v>0</v>
      </c>
      <c r="AP34" s="180">
        <f ca="1">IF($D34&lt;&gt;"Serviço",0,IF(AND(AUTOEVENTO="Manual",$M34=1),0,IF(OFFSET(CRONOPLE!$F$14,$M34,AP$13)="",10^12,OFFSET(CRONOPLE!$F$14,$M34,AP$13))))</f>
        <v>0</v>
      </c>
      <c r="AQ34" s="180">
        <f ca="1">IF($D34&lt;&gt;"Serviço",0,IF(AND(AUTOEVENTO="Manual",$M34=1),0,IF(OFFSET(CRONOPLE!$F$14,$M34,AQ$13)="",10^12,OFFSET(CRONOPLE!$F$14,$M34,AQ$13))))</f>
        <v>0</v>
      </c>
      <c r="AR34" s="180">
        <f ca="1">IF($D34&lt;&gt;"Serviço",0,IF(AND(AUTOEVENTO="Manual",$M34=1),0,IF(OFFSET(CRONOPLE!$F$14,$M34,AR$13)="",10^12,OFFSET(CRONOPLE!$F$14,$M34,AR$13))))</f>
        <v>0</v>
      </c>
      <c r="AS34" s="180">
        <f ca="1">IF($D34&lt;&gt;"Serviço",0,IF(AND(AUTOEVENTO="Manual",$M34=1),0,IF(OFFSET(CRONOPLE!$F$14,$M34,AS$13)="",10^12,OFFSET(CRONOPLE!$F$14,$M34,AS$13))))</f>
        <v>0</v>
      </c>
      <c r="AT34" s="180">
        <f ca="1">IF($D34&lt;&gt;"Serviço",0,IF(AND(AUTOEVENTO="Manual",$M34=1),0,IF(OFFSET(CRONOPLE!$F$14,$M34,AT$13)="",10^12,OFFSET(CRONOPLE!$F$14,$M34,AT$13))))</f>
        <v>0</v>
      </c>
      <c r="AU34" s="180">
        <f ca="1">IF($D34&lt;&gt;"Serviço",0,IF(AND(AUTOEVENTO="Manual",$M34=1),0,IF(OFFSET(CRONOPLE!$F$14,$M34,AU$13)="",10^12,OFFSET(CRONOPLE!$F$14,$M34,AU$13))))</f>
        <v>0</v>
      </c>
      <c r="AV34" s="180">
        <f ca="1">IF($D34&lt;&gt;"Serviço",0,IF(AND(AUTOEVENTO="Manual",$M34=1),0,IF(OFFSET(CRONOPLE!$F$14,$M34,AV$13)="",10^12,OFFSET(CRONOPLE!$F$14,$M34,AV$13))))</f>
        <v>0</v>
      </c>
      <c r="AX34" s="181">
        <f ca="1">IF($D34&lt;&gt;"Serviço",0,IF(OR(AND(AUTOEVENTO="Manual",$M34=1),$M34&gt;(ROW(PLE.lastrow)-ROW(PLE.firstrow))),0,IF(OFFSET(PLE!$G$14,$M34,AX$13)="",10^12,OFFSET(PLE!$G$14,$M34,AX$13))))</f>
        <v>0</v>
      </c>
      <c r="AY34" s="181">
        <f ca="1">IF($D34&lt;&gt;"Serviço",0,IF(OR(AND(AUTOEVENTO="Manual",$M34=1),$M34&gt;(ROW(PLE.lastrow)-ROW(PLE.firstrow))),0,IF(OFFSET(PLE!$G$14,$M34,AY$13)="",10^12,OFFSET(PLE!$G$14,$M34,AY$13))))</f>
        <v>0</v>
      </c>
      <c r="AZ34" s="181">
        <f ca="1">IF($D34&lt;&gt;"Serviço",0,IF(OR(AND(AUTOEVENTO="Manual",$M34=1),$M34&gt;(ROW(PLE.lastrow)-ROW(PLE.firstrow))),0,IF(OFFSET(PLE!$G$14,$M34,AZ$13)="",10^12,OFFSET(PLE!$G$14,$M34,AZ$13))))</f>
        <v>0</v>
      </c>
      <c r="BA34" s="181">
        <f ca="1">IF($D34&lt;&gt;"Serviço",0,IF(OR(AND(AUTOEVENTO="Manual",$M34=1),$M34&gt;(ROW(PLE.lastrow)-ROW(PLE.firstrow))),0,IF(OFFSET(PLE!$G$14,$M34,BA$13)="",10^12,OFFSET(PLE!$G$14,$M34,BA$13))))</f>
        <v>0</v>
      </c>
      <c r="BB34" s="181">
        <f ca="1">IF($D34&lt;&gt;"Serviço",0,IF(OR(AND(AUTOEVENTO="Manual",$M34=1),$M34&gt;(ROW(PLE.lastrow)-ROW(PLE.firstrow))),0,IF(OFFSET(PLE!$G$14,$M34,BB$13)="",10^12,OFFSET(PLE!$G$14,$M34,BB$13))))</f>
        <v>0</v>
      </c>
      <c r="BC34" s="181">
        <f ca="1">IF($D34&lt;&gt;"Serviço",0,IF(OR(AND(AUTOEVENTO="Manual",$M34=1),$M34&gt;(ROW(PLE.lastrow)-ROW(PLE.firstrow))),0,IF(OFFSET(PLE!$G$14,$M34,BC$13)="",10^12,OFFSET(PLE!$G$14,$M34,BC$13))))</f>
        <v>0</v>
      </c>
      <c r="BD34" s="181">
        <f ca="1">IF($D34&lt;&gt;"Serviço",0,IF(OR(AND(AUTOEVENTO="Manual",$M34=1),$M34&gt;(ROW(PLE.lastrow)-ROW(PLE.firstrow))),0,IF(OFFSET(PLE!$G$14,$M34,BD$13)="",10^12,OFFSET(PLE!$G$14,$M34,BD$13))))</f>
        <v>0</v>
      </c>
      <c r="BE34" s="181">
        <f ca="1">IF($D34&lt;&gt;"Serviço",0,IF(OR(AND(AUTOEVENTO="Manual",$M34=1),$M34&gt;(ROW(PLE.lastrow)-ROW(PLE.firstrow))),0,IF(OFFSET(PLE!$G$14,$M34,BE$13)="",10^12,OFFSET(PLE!$G$14,$M34,BE$13))))</f>
        <v>0</v>
      </c>
      <c r="BF34" s="181">
        <f ca="1">IF($D34&lt;&gt;"Serviço",0,IF(OR(AND(AUTOEVENTO="Manual",$M34=1),$M34&gt;(ROW(PLE.lastrow)-ROW(PLE.firstrow))),0,IF(OFFSET(PLE!$G$14,$M34,BF$13)="",10^12,OFFSET(PLE!$G$14,$M34,BF$13))))</f>
        <v>0</v>
      </c>
      <c r="BG34" s="181">
        <f ca="1">IF($D34&lt;&gt;"Serviço",0,IF(OR(AND(AUTOEVENTO="Manual",$M34=1),$M34&gt;(ROW(PLE.lastrow)-ROW(PLE.firstrow))),0,IF(OFFSET(PLE!$G$14,$M34,BG$13)="",10^12,OFFSET(PLE!$G$14,$M34,BG$13))))</f>
        <v>0</v>
      </c>
    </row>
    <row r="35" spans="1:59" s="583" customFormat="1" ht="25.5" x14ac:dyDescent="0.2">
      <c r="A35" s="7">
        <f t="shared" ca="1" si="8"/>
        <v>7</v>
      </c>
      <c r="B35" s="7" t="str">
        <f ca="1">OFFSET(ORÇAMENTO!C$15,ROW(B35)-ROW(B$15),0)</f>
        <v>S</v>
      </c>
      <c r="C35" s="7" t="str">
        <f ca="1">OFFSET(ORÇAMENTO!L$15,ROW(C35)-ROW(C$15),0)</f>
        <v/>
      </c>
      <c r="D35" s="118" t="str">
        <f ca="1">OFFSET(ORÇAMENTO!N$15,ROW(D35)-ROW(D$15),0)</f>
        <v>Serviço</v>
      </c>
      <c r="E35" s="119" t="str">
        <f ca="1">OFFSET(ORÇAMENTO!O$15,ROW(E35)-ROW(E$15),0)</f>
        <v>-</v>
      </c>
      <c r="F35" s="171" t="str">
        <f ca="1">OFFSET(ORÇAMENTO!R$15,ROW(F35)-ROW(F$15),0)</f>
        <v>(abra o arquivo 'Referência 04-2024.xls)</v>
      </c>
      <c r="G35" s="172" t="str">
        <f ca="1">IF($D35&lt;&gt;"Serviço","",OFFSET(ORÇAMENTO!S$15,ROW(G35)-ROW(G$15),0))</f>
        <v>-</v>
      </c>
      <c r="H35" s="124">
        <f ca="1">IF($D35&lt;&gt;"Serviço",0,IF(ACOMPANHAMENTO="BM",ROUND(OFFSET(ORÇAMENTO!AJ$15,ROW(H35)-ROW(H$15),0),15-13*ORÇAMENTO!$AF$7),SUMPRODUCT(($Q$12:$AA$12&lt;&gt;"")*ROUND($Q35:$AA35,15-13*ORÇAMENTO!$AF$7))))</f>
        <v>80</v>
      </c>
      <c r="I35" s="561"/>
      <c r="K35" s="173" t="s">
        <v>507</v>
      </c>
      <c r="L35" s="174" t="s">
        <v>257</v>
      </c>
      <c r="M35" s="175">
        <f ca="1">IF($D35&lt;&gt;"Serviço","",IF(AUTOEVENTO="manual",$A35,IF(ISERROR(MATCH($A35,$A$15:OFFSET($A35,-1,0),0)),MAX($M$15:OFFSET(M35,-1,0))+1,INDEX($M$15:OFFSET(M35,-1,0),MATCH($A35,$A$15:OFFSET($A35,-1,0),0)))))</f>
        <v>7</v>
      </c>
      <c r="N35" s="176" t="str">
        <f ca="1">IF($D35&lt;&gt;"Serviço","",IF(AUTOEVENTO="Manual",IF($A35=0,"&lt;-- defina o número do agrupador",OFFSET(EVENTOS!$D$14,$A35,0)),OFFSET($F$15,$A35,0)))</f>
        <v>Faixa de travessia de pedestre</v>
      </c>
      <c r="O35" s="177"/>
      <c r="Q35" s="177"/>
      <c r="R35" s="178"/>
      <c r="S35" s="178">
        <f>8*10</f>
        <v>80</v>
      </c>
      <c r="T35" s="178"/>
      <c r="U35" s="178"/>
      <c r="V35" s="178"/>
      <c r="W35" s="178"/>
      <c r="X35" s="178"/>
      <c r="Y35" s="178"/>
      <c r="Z35" s="179"/>
      <c r="AB35" s="544">
        <f ca="1">IF(AND($D35="Serviço",AB$12&lt;&gt;0,$H35&gt;0,OR(AUTOEVENTO&lt;&gt;"manual",$M35&lt;&gt;1)),ROUND(OFFSET($P35,0,AB$13),15-13*ORÇAMENTO!$AF$7)/$H35*OFFSET(ORÇAMENTO!$X$15,ROW(AB35)-ROW(AB$15),0),0)</f>
        <v>0</v>
      </c>
      <c r="AC35" s="545">
        <f ca="1">IF(AND($D35="Serviço",AC$12&lt;&gt;0,$H35&gt;0,OR(AUTOEVENTO&lt;&gt;"manual",$M35&lt;&gt;1)),ROUND(OFFSET($P35,0,AC$13),15-13*ORÇAMENTO!$AF$7)/$H35*OFFSET(ORÇAMENTO!$X$15,ROW(AC35)-ROW(AC$15),0),0)</f>
        <v>0</v>
      </c>
      <c r="AD35" s="545">
        <f ca="1">IF(AND($D35="Serviço",AD$12&lt;&gt;0,$H35&gt;0,OR(AUTOEVENTO&lt;&gt;"manual",$M35&lt;&gt;1)),ROUND(OFFSET($P35,0,AD$13),15-13*ORÇAMENTO!$AF$7)/$H35*OFFSET(ORÇAMENTO!$X$15,ROW(AD35)-ROW(AD$15),0),0)</f>
        <v>0</v>
      </c>
      <c r="AE35" s="545">
        <f ca="1">IF(AND($D35="Serviço",AE$12&lt;&gt;0,$H35&gt;0,OR(AUTOEVENTO&lt;&gt;"manual",$M35&lt;&gt;1)),ROUND(OFFSET($P35,0,AE$13),15-13*ORÇAMENTO!$AF$7)/$H35*OFFSET(ORÇAMENTO!$X$15,ROW(AE35)-ROW(AE$15),0),0)</f>
        <v>0</v>
      </c>
      <c r="AF35" s="545">
        <f ca="1">IF(AND($D35="Serviço",AF$12&lt;&gt;0,$H35&gt;0,OR(AUTOEVENTO&lt;&gt;"manual",$M35&lt;&gt;1)),ROUND(OFFSET($P35,0,AF$13),15-13*ORÇAMENTO!$AF$7)/$H35*OFFSET(ORÇAMENTO!$X$15,ROW(AF35)-ROW(AF$15),0),0)</f>
        <v>0</v>
      </c>
      <c r="AG35" s="545">
        <f ca="1">IF(AND($D35="Serviço",AG$12&lt;&gt;0,$H35&gt;0,OR(AUTOEVENTO&lt;&gt;"manual",$M35&lt;&gt;1)),ROUND(OFFSET($P35,0,AG$13),15-13*ORÇAMENTO!$AF$7)/$H35*OFFSET(ORÇAMENTO!$X$15,ROW(AG35)-ROW(AG$15),0),0)</f>
        <v>0</v>
      </c>
      <c r="AH35" s="545">
        <f ca="1">IF(AND($D35="Serviço",AH$12&lt;&gt;0,$H35&gt;0,OR(AUTOEVENTO&lt;&gt;"manual",$M35&lt;&gt;1)),ROUND(OFFSET($P35,0,AH$13),15-13*ORÇAMENTO!$AF$7)/$H35*OFFSET(ORÇAMENTO!$X$15,ROW(AH35)-ROW(AH$15),0),0)</f>
        <v>0</v>
      </c>
      <c r="AI35" s="545">
        <f ca="1">IF(AND($D35="Serviço",AI$12&lt;&gt;0,$H35&gt;0,OR(AUTOEVENTO&lt;&gt;"manual",$M35&lt;&gt;1)),ROUND(OFFSET($P35,0,AI$13),15-13*ORÇAMENTO!$AF$7)/$H35*OFFSET(ORÇAMENTO!$X$15,ROW(AI35)-ROW(AI$15),0),0)</f>
        <v>0</v>
      </c>
      <c r="AJ35" s="545">
        <f ca="1">IF(AND($D35="Serviço",AJ$12&lt;&gt;0,$H35&gt;0,OR(AUTOEVENTO&lt;&gt;"manual",$M35&lt;&gt;1)),ROUND(OFFSET($P35,0,AJ$13),15-13*ORÇAMENTO!$AF$7)/$H35*OFFSET(ORÇAMENTO!$X$15,ROW(AJ35)-ROW(AJ$15),0),0)</f>
        <v>0</v>
      </c>
      <c r="AK35" s="546">
        <f ca="1">IF(AND($D35="Serviço",AK$12&lt;&gt;0,$H35&gt;0,OR(AUTOEVENTO&lt;&gt;"manual",$M35&lt;&gt;1)),ROUND(OFFSET($P35,0,AK$13),15-13*ORÇAMENTO!$AF$7)/$H35*OFFSET(ORÇAMENTO!$X$15,ROW(AK35)-ROW(AK$15),0),0)</f>
        <v>0</v>
      </c>
      <c r="AM35" s="180">
        <f ca="1">IF($D35&lt;&gt;"Serviço",0,IF(AND(AUTOEVENTO="Manual",$M35=1),0,IF(OFFSET(CRONOPLE!$F$14,$M35,AM$13)="",10^12,OFFSET(CRONOPLE!$F$14,$M35,AM$13))))</f>
        <v>1000000000000</v>
      </c>
      <c r="AN35" s="180">
        <f ca="1">IF($D35&lt;&gt;"Serviço",0,IF(AND(AUTOEVENTO="Manual",$M35=1),0,IF(OFFSET(CRONOPLE!$F$14,$M35,AN$13)="",10^12,OFFSET(CRONOPLE!$F$14,$M35,AN$13))))</f>
        <v>1000000000000</v>
      </c>
      <c r="AO35" s="180">
        <f ca="1">IF($D35&lt;&gt;"Serviço",0,IF(AND(AUTOEVENTO="Manual",$M35=1),0,IF(OFFSET(CRONOPLE!$F$14,$M35,AO$13)="",10^12,OFFSET(CRONOPLE!$F$14,$M35,AO$13))))</f>
        <v>4</v>
      </c>
      <c r="AP35" s="180">
        <f ca="1">IF($D35&lt;&gt;"Serviço",0,IF(AND(AUTOEVENTO="Manual",$M35=1),0,IF(OFFSET(CRONOPLE!$F$14,$M35,AP$13)="",10^12,OFFSET(CRONOPLE!$F$14,$M35,AP$13))))</f>
        <v>1000000000000</v>
      </c>
      <c r="AQ35" s="180">
        <f ca="1">IF($D35&lt;&gt;"Serviço",0,IF(AND(AUTOEVENTO="Manual",$M35=1),0,IF(OFFSET(CRONOPLE!$F$14,$M35,AQ$13)="",10^12,OFFSET(CRONOPLE!$F$14,$M35,AQ$13))))</f>
        <v>1000000000000</v>
      </c>
      <c r="AR35" s="180">
        <f ca="1">IF($D35&lt;&gt;"Serviço",0,IF(AND(AUTOEVENTO="Manual",$M35=1),0,IF(OFFSET(CRONOPLE!$F$14,$M35,AR$13)="",10^12,OFFSET(CRONOPLE!$F$14,$M35,AR$13))))</f>
        <v>1000000000000</v>
      </c>
      <c r="AS35" s="180">
        <f ca="1">IF($D35&lt;&gt;"Serviço",0,IF(AND(AUTOEVENTO="Manual",$M35=1),0,IF(OFFSET(CRONOPLE!$F$14,$M35,AS$13)="",10^12,OFFSET(CRONOPLE!$F$14,$M35,AS$13))))</f>
        <v>1000000000000</v>
      </c>
      <c r="AT35" s="180">
        <f ca="1">IF($D35&lt;&gt;"Serviço",0,IF(AND(AUTOEVENTO="Manual",$M35=1),0,IF(OFFSET(CRONOPLE!$F$14,$M35,AT$13)="",10^12,OFFSET(CRONOPLE!$F$14,$M35,AT$13))))</f>
        <v>1000000000000</v>
      </c>
      <c r="AU35" s="180">
        <f ca="1">IF($D35&lt;&gt;"Serviço",0,IF(AND(AUTOEVENTO="Manual",$M35=1),0,IF(OFFSET(CRONOPLE!$F$14,$M35,AU$13)="",10^12,OFFSET(CRONOPLE!$F$14,$M35,AU$13))))</f>
        <v>1000000000000</v>
      </c>
      <c r="AV35" s="180">
        <f ca="1">IF($D35&lt;&gt;"Serviço",0,IF(AND(AUTOEVENTO="Manual",$M35=1),0,IF(OFFSET(CRONOPLE!$F$14,$M35,AV$13)="",10^12,OFFSET(CRONOPLE!$F$14,$M35,AV$13))))</f>
        <v>1000000000000</v>
      </c>
      <c r="AX35" s="181">
        <f ca="1">IF($D35&lt;&gt;"Serviço",0,IF(OR(AND(AUTOEVENTO="Manual",$M35=1),$M35&gt;(ROW(PLE.lastrow)-ROW(PLE.firstrow))),0,IF(OFFSET(PLE!$G$14,$M35,AX$13)="",10^12,OFFSET(PLE!$G$14,$M35,AX$13))))</f>
        <v>1000000000000</v>
      </c>
      <c r="AY35" s="181">
        <f ca="1">IF($D35&lt;&gt;"Serviço",0,IF(OR(AND(AUTOEVENTO="Manual",$M35=1),$M35&gt;(ROW(PLE.lastrow)-ROW(PLE.firstrow))),0,IF(OFFSET(PLE!$G$14,$M35,AY$13)="",10^12,OFFSET(PLE!$G$14,$M35,AY$13))))</f>
        <v>1000000000000</v>
      </c>
      <c r="AZ35" s="181">
        <f ca="1">IF($D35&lt;&gt;"Serviço",0,IF(OR(AND(AUTOEVENTO="Manual",$M35=1),$M35&gt;(ROW(PLE.lastrow)-ROW(PLE.firstrow))),0,IF(OFFSET(PLE!$G$14,$M35,AZ$13)="",10^12,OFFSET(PLE!$G$14,$M35,AZ$13))))</f>
        <v>1000000000000</v>
      </c>
      <c r="BA35" s="181">
        <f ca="1">IF($D35&lt;&gt;"Serviço",0,IF(OR(AND(AUTOEVENTO="Manual",$M35=1),$M35&gt;(ROW(PLE.lastrow)-ROW(PLE.firstrow))),0,IF(OFFSET(PLE!$G$14,$M35,BA$13)="",10^12,OFFSET(PLE!$G$14,$M35,BA$13))))</f>
        <v>1000000000000</v>
      </c>
      <c r="BB35" s="181">
        <f ca="1">IF($D35&lt;&gt;"Serviço",0,IF(OR(AND(AUTOEVENTO="Manual",$M35=1),$M35&gt;(ROW(PLE.lastrow)-ROW(PLE.firstrow))),0,IF(OFFSET(PLE!$G$14,$M35,BB$13)="",10^12,OFFSET(PLE!$G$14,$M35,BB$13))))</f>
        <v>1000000000000</v>
      </c>
      <c r="BC35" s="181">
        <f ca="1">IF($D35&lt;&gt;"Serviço",0,IF(OR(AND(AUTOEVENTO="Manual",$M35=1),$M35&gt;(ROW(PLE.lastrow)-ROW(PLE.firstrow))),0,IF(OFFSET(PLE!$G$14,$M35,BC$13)="",10^12,OFFSET(PLE!$G$14,$M35,BC$13))))</f>
        <v>1000000000000</v>
      </c>
      <c r="BD35" s="181">
        <f ca="1">IF($D35&lt;&gt;"Serviço",0,IF(OR(AND(AUTOEVENTO="Manual",$M35=1),$M35&gt;(ROW(PLE.lastrow)-ROW(PLE.firstrow))),0,IF(OFFSET(PLE!$G$14,$M35,BD$13)="",10^12,OFFSET(PLE!$G$14,$M35,BD$13))))</f>
        <v>1000000000000</v>
      </c>
      <c r="BE35" s="181">
        <f ca="1">IF($D35&lt;&gt;"Serviço",0,IF(OR(AND(AUTOEVENTO="Manual",$M35=1),$M35&gt;(ROW(PLE.lastrow)-ROW(PLE.firstrow))),0,IF(OFFSET(PLE!$G$14,$M35,BE$13)="",10^12,OFFSET(PLE!$G$14,$M35,BE$13))))</f>
        <v>1000000000000</v>
      </c>
      <c r="BF35" s="181">
        <f ca="1">IF($D35&lt;&gt;"Serviço",0,IF(OR(AND(AUTOEVENTO="Manual",$M35=1),$M35&gt;(ROW(PLE.lastrow)-ROW(PLE.firstrow))),0,IF(OFFSET(PLE!$G$14,$M35,BF$13)="",10^12,OFFSET(PLE!$G$14,$M35,BF$13))))</f>
        <v>1000000000000</v>
      </c>
      <c r="BG35" s="181">
        <f ca="1">IF($D35&lt;&gt;"Serviço",0,IF(OR(AND(AUTOEVENTO="Manual",$M35=1),$M35&gt;(ROW(PLE.lastrow)-ROW(PLE.firstrow))),0,IF(OFFSET(PLE!$G$14,$M35,BG$13)="",10^12,OFFSET(PLE!$G$14,$M35,BG$13))))</f>
        <v>1000000000000</v>
      </c>
    </row>
    <row r="36" spans="1:59" s="583" customFormat="1" ht="51" x14ac:dyDescent="0.2">
      <c r="A36" s="7">
        <f t="shared" ca="1" si="8"/>
        <v>7</v>
      </c>
      <c r="B36" s="7" t="str">
        <f ca="1">OFFSET(ORÇAMENTO!C$15,ROW(B36)-ROW(B$15),0)</f>
        <v>S</v>
      </c>
      <c r="C36" s="7" t="str">
        <f ca="1">OFFSET(ORÇAMENTO!L$15,ROW(C36)-ROW(C$15),0)</f>
        <v/>
      </c>
      <c r="D36" s="118" t="str">
        <f ca="1">OFFSET(ORÇAMENTO!N$15,ROW(D36)-ROW(D$15),0)</f>
        <v>Serviço</v>
      </c>
      <c r="E36" s="119" t="str">
        <f ca="1">OFFSET(ORÇAMENTO!O$15,ROW(E36)-ROW(E$15),0)</f>
        <v>-</v>
      </c>
      <c r="F36" s="171" t="str">
        <f ca="1">OFFSET(ORÇAMENTO!R$15,ROW(F36)-ROW(F$15),0)</f>
        <v>(abra o arquivo 'Referência 04-2024.xls)</v>
      </c>
      <c r="G36" s="172" t="str">
        <f ca="1">IF($D36&lt;&gt;"Serviço","",OFFSET(ORÇAMENTO!S$15,ROW(G36)-ROW(G$15),0))</f>
        <v>-</v>
      </c>
      <c r="H36" s="124">
        <f ca="1">IF($D36&lt;&gt;"Serviço",0,IF(ACOMPANHAMENTO="BM",ROUND(OFFSET(ORÇAMENTO!AJ$15,ROW(H36)-ROW(H$15),0),15-13*ORÇAMENTO!$AF$7),SUMPRODUCT(($Q$12:$AA$12&lt;&gt;"")*ROUND($Q36:$AA36,15-13*ORÇAMENTO!$AF$7))))</f>
        <v>26.2</v>
      </c>
      <c r="I36" s="561"/>
      <c r="K36" s="173" t="s">
        <v>507</v>
      </c>
      <c r="L36" s="174" t="s">
        <v>257</v>
      </c>
      <c r="M36" s="175">
        <f ca="1">IF($D36&lt;&gt;"Serviço","",IF(AUTOEVENTO="manual",$A36,IF(ISERROR(MATCH($A36,$A$15:OFFSET($A36,-1,0),0)),MAX($M$15:OFFSET(M36,-1,0))+1,INDEX($M$15:OFFSET(M36,-1,0),MATCH($A36,$A$15:OFFSET($A36,-1,0),0)))))</f>
        <v>7</v>
      </c>
      <c r="N36" s="176" t="str">
        <f ca="1">IF($D36&lt;&gt;"Serviço","",IF(AUTOEVENTO="Manual",IF($A36=0,"&lt;-- defina o número do agrupador",OFFSET(EVENTOS!$D$14,$A36,0)),OFFSET($F$15,$A36,0)))</f>
        <v>Faixa de travessia de pedestre</v>
      </c>
      <c r="O36" s="177"/>
      <c r="Q36" s="177"/>
      <c r="R36" s="178"/>
      <c r="S36" s="178">
        <f>(22.6+(0.36*10))</f>
        <v>26.200000000000003</v>
      </c>
      <c r="T36" s="178"/>
      <c r="U36" s="178"/>
      <c r="V36" s="178"/>
      <c r="W36" s="178"/>
      <c r="X36" s="178"/>
      <c r="Y36" s="178"/>
      <c r="Z36" s="179"/>
      <c r="AB36" s="544">
        <f ca="1">IF(AND($D36="Serviço",AB$12&lt;&gt;0,$H36&gt;0,OR(AUTOEVENTO&lt;&gt;"manual",$M36&lt;&gt;1)),ROUND(OFFSET($P36,0,AB$13),15-13*ORÇAMENTO!$AF$7)/$H36*OFFSET(ORÇAMENTO!$X$15,ROW(AB36)-ROW(AB$15),0),0)</f>
        <v>0</v>
      </c>
      <c r="AC36" s="545">
        <f ca="1">IF(AND($D36="Serviço",AC$12&lt;&gt;0,$H36&gt;0,OR(AUTOEVENTO&lt;&gt;"manual",$M36&lt;&gt;1)),ROUND(OFFSET($P36,0,AC$13),15-13*ORÇAMENTO!$AF$7)/$H36*OFFSET(ORÇAMENTO!$X$15,ROW(AC36)-ROW(AC$15),0),0)</f>
        <v>0</v>
      </c>
      <c r="AD36" s="545">
        <f ca="1">IF(AND($D36="Serviço",AD$12&lt;&gt;0,$H36&gt;0,OR(AUTOEVENTO&lt;&gt;"manual",$M36&lt;&gt;1)),ROUND(OFFSET($P36,0,AD$13),15-13*ORÇAMENTO!$AF$7)/$H36*OFFSET(ORÇAMENTO!$X$15,ROW(AD36)-ROW(AD$15),0),0)</f>
        <v>0</v>
      </c>
      <c r="AE36" s="545">
        <f ca="1">IF(AND($D36="Serviço",AE$12&lt;&gt;0,$H36&gt;0,OR(AUTOEVENTO&lt;&gt;"manual",$M36&lt;&gt;1)),ROUND(OFFSET($P36,0,AE$13),15-13*ORÇAMENTO!$AF$7)/$H36*OFFSET(ORÇAMENTO!$X$15,ROW(AE36)-ROW(AE$15),0),0)</f>
        <v>0</v>
      </c>
      <c r="AF36" s="545">
        <f ca="1">IF(AND($D36="Serviço",AF$12&lt;&gt;0,$H36&gt;0,OR(AUTOEVENTO&lt;&gt;"manual",$M36&lt;&gt;1)),ROUND(OFFSET($P36,0,AF$13),15-13*ORÇAMENTO!$AF$7)/$H36*OFFSET(ORÇAMENTO!$X$15,ROW(AF36)-ROW(AF$15),0),0)</f>
        <v>0</v>
      </c>
      <c r="AG36" s="545">
        <f ca="1">IF(AND($D36="Serviço",AG$12&lt;&gt;0,$H36&gt;0,OR(AUTOEVENTO&lt;&gt;"manual",$M36&lt;&gt;1)),ROUND(OFFSET($P36,0,AG$13),15-13*ORÇAMENTO!$AF$7)/$H36*OFFSET(ORÇAMENTO!$X$15,ROW(AG36)-ROW(AG$15),0),0)</f>
        <v>0</v>
      </c>
      <c r="AH36" s="545">
        <f ca="1">IF(AND($D36="Serviço",AH$12&lt;&gt;0,$H36&gt;0,OR(AUTOEVENTO&lt;&gt;"manual",$M36&lt;&gt;1)),ROUND(OFFSET($P36,0,AH$13),15-13*ORÇAMENTO!$AF$7)/$H36*OFFSET(ORÇAMENTO!$X$15,ROW(AH36)-ROW(AH$15),0),0)</f>
        <v>0</v>
      </c>
      <c r="AI36" s="545">
        <f ca="1">IF(AND($D36="Serviço",AI$12&lt;&gt;0,$H36&gt;0,OR(AUTOEVENTO&lt;&gt;"manual",$M36&lt;&gt;1)),ROUND(OFFSET($P36,0,AI$13),15-13*ORÇAMENTO!$AF$7)/$H36*OFFSET(ORÇAMENTO!$X$15,ROW(AI36)-ROW(AI$15),0),0)</f>
        <v>0</v>
      </c>
      <c r="AJ36" s="545">
        <f ca="1">IF(AND($D36="Serviço",AJ$12&lt;&gt;0,$H36&gt;0,OR(AUTOEVENTO&lt;&gt;"manual",$M36&lt;&gt;1)),ROUND(OFFSET($P36,0,AJ$13),15-13*ORÇAMENTO!$AF$7)/$H36*OFFSET(ORÇAMENTO!$X$15,ROW(AJ36)-ROW(AJ$15),0),0)</f>
        <v>0</v>
      </c>
      <c r="AK36" s="546">
        <f ca="1">IF(AND($D36="Serviço",AK$12&lt;&gt;0,$H36&gt;0,OR(AUTOEVENTO&lt;&gt;"manual",$M36&lt;&gt;1)),ROUND(OFFSET($P36,0,AK$13),15-13*ORÇAMENTO!$AF$7)/$H36*OFFSET(ORÇAMENTO!$X$15,ROW(AK36)-ROW(AK$15),0),0)</f>
        <v>0</v>
      </c>
      <c r="AM36" s="180">
        <f ca="1">IF($D36&lt;&gt;"Serviço",0,IF(AND(AUTOEVENTO="Manual",$M36=1),0,IF(OFFSET(CRONOPLE!$F$14,$M36,AM$13)="",10^12,OFFSET(CRONOPLE!$F$14,$M36,AM$13))))</f>
        <v>1000000000000</v>
      </c>
      <c r="AN36" s="180">
        <f ca="1">IF($D36&lt;&gt;"Serviço",0,IF(AND(AUTOEVENTO="Manual",$M36=1),0,IF(OFFSET(CRONOPLE!$F$14,$M36,AN$13)="",10^12,OFFSET(CRONOPLE!$F$14,$M36,AN$13))))</f>
        <v>1000000000000</v>
      </c>
      <c r="AO36" s="180">
        <f ca="1">IF($D36&lt;&gt;"Serviço",0,IF(AND(AUTOEVENTO="Manual",$M36=1),0,IF(OFFSET(CRONOPLE!$F$14,$M36,AO$13)="",10^12,OFFSET(CRONOPLE!$F$14,$M36,AO$13))))</f>
        <v>4</v>
      </c>
      <c r="AP36" s="180">
        <f ca="1">IF($D36&lt;&gt;"Serviço",0,IF(AND(AUTOEVENTO="Manual",$M36=1),0,IF(OFFSET(CRONOPLE!$F$14,$M36,AP$13)="",10^12,OFFSET(CRONOPLE!$F$14,$M36,AP$13))))</f>
        <v>1000000000000</v>
      </c>
      <c r="AQ36" s="180">
        <f ca="1">IF($D36&lt;&gt;"Serviço",0,IF(AND(AUTOEVENTO="Manual",$M36=1),0,IF(OFFSET(CRONOPLE!$F$14,$M36,AQ$13)="",10^12,OFFSET(CRONOPLE!$F$14,$M36,AQ$13))))</f>
        <v>1000000000000</v>
      </c>
      <c r="AR36" s="180">
        <f ca="1">IF($D36&lt;&gt;"Serviço",0,IF(AND(AUTOEVENTO="Manual",$M36=1),0,IF(OFFSET(CRONOPLE!$F$14,$M36,AR$13)="",10^12,OFFSET(CRONOPLE!$F$14,$M36,AR$13))))</f>
        <v>1000000000000</v>
      </c>
      <c r="AS36" s="180">
        <f ca="1">IF($D36&lt;&gt;"Serviço",0,IF(AND(AUTOEVENTO="Manual",$M36=1),0,IF(OFFSET(CRONOPLE!$F$14,$M36,AS$13)="",10^12,OFFSET(CRONOPLE!$F$14,$M36,AS$13))))</f>
        <v>1000000000000</v>
      </c>
      <c r="AT36" s="180">
        <f ca="1">IF($D36&lt;&gt;"Serviço",0,IF(AND(AUTOEVENTO="Manual",$M36=1),0,IF(OFFSET(CRONOPLE!$F$14,$M36,AT$13)="",10^12,OFFSET(CRONOPLE!$F$14,$M36,AT$13))))</f>
        <v>1000000000000</v>
      </c>
      <c r="AU36" s="180">
        <f ca="1">IF($D36&lt;&gt;"Serviço",0,IF(AND(AUTOEVENTO="Manual",$M36=1),0,IF(OFFSET(CRONOPLE!$F$14,$M36,AU$13)="",10^12,OFFSET(CRONOPLE!$F$14,$M36,AU$13))))</f>
        <v>1000000000000</v>
      </c>
      <c r="AV36" s="180">
        <f ca="1">IF($D36&lt;&gt;"Serviço",0,IF(AND(AUTOEVENTO="Manual",$M36=1),0,IF(OFFSET(CRONOPLE!$F$14,$M36,AV$13)="",10^12,OFFSET(CRONOPLE!$F$14,$M36,AV$13))))</f>
        <v>1000000000000</v>
      </c>
      <c r="AX36" s="181">
        <f ca="1">IF($D36&lt;&gt;"Serviço",0,IF(OR(AND(AUTOEVENTO="Manual",$M36=1),$M36&gt;(ROW(PLE.lastrow)-ROW(PLE.firstrow))),0,IF(OFFSET(PLE!$G$14,$M36,AX$13)="",10^12,OFFSET(PLE!$G$14,$M36,AX$13))))</f>
        <v>1000000000000</v>
      </c>
      <c r="AY36" s="181">
        <f ca="1">IF($D36&lt;&gt;"Serviço",0,IF(OR(AND(AUTOEVENTO="Manual",$M36=1),$M36&gt;(ROW(PLE.lastrow)-ROW(PLE.firstrow))),0,IF(OFFSET(PLE!$G$14,$M36,AY$13)="",10^12,OFFSET(PLE!$G$14,$M36,AY$13))))</f>
        <v>1000000000000</v>
      </c>
      <c r="AZ36" s="181">
        <f ca="1">IF($D36&lt;&gt;"Serviço",0,IF(OR(AND(AUTOEVENTO="Manual",$M36=1),$M36&gt;(ROW(PLE.lastrow)-ROW(PLE.firstrow))),0,IF(OFFSET(PLE!$G$14,$M36,AZ$13)="",10^12,OFFSET(PLE!$G$14,$M36,AZ$13))))</f>
        <v>1000000000000</v>
      </c>
      <c r="BA36" s="181">
        <f ca="1">IF($D36&lt;&gt;"Serviço",0,IF(OR(AND(AUTOEVENTO="Manual",$M36=1),$M36&gt;(ROW(PLE.lastrow)-ROW(PLE.firstrow))),0,IF(OFFSET(PLE!$G$14,$M36,BA$13)="",10^12,OFFSET(PLE!$G$14,$M36,BA$13))))</f>
        <v>1000000000000</v>
      </c>
      <c r="BB36" s="181">
        <f ca="1">IF($D36&lt;&gt;"Serviço",0,IF(OR(AND(AUTOEVENTO="Manual",$M36=1),$M36&gt;(ROW(PLE.lastrow)-ROW(PLE.firstrow))),0,IF(OFFSET(PLE!$G$14,$M36,BB$13)="",10^12,OFFSET(PLE!$G$14,$M36,BB$13))))</f>
        <v>1000000000000</v>
      </c>
      <c r="BC36" s="181">
        <f ca="1">IF($D36&lt;&gt;"Serviço",0,IF(OR(AND(AUTOEVENTO="Manual",$M36=1),$M36&gt;(ROW(PLE.lastrow)-ROW(PLE.firstrow))),0,IF(OFFSET(PLE!$G$14,$M36,BC$13)="",10^12,OFFSET(PLE!$G$14,$M36,BC$13))))</f>
        <v>1000000000000</v>
      </c>
      <c r="BD36" s="181">
        <f ca="1">IF($D36&lt;&gt;"Serviço",0,IF(OR(AND(AUTOEVENTO="Manual",$M36=1),$M36&gt;(ROW(PLE.lastrow)-ROW(PLE.firstrow))),0,IF(OFFSET(PLE!$G$14,$M36,BD$13)="",10^12,OFFSET(PLE!$G$14,$M36,BD$13))))</f>
        <v>1000000000000</v>
      </c>
      <c r="BE36" s="181">
        <f ca="1">IF($D36&lt;&gt;"Serviço",0,IF(OR(AND(AUTOEVENTO="Manual",$M36=1),$M36&gt;(ROW(PLE.lastrow)-ROW(PLE.firstrow))),0,IF(OFFSET(PLE!$G$14,$M36,BE$13)="",10^12,OFFSET(PLE!$G$14,$M36,BE$13))))</f>
        <v>1000000000000</v>
      </c>
      <c r="BF36" s="181">
        <f ca="1">IF($D36&lt;&gt;"Serviço",0,IF(OR(AND(AUTOEVENTO="Manual",$M36=1),$M36&gt;(ROW(PLE.lastrow)-ROW(PLE.firstrow))),0,IF(OFFSET(PLE!$G$14,$M36,BF$13)="",10^12,OFFSET(PLE!$G$14,$M36,BF$13))))</f>
        <v>1000000000000</v>
      </c>
      <c r="BG36" s="181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s="583" customFormat="1" ht="12.75" x14ac:dyDescent="0.2">
      <c r="A37" s="7">
        <f ca="1">IF(AUTOEVENTO="Manual",IF(K37&lt;&gt;"",MIN(VALUE(LEFT(K37,FIND(".",K37)-1)),COUNTA(EVENTOS.Lista)),0),IF(OR($B37&gt;AUTOEVENTO,$B37="S",$B37=0),SUBSTITUTE(OFFSET($A37,-1,0),IF($D37="Serviço",".",""),""),ROW(A37)-ROW($A$15)&amp;"."))</f>
        <v>0</v>
      </c>
      <c r="B37" s="7">
        <f ca="1">OFFSET(ORÇAMENTO!C$15,ROW(B37)-ROW(B$15),0)</f>
        <v>2</v>
      </c>
      <c r="C37" s="7" t="str">
        <f ca="1">OFFSET(ORÇAMENTO!L$15,ROW(C37)-ROW(C$15),0)</f>
        <v>F</v>
      </c>
      <c r="D37" s="118" t="str">
        <f ca="1">OFFSET(ORÇAMENTO!N$15,ROW(D37)-ROW(D$15),0)</f>
        <v>Nível 2</v>
      </c>
      <c r="E37" s="119" t="str">
        <f ca="1">OFFSET(ORÇAMENTO!O$15,ROW(E37)-ROW(E$15),0)</f>
        <v>1.6.</v>
      </c>
      <c r="F37" s="171" t="str">
        <f ca="1">OFFSET(ORÇAMENTO!R$15,ROW(F37)-ROW(F$15),0)</f>
        <v>Canaleta de concreto para drenagem</v>
      </c>
      <c r="G37" s="172" t="str">
        <f ca="1">IF($D37&lt;&gt;"Serviço","",OFFSET(ORÇAMENTO!S$15,ROW(G37)-ROW(G$15),0))</f>
        <v/>
      </c>
      <c r="H37" s="124">
        <f ca="1">IF($D37&lt;&gt;"Serviço",0,IF(ACOMPANHAMENTO="BM",ROUND(OFFSET(ORÇAMENTO!AJ$15,ROW(H37)-ROW(H$15),0),15-13*ORÇAMENTO!$AF$7),SUMPRODUCT(($Q$12:$AA$12&lt;&gt;"")*ROUND($Q37:$AA37,15-13*ORÇAMENTO!$AF$7))))</f>
        <v>0</v>
      </c>
      <c r="I37" s="561"/>
      <c r="K37" s="173"/>
      <c r="L37" s="174" t="s">
        <v>257</v>
      </c>
      <c r="M37" s="175" t="str">
        <f ca="1">IF($D37&lt;&gt;"Serviço","",IF(AUTOEVENTO="manual",$A37,IF(ISERROR(MATCH($A37,$A$15:OFFSET($A37,-1,0),0)),MAX($M$15:OFFSET(M37,-1,0))+1,INDEX($M$15:OFFSET(M37,-1,0),MATCH($A37,$A$15:OFFSET($A37,-1,0),0)))))</f>
        <v/>
      </c>
      <c r="N37" s="176" t="str">
        <f ca="1">IF($D37&lt;&gt;"Serviço","",IF(AUTOEVENTO="Manual",IF($A37=0,"&lt;-- defina o número do agrupador",OFFSET(EVENTOS!$D$14,$A37,0)),OFFSET($F$15,$A37,0)))</f>
        <v/>
      </c>
      <c r="O37" s="177"/>
      <c r="Q37" s="177"/>
      <c r="R37" s="178"/>
      <c r="S37" s="178"/>
      <c r="T37" s="178"/>
      <c r="U37" s="178"/>
      <c r="V37" s="178"/>
      <c r="W37" s="178"/>
      <c r="X37" s="178"/>
      <c r="Y37" s="178"/>
      <c r="Z37" s="179"/>
      <c r="AB37" s="544">
        <f ca="1">IF(AND($D37="Serviço",AB$12&lt;&gt;0,$H37&gt;0,OR(AUTOEVENTO&lt;&gt;"manual",$M37&lt;&gt;1)),ROUND(OFFSET($P37,0,AB$13),15-13*ORÇAMENTO!$AF$7)/$H37*OFFSET(ORÇAMENTO!$X$15,ROW(AB37)-ROW(AB$15),0),0)</f>
        <v>0</v>
      </c>
      <c r="AC37" s="545">
        <f ca="1">IF(AND($D37="Serviço",AC$12&lt;&gt;0,$H37&gt;0,OR(AUTOEVENTO&lt;&gt;"manual",$M37&lt;&gt;1)),ROUND(OFFSET($P37,0,AC$13),15-13*ORÇAMENTO!$AF$7)/$H37*OFFSET(ORÇAMENTO!$X$15,ROW(AC37)-ROW(AC$15),0),0)</f>
        <v>0</v>
      </c>
      <c r="AD37" s="545">
        <f ca="1">IF(AND($D37="Serviço",AD$12&lt;&gt;0,$H37&gt;0,OR(AUTOEVENTO&lt;&gt;"manual",$M37&lt;&gt;1)),ROUND(OFFSET($P37,0,AD$13),15-13*ORÇAMENTO!$AF$7)/$H37*OFFSET(ORÇAMENTO!$X$15,ROW(AD37)-ROW(AD$15),0),0)</f>
        <v>0</v>
      </c>
      <c r="AE37" s="545">
        <f ca="1">IF(AND($D37="Serviço",AE$12&lt;&gt;0,$H37&gt;0,OR(AUTOEVENTO&lt;&gt;"manual",$M37&lt;&gt;1)),ROUND(OFFSET($P37,0,AE$13),15-13*ORÇAMENTO!$AF$7)/$H37*OFFSET(ORÇAMENTO!$X$15,ROW(AE37)-ROW(AE$15),0),0)</f>
        <v>0</v>
      </c>
      <c r="AF37" s="545">
        <f ca="1">IF(AND($D37="Serviço",AF$12&lt;&gt;0,$H37&gt;0,OR(AUTOEVENTO&lt;&gt;"manual",$M37&lt;&gt;1)),ROUND(OFFSET($P37,0,AF$13),15-13*ORÇAMENTO!$AF$7)/$H37*OFFSET(ORÇAMENTO!$X$15,ROW(AF37)-ROW(AF$15),0),0)</f>
        <v>0</v>
      </c>
      <c r="AG37" s="545">
        <f ca="1">IF(AND($D37="Serviço",AG$12&lt;&gt;0,$H37&gt;0,OR(AUTOEVENTO&lt;&gt;"manual",$M37&lt;&gt;1)),ROUND(OFFSET($P37,0,AG$13),15-13*ORÇAMENTO!$AF$7)/$H37*OFFSET(ORÇAMENTO!$X$15,ROW(AG37)-ROW(AG$15),0),0)</f>
        <v>0</v>
      </c>
      <c r="AH37" s="545">
        <f ca="1">IF(AND($D37="Serviço",AH$12&lt;&gt;0,$H37&gt;0,OR(AUTOEVENTO&lt;&gt;"manual",$M37&lt;&gt;1)),ROUND(OFFSET($P37,0,AH$13),15-13*ORÇAMENTO!$AF$7)/$H37*OFFSET(ORÇAMENTO!$X$15,ROW(AH37)-ROW(AH$15),0),0)</f>
        <v>0</v>
      </c>
      <c r="AI37" s="545">
        <f ca="1">IF(AND($D37="Serviço",AI$12&lt;&gt;0,$H37&gt;0,OR(AUTOEVENTO&lt;&gt;"manual",$M37&lt;&gt;1)),ROUND(OFFSET($P37,0,AI$13),15-13*ORÇAMENTO!$AF$7)/$H37*OFFSET(ORÇAMENTO!$X$15,ROW(AI37)-ROW(AI$15),0),0)</f>
        <v>0</v>
      </c>
      <c r="AJ37" s="545">
        <f ca="1">IF(AND($D37="Serviço",AJ$12&lt;&gt;0,$H37&gt;0,OR(AUTOEVENTO&lt;&gt;"manual",$M37&lt;&gt;1)),ROUND(OFFSET($P37,0,AJ$13),15-13*ORÇAMENTO!$AF$7)/$H37*OFFSET(ORÇAMENTO!$X$15,ROW(AJ37)-ROW(AJ$15),0),0)</f>
        <v>0</v>
      </c>
      <c r="AK37" s="546">
        <f ca="1">IF(AND($D37="Serviço",AK$12&lt;&gt;0,$H37&gt;0,OR(AUTOEVENTO&lt;&gt;"manual",$M37&lt;&gt;1)),ROUND(OFFSET($P37,0,AK$13),15-13*ORÇAMENTO!$AF$7)/$H37*OFFSET(ORÇAMENTO!$X$15,ROW(AK37)-ROW(AK$15),0),0)</f>
        <v>0</v>
      </c>
      <c r="AM37" s="180">
        <f ca="1">IF($D37&lt;&gt;"Serviço",0,IF(AND(AUTOEVENTO="Manual",$M37=1),0,IF(OFFSET(CRONOPLE!$F$14,$M37,AM$13)="",10^12,OFFSET(CRONOPLE!$F$14,$M37,AM$13))))</f>
        <v>0</v>
      </c>
      <c r="AN37" s="180">
        <f ca="1">IF($D37&lt;&gt;"Serviço",0,IF(AND(AUTOEVENTO="Manual",$M37=1),0,IF(OFFSET(CRONOPLE!$F$14,$M37,AN$13)="",10^12,OFFSET(CRONOPLE!$F$14,$M37,AN$13))))</f>
        <v>0</v>
      </c>
      <c r="AO37" s="180">
        <f ca="1">IF($D37&lt;&gt;"Serviço",0,IF(AND(AUTOEVENTO="Manual",$M37=1),0,IF(OFFSET(CRONOPLE!$F$14,$M37,AO$13)="",10^12,OFFSET(CRONOPLE!$F$14,$M37,AO$13))))</f>
        <v>0</v>
      </c>
      <c r="AP37" s="180">
        <f ca="1">IF($D37&lt;&gt;"Serviço",0,IF(AND(AUTOEVENTO="Manual",$M37=1),0,IF(OFFSET(CRONOPLE!$F$14,$M37,AP$13)="",10^12,OFFSET(CRONOPLE!$F$14,$M37,AP$13))))</f>
        <v>0</v>
      </c>
      <c r="AQ37" s="180">
        <f ca="1">IF($D37&lt;&gt;"Serviço",0,IF(AND(AUTOEVENTO="Manual",$M37=1),0,IF(OFFSET(CRONOPLE!$F$14,$M37,AQ$13)="",10^12,OFFSET(CRONOPLE!$F$14,$M37,AQ$13))))</f>
        <v>0</v>
      </c>
      <c r="AR37" s="180">
        <f ca="1">IF($D37&lt;&gt;"Serviço",0,IF(AND(AUTOEVENTO="Manual",$M37=1),0,IF(OFFSET(CRONOPLE!$F$14,$M37,AR$13)="",10^12,OFFSET(CRONOPLE!$F$14,$M37,AR$13))))</f>
        <v>0</v>
      </c>
      <c r="AS37" s="180">
        <f ca="1">IF($D37&lt;&gt;"Serviço",0,IF(AND(AUTOEVENTO="Manual",$M37=1),0,IF(OFFSET(CRONOPLE!$F$14,$M37,AS$13)="",10^12,OFFSET(CRONOPLE!$F$14,$M37,AS$13))))</f>
        <v>0</v>
      </c>
      <c r="AT37" s="180">
        <f ca="1">IF($D37&lt;&gt;"Serviço",0,IF(AND(AUTOEVENTO="Manual",$M37=1),0,IF(OFFSET(CRONOPLE!$F$14,$M37,AT$13)="",10^12,OFFSET(CRONOPLE!$F$14,$M37,AT$13))))</f>
        <v>0</v>
      </c>
      <c r="AU37" s="180">
        <f ca="1">IF($D37&lt;&gt;"Serviço",0,IF(AND(AUTOEVENTO="Manual",$M37=1),0,IF(OFFSET(CRONOPLE!$F$14,$M37,AU$13)="",10^12,OFFSET(CRONOPLE!$F$14,$M37,AU$13))))</f>
        <v>0</v>
      </c>
      <c r="AV37" s="180">
        <f ca="1">IF($D37&lt;&gt;"Serviço",0,IF(AND(AUTOEVENTO="Manual",$M37=1),0,IF(OFFSET(CRONOPLE!$F$14,$M37,AV$13)="",10^12,OFFSET(CRONOPLE!$F$14,$M37,AV$13))))</f>
        <v>0</v>
      </c>
      <c r="AX37" s="181">
        <f ca="1">IF($D37&lt;&gt;"Serviço",0,IF(OR(AND(AUTOEVENTO="Manual",$M37=1),$M37&gt;(ROW(PLE.lastrow)-ROW(PLE.firstrow))),0,IF(OFFSET(PLE!$G$14,$M37,AX$13)="",10^12,OFFSET(PLE!$G$14,$M37,AX$13))))</f>
        <v>0</v>
      </c>
      <c r="AY37" s="181">
        <f ca="1">IF($D37&lt;&gt;"Serviço",0,IF(OR(AND(AUTOEVENTO="Manual",$M37=1),$M37&gt;(ROW(PLE.lastrow)-ROW(PLE.firstrow))),0,IF(OFFSET(PLE!$G$14,$M37,AY$13)="",10^12,OFFSET(PLE!$G$14,$M37,AY$13))))</f>
        <v>0</v>
      </c>
      <c r="AZ37" s="181">
        <f ca="1">IF($D37&lt;&gt;"Serviço",0,IF(OR(AND(AUTOEVENTO="Manual",$M37=1),$M37&gt;(ROW(PLE.lastrow)-ROW(PLE.firstrow))),0,IF(OFFSET(PLE!$G$14,$M37,AZ$13)="",10^12,OFFSET(PLE!$G$14,$M37,AZ$13))))</f>
        <v>0</v>
      </c>
      <c r="BA37" s="181">
        <f ca="1">IF($D37&lt;&gt;"Serviço",0,IF(OR(AND(AUTOEVENTO="Manual",$M37=1),$M37&gt;(ROW(PLE.lastrow)-ROW(PLE.firstrow))),0,IF(OFFSET(PLE!$G$14,$M37,BA$13)="",10^12,OFFSET(PLE!$G$14,$M37,BA$13))))</f>
        <v>0</v>
      </c>
      <c r="BB37" s="181">
        <f ca="1">IF($D37&lt;&gt;"Serviço",0,IF(OR(AND(AUTOEVENTO="Manual",$M37=1),$M37&gt;(ROW(PLE.lastrow)-ROW(PLE.firstrow))),0,IF(OFFSET(PLE!$G$14,$M37,BB$13)="",10^12,OFFSET(PLE!$G$14,$M37,BB$13))))</f>
        <v>0</v>
      </c>
      <c r="BC37" s="181">
        <f ca="1">IF($D37&lt;&gt;"Serviço",0,IF(OR(AND(AUTOEVENTO="Manual",$M37=1),$M37&gt;(ROW(PLE.lastrow)-ROW(PLE.firstrow))),0,IF(OFFSET(PLE!$G$14,$M37,BC$13)="",10^12,OFFSET(PLE!$G$14,$M37,BC$13))))</f>
        <v>0</v>
      </c>
      <c r="BD37" s="181">
        <f ca="1">IF($D37&lt;&gt;"Serviço",0,IF(OR(AND(AUTOEVENTO="Manual",$M37=1),$M37&gt;(ROW(PLE.lastrow)-ROW(PLE.firstrow))),0,IF(OFFSET(PLE!$G$14,$M37,BD$13)="",10^12,OFFSET(PLE!$G$14,$M37,BD$13))))</f>
        <v>0</v>
      </c>
      <c r="BE37" s="181">
        <f ca="1">IF($D37&lt;&gt;"Serviço",0,IF(OR(AND(AUTOEVENTO="Manual",$M37=1),$M37&gt;(ROW(PLE.lastrow)-ROW(PLE.firstrow))),0,IF(OFFSET(PLE!$G$14,$M37,BE$13)="",10^12,OFFSET(PLE!$G$14,$M37,BE$13))))</f>
        <v>0</v>
      </c>
      <c r="BF37" s="181">
        <f ca="1">IF($D37&lt;&gt;"Serviço",0,IF(OR(AND(AUTOEVENTO="Manual",$M37=1),$M37&gt;(ROW(PLE.lastrow)-ROW(PLE.firstrow))),0,IF(OFFSET(PLE!$G$14,$M37,BF$13)="",10^12,OFFSET(PLE!$G$14,$M37,BF$13))))</f>
        <v>0</v>
      </c>
      <c r="BG37" s="181">
        <f ca="1">IF($D37&lt;&gt;"Serviço",0,IF(OR(AND(AUTOEVENTO="Manual",$M37=1),$M37&gt;(ROW(PLE.lastrow)-ROW(PLE.firstrow))),0,IF(OFFSET(PLE!$G$14,$M37,BG$13)="",10^12,OFFSET(PLE!$G$14,$M37,BG$13))))</f>
        <v>0</v>
      </c>
    </row>
    <row r="38" spans="1:59" s="583" customFormat="1" ht="51" x14ac:dyDescent="0.2">
      <c r="A38" s="7">
        <f t="shared" ca="1" si="8"/>
        <v>7</v>
      </c>
      <c r="B38" s="7" t="str">
        <f ca="1">OFFSET(ORÇAMENTO!C$15,ROW(B38)-ROW(B$15),0)</f>
        <v>S</v>
      </c>
      <c r="C38" s="7" t="str">
        <f ca="1">OFFSET(ORÇAMENTO!L$15,ROW(C38)-ROW(C$15),0)</f>
        <v/>
      </c>
      <c r="D38" s="118" t="str">
        <f ca="1">OFFSET(ORÇAMENTO!N$15,ROW(D38)-ROW(D$15),0)</f>
        <v>Serviço</v>
      </c>
      <c r="E38" s="119" t="str">
        <f ca="1">OFFSET(ORÇAMENTO!O$15,ROW(E38)-ROW(E$15),0)</f>
        <v>-</v>
      </c>
      <c r="F38" s="171" t="str">
        <f ca="1">OFFSET(ORÇAMENTO!R$15,ROW(F38)-ROW(F$15),0)</f>
        <v>(abra o arquivo 'Referência 04-2024.xls)</v>
      </c>
      <c r="G38" s="172" t="str">
        <f ca="1">IF($D38&lt;&gt;"Serviço","",OFFSET(ORÇAMENTO!S$15,ROW(G38)-ROW(G$15),0))</f>
        <v>-</v>
      </c>
      <c r="H38" s="124">
        <f ca="1">IF($D38&lt;&gt;"Serviço",0,IF(ACOMPANHAMENTO="BM",ROUND(OFFSET(ORÇAMENTO!AJ$15,ROW(H38)-ROW(H$15),0),15-13*ORÇAMENTO!$AF$7),SUMPRODUCT(($Q$12:$AA$12&lt;&gt;"")*ROUND($Q38:$AA38,15-13*ORÇAMENTO!$AF$7))))</f>
        <v>10</v>
      </c>
      <c r="I38" s="561"/>
      <c r="K38" s="173" t="s">
        <v>507</v>
      </c>
      <c r="L38" s="174" t="s">
        <v>257</v>
      </c>
      <c r="M38" s="175">
        <f ca="1">IF($D38&lt;&gt;"Serviço","",IF(AUTOEVENTO="manual",$A38,IF(ISERROR(MATCH($A38,$A$15:OFFSET($A38,-1,0),0)),MAX($M$15:OFFSET(M38,-1,0))+1,INDEX($M$15:OFFSET(M38,-1,0),MATCH($A38,$A$15:OFFSET($A38,-1,0),0)))))</f>
        <v>7</v>
      </c>
      <c r="N38" s="176" t="str">
        <f ca="1">IF($D38&lt;&gt;"Serviço","",IF(AUTOEVENTO="Manual",IF($A38=0,"&lt;-- defina o número do agrupador",OFFSET(EVENTOS!$D$14,$A38,0)),OFFSET($F$15,$A38,0)))</f>
        <v>Faixa de travessia de pedestre</v>
      </c>
      <c r="O38" s="177"/>
      <c r="Q38" s="177"/>
      <c r="R38" s="178"/>
      <c r="S38" s="178">
        <f>5*2</f>
        <v>10</v>
      </c>
      <c r="T38" s="178"/>
      <c r="U38" s="178"/>
      <c r="V38" s="178"/>
      <c r="W38" s="178"/>
      <c r="X38" s="178"/>
      <c r="Y38" s="178"/>
      <c r="Z38" s="179"/>
      <c r="AB38" s="544">
        <f ca="1">IF(AND($D38="Serviço",AB$12&lt;&gt;0,$H38&gt;0,OR(AUTOEVENTO&lt;&gt;"manual",$M38&lt;&gt;1)),ROUND(OFFSET($P38,0,AB$13),15-13*ORÇAMENTO!$AF$7)/$H38*OFFSET(ORÇAMENTO!$X$15,ROW(AB38)-ROW(AB$15),0),0)</f>
        <v>0</v>
      </c>
      <c r="AC38" s="545">
        <f ca="1">IF(AND($D38="Serviço",AC$12&lt;&gt;0,$H38&gt;0,OR(AUTOEVENTO&lt;&gt;"manual",$M38&lt;&gt;1)),ROUND(OFFSET($P38,0,AC$13),15-13*ORÇAMENTO!$AF$7)/$H38*OFFSET(ORÇAMENTO!$X$15,ROW(AC38)-ROW(AC$15),0),0)</f>
        <v>0</v>
      </c>
      <c r="AD38" s="545">
        <f ca="1">IF(AND($D38="Serviço",AD$12&lt;&gt;0,$H38&gt;0,OR(AUTOEVENTO&lt;&gt;"manual",$M38&lt;&gt;1)),ROUND(OFFSET($P38,0,AD$13),15-13*ORÇAMENTO!$AF$7)/$H38*OFFSET(ORÇAMENTO!$X$15,ROW(AD38)-ROW(AD$15),0),0)</f>
        <v>0</v>
      </c>
      <c r="AE38" s="545">
        <f ca="1">IF(AND($D38="Serviço",AE$12&lt;&gt;0,$H38&gt;0,OR(AUTOEVENTO&lt;&gt;"manual",$M38&lt;&gt;1)),ROUND(OFFSET($P38,0,AE$13),15-13*ORÇAMENTO!$AF$7)/$H38*OFFSET(ORÇAMENTO!$X$15,ROW(AE38)-ROW(AE$15),0),0)</f>
        <v>0</v>
      </c>
      <c r="AF38" s="545">
        <f ca="1">IF(AND($D38="Serviço",AF$12&lt;&gt;0,$H38&gt;0,OR(AUTOEVENTO&lt;&gt;"manual",$M38&lt;&gt;1)),ROUND(OFFSET($P38,0,AF$13),15-13*ORÇAMENTO!$AF$7)/$H38*OFFSET(ORÇAMENTO!$X$15,ROW(AF38)-ROW(AF$15),0),0)</f>
        <v>0</v>
      </c>
      <c r="AG38" s="545">
        <f ca="1">IF(AND($D38="Serviço",AG$12&lt;&gt;0,$H38&gt;0,OR(AUTOEVENTO&lt;&gt;"manual",$M38&lt;&gt;1)),ROUND(OFFSET($P38,0,AG$13),15-13*ORÇAMENTO!$AF$7)/$H38*OFFSET(ORÇAMENTO!$X$15,ROW(AG38)-ROW(AG$15),0),0)</f>
        <v>0</v>
      </c>
      <c r="AH38" s="545">
        <f ca="1">IF(AND($D38="Serviço",AH$12&lt;&gt;0,$H38&gt;0,OR(AUTOEVENTO&lt;&gt;"manual",$M38&lt;&gt;1)),ROUND(OFFSET($P38,0,AH$13),15-13*ORÇAMENTO!$AF$7)/$H38*OFFSET(ORÇAMENTO!$X$15,ROW(AH38)-ROW(AH$15),0),0)</f>
        <v>0</v>
      </c>
      <c r="AI38" s="545">
        <f ca="1">IF(AND($D38="Serviço",AI$12&lt;&gt;0,$H38&gt;0,OR(AUTOEVENTO&lt;&gt;"manual",$M38&lt;&gt;1)),ROUND(OFFSET($P38,0,AI$13),15-13*ORÇAMENTO!$AF$7)/$H38*OFFSET(ORÇAMENTO!$X$15,ROW(AI38)-ROW(AI$15),0),0)</f>
        <v>0</v>
      </c>
      <c r="AJ38" s="545">
        <f ca="1">IF(AND($D38="Serviço",AJ$12&lt;&gt;0,$H38&gt;0,OR(AUTOEVENTO&lt;&gt;"manual",$M38&lt;&gt;1)),ROUND(OFFSET($P38,0,AJ$13),15-13*ORÇAMENTO!$AF$7)/$H38*OFFSET(ORÇAMENTO!$X$15,ROW(AJ38)-ROW(AJ$15),0),0)</f>
        <v>0</v>
      </c>
      <c r="AK38" s="546">
        <f ca="1">IF(AND($D38="Serviço",AK$12&lt;&gt;0,$H38&gt;0,OR(AUTOEVENTO&lt;&gt;"manual",$M38&lt;&gt;1)),ROUND(OFFSET($P38,0,AK$13),15-13*ORÇAMENTO!$AF$7)/$H38*OFFSET(ORÇAMENTO!$X$15,ROW(AK38)-ROW(AK$15),0),0)</f>
        <v>0</v>
      </c>
      <c r="AM38" s="180">
        <f ca="1">IF($D38&lt;&gt;"Serviço",0,IF(AND(AUTOEVENTO="Manual",$M38=1),0,IF(OFFSET(CRONOPLE!$F$14,$M38,AM$13)="",10^12,OFFSET(CRONOPLE!$F$14,$M38,AM$13))))</f>
        <v>1000000000000</v>
      </c>
      <c r="AN38" s="180">
        <f ca="1">IF($D38&lt;&gt;"Serviço",0,IF(AND(AUTOEVENTO="Manual",$M38=1),0,IF(OFFSET(CRONOPLE!$F$14,$M38,AN$13)="",10^12,OFFSET(CRONOPLE!$F$14,$M38,AN$13))))</f>
        <v>1000000000000</v>
      </c>
      <c r="AO38" s="180">
        <f ca="1">IF($D38&lt;&gt;"Serviço",0,IF(AND(AUTOEVENTO="Manual",$M38=1),0,IF(OFFSET(CRONOPLE!$F$14,$M38,AO$13)="",10^12,OFFSET(CRONOPLE!$F$14,$M38,AO$13))))</f>
        <v>4</v>
      </c>
      <c r="AP38" s="180">
        <f ca="1">IF($D38&lt;&gt;"Serviço",0,IF(AND(AUTOEVENTO="Manual",$M38=1),0,IF(OFFSET(CRONOPLE!$F$14,$M38,AP$13)="",10^12,OFFSET(CRONOPLE!$F$14,$M38,AP$13))))</f>
        <v>1000000000000</v>
      </c>
      <c r="AQ38" s="180">
        <f ca="1">IF($D38&lt;&gt;"Serviço",0,IF(AND(AUTOEVENTO="Manual",$M38=1),0,IF(OFFSET(CRONOPLE!$F$14,$M38,AQ$13)="",10^12,OFFSET(CRONOPLE!$F$14,$M38,AQ$13))))</f>
        <v>1000000000000</v>
      </c>
      <c r="AR38" s="180">
        <f ca="1">IF($D38&lt;&gt;"Serviço",0,IF(AND(AUTOEVENTO="Manual",$M38=1),0,IF(OFFSET(CRONOPLE!$F$14,$M38,AR$13)="",10^12,OFFSET(CRONOPLE!$F$14,$M38,AR$13))))</f>
        <v>1000000000000</v>
      </c>
      <c r="AS38" s="180">
        <f ca="1">IF($D38&lt;&gt;"Serviço",0,IF(AND(AUTOEVENTO="Manual",$M38=1),0,IF(OFFSET(CRONOPLE!$F$14,$M38,AS$13)="",10^12,OFFSET(CRONOPLE!$F$14,$M38,AS$13))))</f>
        <v>1000000000000</v>
      </c>
      <c r="AT38" s="180">
        <f ca="1">IF($D38&lt;&gt;"Serviço",0,IF(AND(AUTOEVENTO="Manual",$M38=1),0,IF(OFFSET(CRONOPLE!$F$14,$M38,AT$13)="",10^12,OFFSET(CRONOPLE!$F$14,$M38,AT$13))))</f>
        <v>1000000000000</v>
      </c>
      <c r="AU38" s="180">
        <f ca="1">IF($D38&lt;&gt;"Serviço",0,IF(AND(AUTOEVENTO="Manual",$M38=1),0,IF(OFFSET(CRONOPLE!$F$14,$M38,AU$13)="",10^12,OFFSET(CRONOPLE!$F$14,$M38,AU$13))))</f>
        <v>1000000000000</v>
      </c>
      <c r="AV38" s="180">
        <f ca="1">IF($D38&lt;&gt;"Serviço",0,IF(AND(AUTOEVENTO="Manual",$M38=1),0,IF(OFFSET(CRONOPLE!$F$14,$M38,AV$13)="",10^12,OFFSET(CRONOPLE!$F$14,$M38,AV$13))))</f>
        <v>1000000000000</v>
      </c>
      <c r="AX38" s="181">
        <f ca="1">IF($D38&lt;&gt;"Serviço",0,IF(OR(AND(AUTOEVENTO="Manual",$M38=1),$M38&gt;(ROW(PLE.lastrow)-ROW(PLE.firstrow))),0,IF(OFFSET(PLE!$G$14,$M38,AX$13)="",10^12,OFFSET(PLE!$G$14,$M38,AX$13))))</f>
        <v>1000000000000</v>
      </c>
      <c r="AY38" s="181">
        <f ca="1">IF($D38&lt;&gt;"Serviço",0,IF(OR(AND(AUTOEVENTO="Manual",$M38=1),$M38&gt;(ROW(PLE.lastrow)-ROW(PLE.firstrow))),0,IF(OFFSET(PLE!$G$14,$M38,AY$13)="",10^12,OFFSET(PLE!$G$14,$M38,AY$13))))</f>
        <v>1000000000000</v>
      </c>
      <c r="AZ38" s="181">
        <f ca="1">IF($D38&lt;&gt;"Serviço",0,IF(OR(AND(AUTOEVENTO="Manual",$M38=1),$M38&gt;(ROW(PLE.lastrow)-ROW(PLE.firstrow))),0,IF(OFFSET(PLE!$G$14,$M38,AZ$13)="",10^12,OFFSET(PLE!$G$14,$M38,AZ$13))))</f>
        <v>1000000000000</v>
      </c>
      <c r="BA38" s="181">
        <f ca="1">IF($D38&lt;&gt;"Serviço",0,IF(OR(AND(AUTOEVENTO="Manual",$M38=1),$M38&gt;(ROW(PLE.lastrow)-ROW(PLE.firstrow))),0,IF(OFFSET(PLE!$G$14,$M38,BA$13)="",10^12,OFFSET(PLE!$G$14,$M38,BA$13))))</f>
        <v>1000000000000</v>
      </c>
      <c r="BB38" s="181">
        <f ca="1">IF($D38&lt;&gt;"Serviço",0,IF(OR(AND(AUTOEVENTO="Manual",$M38=1),$M38&gt;(ROW(PLE.lastrow)-ROW(PLE.firstrow))),0,IF(OFFSET(PLE!$G$14,$M38,BB$13)="",10^12,OFFSET(PLE!$G$14,$M38,BB$13))))</f>
        <v>1000000000000</v>
      </c>
      <c r="BC38" s="181">
        <f ca="1">IF($D38&lt;&gt;"Serviço",0,IF(OR(AND(AUTOEVENTO="Manual",$M38=1),$M38&gt;(ROW(PLE.lastrow)-ROW(PLE.firstrow))),0,IF(OFFSET(PLE!$G$14,$M38,BC$13)="",10^12,OFFSET(PLE!$G$14,$M38,BC$13))))</f>
        <v>1000000000000</v>
      </c>
      <c r="BD38" s="181">
        <f ca="1">IF($D38&lt;&gt;"Serviço",0,IF(OR(AND(AUTOEVENTO="Manual",$M38=1),$M38&gt;(ROW(PLE.lastrow)-ROW(PLE.firstrow))),0,IF(OFFSET(PLE!$G$14,$M38,BD$13)="",10^12,OFFSET(PLE!$G$14,$M38,BD$13))))</f>
        <v>1000000000000</v>
      </c>
      <c r="BE38" s="181">
        <f ca="1">IF($D38&lt;&gt;"Serviço",0,IF(OR(AND(AUTOEVENTO="Manual",$M38=1),$M38&gt;(ROW(PLE.lastrow)-ROW(PLE.firstrow))),0,IF(OFFSET(PLE!$G$14,$M38,BE$13)="",10^12,OFFSET(PLE!$G$14,$M38,BE$13))))</f>
        <v>1000000000000</v>
      </c>
      <c r="BF38" s="181">
        <f ca="1">IF($D38&lt;&gt;"Serviço",0,IF(OR(AND(AUTOEVENTO="Manual",$M38=1),$M38&gt;(ROW(PLE.lastrow)-ROW(PLE.firstrow))),0,IF(OFFSET(PLE!$G$14,$M38,BF$13)="",10^12,OFFSET(PLE!$G$14,$M38,BF$13))))</f>
        <v>1000000000000</v>
      </c>
      <c r="BG38" s="181">
        <f ca="1">IF($D38&lt;&gt;"Serviço",0,IF(OR(AND(AUTOEVENTO="Manual",$M38=1),$M38&gt;(ROW(PLE.lastrow)-ROW(PLE.firstrow))),0,IF(OFFSET(PLE!$G$14,$M38,BG$13)="",10^12,OFFSET(PLE!$G$14,$M38,BG$13))))</f>
        <v>1000000000000</v>
      </c>
    </row>
    <row r="39" spans="1:59" s="583" customFormat="1" ht="38.25" x14ac:dyDescent="0.2">
      <c r="A39" s="7">
        <f ca="1">IF(AUTOEVENTO="Manual",IF(K39&lt;&gt;"",MIN(VALUE(LEFT(K39,FIND(".",K39)-1)),COUNTA(EVENTOS.Lista)),0),IF(OR($B39&gt;AUTOEVENTO,$B39="S",$B39=0),SUBSTITUTE(OFFSET($A39,-1,0),IF($D39="Serviço",".",""),""),ROW(A39)-ROW($A$15)&amp;"."))</f>
        <v>7</v>
      </c>
      <c r="B39" s="7" t="str">
        <f ca="1">OFFSET(ORÇAMENTO!C$15,ROW(B39)-ROW(B$15),0)</f>
        <v>S</v>
      </c>
      <c r="C39" s="7" t="str">
        <f ca="1">OFFSET(ORÇAMENTO!L$15,ROW(C39)-ROW(C$15),0)</f>
        <v/>
      </c>
      <c r="D39" s="118" t="str">
        <f ca="1">OFFSET(ORÇAMENTO!N$15,ROW(D39)-ROW(D$15),0)</f>
        <v>Serviço</v>
      </c>
      <c r="E39" s="119" t="str">
        <f ca="1">OFFSET(ORÇAMENTO!O$15,ROW(E39)-ROW(E$15),0)</f>
        <v>-</v>
      </c>
      <c r="F39" s="171" t="str">
        <f ca="1">OFFSET(ORÇAMENTO!R$15,ROW(F39)-ROW(F$15),0)</f>
        <v>(abra o arquivo 'Referência 04-2024.xls)</v>
      </c>
      <c r="G39" s="172" t="str">
        <f ca="1">IF($D39&lt;&gt;"Serviço","",OFFSET(ORÇAMENTO!S$15,ROW(G39)-ROW(G$15),0))</f>
        <v>-</v>
      </c>
      <c r="H39" s="124">
        <f ca="1">IF($D39&lt;&gt;"Serviço",0,IF(ACOMPANHAMENTO="BM",ROUND(OFFSET(ORÇAMENTO!AJ$15,ROW(H39)-ROW(H$15),0),15-13*ORÇAMENTO!$AF$7),SUMPRODUCT(($Q$12:$AA$12&lt;&gt;"")*ROUND($Q39:$AA39,15-13*ORÇAMENTO!$AF$7))))</f>
        <v>2</v>
      </c>
      <c r="I39" s="561"/>
      <c r="K39" s="173" t="s">
        <v>507</v>
      </c>
      <c r="L39" s="174" t="s">
        <v>257</v>
      </c>
      <c r="M39" s="175">
        <f ca="1">IF($D39&lt;&gt;"Serviço","",IF(AUTOEVENTO="manual",$A39,IF(ISERROR(MATCH($A39,$A$15:OFFSET($A39,-1,0),0)),MAX($M$15:OFFSET(M39,-1,0))+1,INDEX($M$15:OFFSET(M39,-1,0),MATCH($A39,$A$15:OFFSET($A39,-1,0),0)))))</f>
        <v>7</v>
      </c>
      <c r="N39" s="176" t="str">
        <f ca="1">IF($D39&lt;&gt;"Serviço","",IF(AUTOEVENTO="Manual",IF($A39=0,"&lt;-- defina o número do agrupador",OFFSET(EVENTOS!$D$14,$A39,0)),OFFSET($F$15,$A39,0)))</f>
        <v>Faixa de travessia de pedestre</v>
      </c>
      <c r="O39" s="177"/>
      <c r="Q39" s="177"/>
      <c r="R39" s="178"/>
      <c r="S39" s="178">
        <f>((5*0.2)*2)</f>
        <v>2</v>
      </c>
      <c r="T39" s="178"/>
      <c r="U39" s="178"/>
      <c r="V39" s="178"/>
      <c r="W39" s="178"/>
      <c r="X39" s="178"/>
      <c r="Y39" s="178"/>
      <c r="Z39" s="179"/>
      <c r="AB39" s="544">
        <f ca="1">IF(AND($D39="Serviço",AB$12&lt;&gt;0,$H39&gt;0,OR(AUTOEVENTO&lt;&gt;"manual",$M39&lt;&gt;1)),ROUND(OFFSET($P39,0,AB$13),15-13*ORÇAMENTO!$AF$7)/$H39*OFFSET(ORÇAMENTO!$X$15,ROW(AB39)-ROW(AB$15),0),0)</f>
        <v>0</v>
      </c>
      <c r="AC39" s="545">
        <f ca="1">IF(AND($D39="Serviço",AC$12&lt;&gt;0,$H39&gt;0,OR(AUTOEVENTO&lt;&gt;"manual",$M39&lt;&gt;1)),ROUND(OFFSET($P39,0,AC$13),15-13*ORÇAMENTO!$AF$7)/$H39*OFFSET(ORÇAMENTO!$X$15,ROW(AC39)-ROW(AC$15),0),0)</f>
        <v>0</v>
      </c>
      <c r="AD39" s="545">
        <f ca="1">IF(AND($D39="Serviço",AD$12&lt;&gt;0,$H39&gt;0,OR(AUTOEVENTO&lt;&gt;"manual",$M39&lt;&gt;1)),ROUND(OFFSET($P39,0,AD$13),15-13*ORÇAMENTO!$AF$7)/$H39*OFFSET(ORÇAMENTO!$X$15,ROW(AD39)-ROW(AD$15),0),0)</f>
        <v>0</v>
      </c>
      <c r="AE39" s="545">
        <f ca="1">IF(AND($D39="Serviço",AE$12&lt;&gt;0,$H39&gt;0,OR(AUTOEVENTO&lt;&gt;"manual",$M39&lt;&gt;1)),ROUND(OFFSET($P39,0,AE$13),15-13*ORÇAMENTO!$AF$7)/$H39*OFFSET(ORÇAMENTO!$X$15,ROW(AE39)-ROW(AE$15),0),0)</f>
        <v>0</v>
      </c>
      <c r="AF39" s="545">
        <f ca="1">IF(AND($D39="Serviço",AF$12&lt;&gt;0,$H39&gt;0,OR(AUTOEVENTO&lt;&gt;"manual",$M39&lt;&gt;1)),ROUND(OFFSET($P39,0,AF$13),15-13*ORÇAMENTO!$AF$7)/$H39*OFFSET(ORÇAMENTO!$X$15,ROW(AF39)-ROW(AF$15),0),0)</f>
        <v>0</v>
      </c>
      <c r="AG39" s="545">
        <f ca="1">IF(AND($D39="Serviço",AG$12&lt;&gt;0,$H39&gt;0,OR(AUTOEVENTO&lt;&gt;"manual",$M39&lt;&gt;1)),ROUND(OFFSET($P39,0,AG$13),15-13*ORÇAMENTO!$AF$7)/$H39*OFFSET(ORÇAMENTO!$X$15,ROW(AG39)-ROW(AG$15),0),0)</f>
        <v>0</v>
      </c>
      <c r="AH39" s="545">
        <f ca="1">IF(AND($D39="Serviço",AH$12&lt;&gt;0,$H39&gt;0,OR(AUTOEVENTO&lt;&gt;"manual",$M39&lt;&gt;1)),ROUND(OFFSET($P39,0,AH$13),15-13*ORÇAMENTO!$AF$7)/$H39*OFFSET(ORÇAMENTO!$X$15,ROW(AH39)-ROW(AH$15),0),0)</f>
        <v>0</v>
      </c>
      <c r="AI39" s="545">
        <f ca="1">IF(AND($D39="Serviço",AI$12&lt;&gt;0,$H39&gt;0,OR(AUTOEVENTO&lt;&gt;"manual",$M39&lt;&gt;1)),ROUND(OFFSET($P39,0,AI$13),15-13*ORÇAMENTO!$AF$7)/$H39*OFFSET(ORÇAMENTO!$X$15,ROW(AI39)-ROW(AI$15),0),0)</f>
        <v>0</v>
      </c>
      <c r="AJ39" s="545">
        <f ca="1">IF(AND($D39="Serviço",AJ$12&lt;&gt;0,$H39&gt;0,OR(AUTOEVENTO&lt;&gt;"manual",$M39&lt;&gt;1)),ROUND(OFFSET($P39,0,AJ$13),15-13*ORÇAMENTO!$AF$7)/$H39*OFFSET(ORÇAMENTO!$X$15,ROW(AJ39)-ROW(AJ$15),0),0)</f>
        <v>0</v>
      </c>
      <c r="AK39" s="546">
        <f ca="1">IF(AND($D39="Serviço",AK$12&lt;&gt;0,$H39&gt;0,OR(AUTOEVENTO&lt;&gt;"manual",$M39&lt;&gt;1)),ROUND(OFFSET($P39,0,AK$13),15-13*ORÇAMENTO!$AF$7)/$H39*OFFSET(ORÇAMENTO!$X$15,ROW(AK39)-ROW(AK$15),0),0)</f>
        <v>0</v>
      </c>
      <c r="AM39" s="180">
        <f ca="1">IF($D39&lt;&gt;"Serviço",0,IF(AND(AUTOEVENTO="Manual",$M39=1),0,IF(OFFSET(CRONOPLE!$F$14,$M39,AM$13)="",10^12,OFFSET(CRONOPLE!$F$14,$M39,AM$13))))</f>
        <v>1000000000000</v>
      </c>
      <c r="AN39" s="180">
        <f ca="1">IF($D39&lt;&gt;"Serviço",0,IF(AND(AUTOEVENTO="Manual",$M39=1),0,IF(OFFSET(CRONOPLE!$F$14,$M39,AN$13)="",10^12,OFFSET(CRONOPLE!$F$14,$M39,AN$13))))</f>
        <v>1000000000000</v>
      </c>
      <c r="AO39" s="180">
        <f ca="1">IF($D39&lt;&gt;"Serviço",0,IF(AND(AUTOEVENTO="Manual",$M39=1),0,IF(OFFSET(CRONOPLE!$F$14,$M39,AO$13)="",10^12,OFFSET(CRONOPLE!$F$14,$M39,AO$13))))</f>
        <v>4</v>
      </c>
      <c r="AP39" s="180">
        <f ca="1">IF($D39&lt;&gt;"Serviço",0,IF(AND(AUTOEVENTO="Manual",$M39=1),0,IF(OFFSET(CRONOPLE!$F$14,$M39,AP$13)="",10^12,OFFSET(CRONOPLE!$F$14,$M39,AP$13))))</f>
        <v>1000000000000</v>
      </c>
      <c r="AQ39" s="180">
        <f ca="1">IF($D39&lt;&gt;"Serviço",0,IF(AND(AUTOEVENTO="Manual",$M39=1),0,IF(OFFSET(CRONOPLE!$F$14,$M39,AQ$13)="",10^12,OFFSET(CRONOPLE!$F$14,$M39,AQ$13))))</f>
        <v>1000000000000</v>
      </c>
      <c r="AR39" s="180">
        <f ca="1">IF($D39&lt;&gt;"Serviço",0,IF(AND(AUTOEVENTO="Manual",$M39=1),0,IF(OFFSET(CRONOPLE!$F$14,$M39,AR$13)="",10^12,OFFSET(CRONOPLE!$F$14,$M39,AR$13))))</f>
        <v>1000000000000</v>
      </c>
      <c r="AS39" s="180">
        <f ca="1">IF($D39&lt;&gt;"Serviço",0,IF(AND(AUTOEVENTO="Manual",$M39=1),0,IF(OFFSET(CRONOPLE!$F$14,$M39,AS$13)="",10^12,OFFSET(CRONOPLE!$F$14,$M39,AS$13))))</f>
        <v>1000000000000</v>
      </c>
      <c r="AT39" s="180">
        <f ca="1">IF($D39&lt;&gt;"Serviço",0,IF(AND(AUTOEVENTO="Manual",$M39=1),0,IF(OFFSET(CRONOPLE!$F$14,$M39,AT$13)="",10^12,OFFSET(CRONOPLE!$F$14,$M39,AT$13))))</f>
        <v>1000000000000</v>
      </c>
      <c r="AU39" s="180">
        <f ca="1">IF($D39&lt;&gt;"Serviço",0,IF(AND(AUTOEVENTO="Manual",$M39=1),0,IF(OFFSET(CRONOPLE!$F$14,$M39,AU$13)="",10^12,OFFSET(CRONOPLE!$F$14,$M39,AU$13))))</f>
        <v>1000000000000</v>
      </c>
      <c r="AV39" s="180">
        <f ca="1">IF($D39&lt;&gt;"Serviço",0,IF(AND(AUTOEVENTO="Manual",$M39=1),0,IF(OFFSET(CRONOPLE!$F$14,$M39,AV$13)="",10^12,OFFSET(CRONOPLE!$F$14,$M39,AV$13))))</f>
        <v>1000000000000</v>
      </c>
      <c r="AX39" s="181">
        <f ca="1">IF($D39&lt;&gt;"Serviço",0,IF(OR(AND(AUTOEVENTO="Manual",$M39=1),$M39&gt;(ROW(PLE.lastrow)-ROW(PLE.firstrow))),0,IF(OFFSET(PLE!$G$14,$M39,AX$13)="",10^12,OFFSET(PLE!$G$14,$M39,AX$13))))</f>
        <v>1000000000000</v>
      </c>
      <c r="AY39" s="181">
        <f ca="1">IF($D39&lt;&gt;"Serviço",0,IF(OR(AND(AUTOEVENTO="Manual",$M39=1),$M39&gt;(ROW(PLE.lastrow)-ROW(PLE.firstrow))),0,IF(OFFSET(PLE!$G$14,$M39,AY$13)="",10^12,OFFSET(PLE!$G$14,$M39,AY$13))))</f>
        <v>1000000000000</v>
      </c>
      <c r="AZ39" s="181">
        <f ca="1">IF($D39&lt;&gt;"Serviço",0,IF(OR(AND(AUTOEVENTO="Manual",$M39=1),$M39&gt;(ROW(PLE.lastrow)-ROW(PLE.firstrow))),0,IF(OFFSET(PLE!$G$14,$M39,AZ$13)="",10^12,OFFSET(PLE!$G$14,$M39,AZ$13))))</f>
        <v>1000000000000</v>
      </c>
      <c r="BA39" s="181">
        <f ca="1">IF($D39&lt;&gt;"Serviço",0,IF(OR(AND(AUTOEVENTO="Manual",$M39=1),$M39&gt;(ROW(PLE.lastrow)-ROW(PLE.firstrow))),0,IF(OFFSET(PLE!$G$14,$M39,BA$13)="",10^12,OFFSET(PLE!$G$14,$M39,BA$13))))</f>
        <v>1000000000000</v>
      </c>
      <c r="BB39" s="181">
        <f ca="1">IF($D39&lt;&gt;"Serviço",0,IF(OR(AND(AUTOEVENTO="Manual",$M39=1),$M39&gt;(ROW(PLE.lastrow)-ROW(PLE.firstrow))),0,IF(OFFSET(PLE!$G$14,$M39,BB$13)="",10^12,OFFSET(PLE!$G$14,$M39,BB$13))))</f>
        <v>1000000000000</v>
      </c>
      <c r="BC39" s="181">
        <f ca="1">IF($D39&lt;&gt;"Serviço",0,IF(OR(AND(AUTOEVENTO="Manual",$M39=1),$M39&gt;(ROW(PLE.lastrow)-ROW(PLE.firstrow))),0,IF(OFFSET(PLE!$G$14,$M39,BC$13)="",10^12,OFFSET(PLE!$G$14,$M39,BC$13))))</f>
        <v>1000000000000</v>
      </c>
      <c r="BD39" s="181">
        <f ca="1">IF($D39&lt;&gt;"Serviço",0,IF(OR(AND(AUTOEVENTO="Manual",$M39=1),$M39&gt;(ROW(PLE.lastrow)-ROW(PLE.firstrow))),0,IF(OFFSET(PLE!$G$14,$M39,BD$13)="",10^12,OFFSET(PLE!$G$14,$M39,BD$13))))</f>
        <v>1000000000000</v>
      </c>
      <c r="BE39" s="181">
        <f ca="1">IF($D39&lt;&gt;"Serviço",0,IF(OR(AND(AUTOEVENTO="Manual",$M39=1),$M39&gt;(ROW(PLE.lastrow)-ROW(PLE.firstrow))),0,IF(OFFSET(PLE!$G$14,$M39,BE$13)="",10^12,OFFSET(PLE!$G$14,$M39,BE$13))))</f>
        <v>1000000000000</v>
      </c>
      <c r="BF39" s="181">
        <f ca="1">IF($D39&lt;&gt;"Serviço",0,IF(OR(AND(AUTOEVENTO="Manual",$M39=1),$M39&gt;(ROW(PLE.lastrow)-ROW(PLE.firstrow))),0,IF(OFFSET(PLE!$G$14,$M39,BF$13)="",10^12,OFFSET(PLE!$G$14,$M39,BF$13))))</f>
        <v>1000000000000</v>
      </c>
      <c r="BG39" s="181">
        <f ca="1">IF($D39&lt;&gt;"Serviço",0,IF(OR(AND(AUTOEVENTO="Manual",$M39=1),$M39&gt;(ROW(PLE.lastrow)-ROW(PLE.firstrow))),0,IF(OFFSET(PLE!$G$14,$M39,BG$13)="",10^12,OFFSET(PLE!$G$14,$M39,BG$13))))</f>
        <v>1000000000000</v>
      </c>
    </row>
    <row r="40" spans="1:59" ht="12.75" x14ac:dyDescent="0.2">
      <c r="A40" s="7">
        <f t="shared" ca="1" si="8"/>
        <v>5</v>
      </c>
      <c r="B40" s="7">
        <f ca="1">OFFSET(ORÇAMENTO!C$15,ROW(B40)-ROW(B$15),0)</f>
        <v>2</v>
      </c>
      <c r="C40" s="7" t="str">
        <f ca="1">OFFSET(ORÇAMENTO!L$15,ROW(C40)-ROW(C$15),0)</f>
        <v>F</v>
      </c>
      <c r="D40" s="118" t="str">
        <f ca="1">OFFSET(ORÇAMENTO!N$15,ROW(D40)-ROW(D$15),0)</f>
        <v>Nível 2</v>
      </c>
      <c r="E40" s="119" t="str">
        <f ca="1">OFFSET(ORÇAMENTO!O$15,ROW(E40)-ROW(E$15),0)</f>
        <v>1.7.</v>
      </c>
      <c r="F40" s="171" t="str">
        <f ca="1">OFFSET(ORÇAMENTO!R$15,ROW(F40)-ROW(F$15),0)</f>
        <v>PASSEIO PÚBLICO</v>
      </c>
      <c r="G40" s="172" t="str">
        <f ca="1">IF($D40&lt;&gt;"Serviço","",OFFSET(ORÇAMENTO!S$15,ROW(G40)-ROW(G$15),0))</f>
        <v/>
      </c>
      <c r="H40" s="124">
        <f ca="1">IF($D40&lt;&gt;"Serviço",0,IF(ACOMPANHAMENTO="BM",ROUND(OFFSET(ORÇAMENTO!AJ$15,ROW(H40)-ROW(H$15),0),15-13*ORÇAMENTO!$AF$7),SUMPRODUCT(($Q$12:$AA$12&lt;&gt;"")*ROUND($Q40:$AA40,15-13*ORÇAMENTO!$AF$7))))</f>
        <v>0</v>
      </c>
      <c r="I40" s="561"/>
      <c r="K40" s="173" t="s">
        <v>490</v>
      </c>
      <c r="L40" s="174" t="s">
        <v>257</v>
      </c>
      <c r="M40" s="175" t="str">
        <f ca="1">IF($D40&lt;&gt;"Serviço","",IF(AUTOEVENTO="manual",$A40,IF(ISERROR(MATCH($A40,$A$15:OFFSET($A40,-1,0),0)),MAX($M$15:OFFSET(M40,-1,0))+1,INDEX($M$15:OFFSET(M40,-1,0),MATCH($A40,$A$15:OFFSET($A40,-1,0),0)))))</f>
        <v/>
      </c>
      <c r="N40" s="176" t="str">
        <f ca="1">IF($D40&lt;&gt;"Serviço","",IF(AUTOEVENTO="Manual",IF($A40=0,"&lt;-- defina o número do agrupador",OFFSET(EVENTOS!$D$14,$A40,0)),OFFSET($F$15,$A40,0)))</f>
        <v/>
      </c>
      <c r="O40" s="177"/>
      <c r="Q40" s="177"/>
      <c r="R40" s="178"/>
      <c r="S40" s="178"/>
      <c r="T40" s="178"/>
      <c r="U40" s="178"/>
      <c r="V40" s="178"/>
      <c r="W40" s="178"/>
      <c r="X40" s="178"/>
      <c r="Y40" s="178"/>
      <c r="Z40" s="179"/>
      <c r="AB40" s="544">
        <f ca="1">IF(AND($D40="Serviço",AB$12&lt;&gt;0,$H40&gt;0,OR(AUTOEVENTO&lt;&gt;"manual",$M40&lt;&gt;1)),ROUND(OFFSET($P40,0,AB$13),15-13*ORÇAMENTO!$AF$7)/$H40*OFFSET(ORÇAMENTO!$X$15,ROW(AB40)-ROW(AB$15),0),0)</f>
        <v>0</v>
      </c>
      <c r="AC40" s="545">
        <f ca="1">IF(AND($D40="Serviço",AC$12&lt;&gt;0,$H40&gt;0,OR(AUTOEVENTO&lt;&gt;"manual",$M40&lt;&gt;1)),ROUND(OFFSET($P40,0,AC$13),15-13*ORÇAMENTO!$AF$7)/$H40*OFFSET(ORÇAMENTO!$X$15,ROW(AC40)-ROW(AC$15),0),0)</f>
        <v>0</v>
      </c>
      <c r="AD40" s="545">
        <f ca="1">IF(AND($D40="Serviço",AD$12&lt;&gt;0,$H40&gt;0,OR(AUTOEVENTO&lt;&gt;"manual",$M40&lt;&gt;1)),ROUND(OFFSET($P40,0,AD$13),15-13*ORÇAMENTO!$AF$7)/$H40*OFFSET(ORÇAMENTO!$X$15,ROW(AD40)-ROW(AD$15),0),0)</f>
        <v>0</v>
      </c>
      <c r="AE40" s="545">
        <f ca="1">IF(AND($D40="Serviço",AE$12&lt;&gt;0,$H40&gt;0,OR(AUTOEVENTO&lt;&gt;"manual",$M40&lt;&gt;1)),ROUND(OFFSET($P40,0,AE$13),15-13*ORÇAMENTO!$AF$7)/$H40*OFFSET(ORÇAMENTO!$X$15,ROW(AE40)-ROW(AE$15),0),0)</f>
        <v>0</v>
      </c>
      <c r="AF40" s="545">
        <f ca="1">IF(AND($D40="Serviço",AF$12&lt;&gt;0,$H40&gt;0,OR(AUTOEVENTO&lt;&gt;"manual",$M40&lt;&gt;1)),ROUND(OFFSET($P40,0,AF$13),15-13*ORÇAMENTO!$AF$7)/$H40*OFFSET(ORÇAMENTO!$X$15,ROW(AF40)-ROW(AF$15),0),0)</f>
        <v>0</v>
      </c>
      <c r="AG40" s="545">
        <f ca="1">IF(AND($D40="Serviço",AG$12&lt;&gt;0,$H40&gt;0,OR(AUTOEVENTO&lt;&gt;"manual",$M40&lt;&gt;1)),ROUND(OFFSET($P40,0,AG$13),15-13*ORÇAMENTO!$AF$7)/$H40*OFFSET(ORÇAMENTO!$X$15,ROW(AG40)-ROW(AG$15),0),0)</f>
        <v>0</v>
      </c>
      <c r="AH40" s="545">
        <f ca="1">IF(AND($D40="Serviço",AH$12&lt;&gt;0,$H40&gt;0,OR(AUTOEVENTO&lt;&gt;"manual",$M40&lt;&gt;1)),ROUND(OFFSET($P40,0,AH$13),15-13*ORÇAMENTO!$AF$7)/$H40*OFFSET(ORÇAMENTO!$X$15,ROW(AH40)-ROW(AH$15),0),0)</f>
        <v>0</v>
      </c>
      <c r="AI40" s="545">
        <f ca="1">IF(AND($D40="Serviço",AI$12&lt;&gt;0,$H40&gt;0,OR(AUTOEVENTO&lt;&gt;"manual",$M40&lt;&gt;1)),ROUND(OFFSET($P40,0,AI$13),15-13*ORÇAMENTO!$AF$7)/$H40*OFFSET(ORÇAMENTO!$X$15,ROW(AI40)-ROW(AI$15),0),0)</f>
        <v>0</v>
      </c>
      <c r="AJ40" s="545">
        <f ca="1">IF(AND($D40="Serviço",AJ$12&lt;&gt;0,$H40&gt;0,OR(AUTOEVENTO&lt;&gt;"manual",$M40&lt;&gt;1)),ROUND(OFFSET($P40,0,AJ$13),15-13*ORÇAMENTO!$AF$7)/$H40*OFFSET(ORÇAMENTO!$X$15,ROW(AJ40)-ROW(AJ$15),0),0)</f>
        <v>0</v>
      </c>
      <c r="AK40" s="546">
        <f ca="1">IF(AND($D40="Serviço",AK$12&lt;&gt;0,$H40&gt;0,OR(AUTOEVENTO&lt;&gt;"manual",$M40&lt;&gt;1)),ROUND(OFFSET($P40,0,AK$13),15-13*ORÇAMENTO!$AF$7)/$H40*OFFSET(ORÇAMENTO!$X$15,ROW(AK40)-ROW(AK$15),0),0)</f>
        <v>0</v>
      </c>
      <c r="AM40" s="180">
        <f ca="1">IF($D40&lt;&gt;"Serviço",0,IF(AND(AUTOEVENTO="Manual",$M40=1),0,IF(OFFSET(CRONOPLE!$F$14,$M40,AM$13)="",10^12,OFFSET(CRONOPLE!$F$14,$M40,AM$13))))</f>
        <v>0</v>
      </c>
      <c r="AN40" s="180">
        <f ca="1">IF($D40&lt;&gt;"Serviço",0,IF(AND(AUTOEVENTO="Manual",$M40=1),0,IF(OFFSET(CRONOPLE!$F$14,$M40,AN$13)="",10^12,OFFSET(CRONOPLE!$F$14,$M40,AN$13))))</f>
        <v>0</v>
      </c>
      <c r="AO40" s="180">
        <f ca="1">IF($D40&lt;&gt;"Serviço",0,IF(AND(AUTOEVENTO="Manual",$M40=1),0,IF(OFFSET(CRONOPLE!$F$14,$M40,AO$13)="",10^12,OFFSET(CRONOPLE!$F$14,$M40,AO$13))))</f>
        <v>0</v>
      </c>
      <c r="AP40" s="180">
        <f ca="1">IF($D40&lt;&gt;"Serviço",0,IF(AND(AUTOEVENTO="Manual",$M40=1),0,IF(OFFSET(CRONOPLE!$F$14,$M40,AP$13)="",10^12,OFFSET(CRONOPLE!$F$14,$M40,AP$13))))</f>
        <v>0</v>
      </c>
      <c r="AQ40" s="180">
        <f ca="1">IF($D40&lt;&gt;"Serviço",0,IF(AND(AUTOEVENTO="Manual",$M40=1),0,IF(OFFSET(CRONOPLE!$F$14,$M40,AQ$13)="",10^12,OFFSET(CRONOPLE!$F$14,$M40,AQ$13))))</f>
        <v>0</v>
      </c>
      <c r="AR40" s="180">
        <f ca="1">IF($D40&lt;&gt;"Serviço",0,IF(AND(AUTOEVENTO="Manual",$M40=1),0,IF(OFFSET(CRONOPLE!$F$14,$M40,AR$13)="",10^12,OFFSET(CRONOPLE!$F$14,$M40,AR$13))))</f>
        <v>0</v>
      </c>
      <c r="AS40" s="180">
        <f ca="1">IF($D40&lt;&gt;"Serviço",0,IF(AND(AUTOEVENTO="Manual",$M40=1),0,IF(OFFSET(CRONOPLE!$F$14,$M40,AS$13)="",10^12,OFFSET(CRONOPLE!$F$14,$M40,AS$13))))</f>
        <v>0</v>
      </c>
      <c r="AT40" s="180">
        <f ca="1">IF($D40&lt;&gt;"Serviço",0,IF(AND(AUTOEVENTO="Manual",$M40=1),0,IF(OFFSET(CRONOPLE!$F$14,$M40,AT$13)="",10^12,OFFSET(CRONOPLE!$F$14,$M40,AT$13))))</f>
        <v>0</v>
      </c>
      <c r="AU40" s="180">
        <f ca="1">IF($D40&lt;&gt;"Serviço",0,IF(AND(AUTOEVENTO="Manual",$M40=1),0,IF(OFFSET(CRONOPLE!$F$14,$M40,AU$13)="",10^12,OFFSET(CRONOPLE!$F$14,$M40,AU$13))))</f>
        <v>0</v>
      </c>
      <c r="AV40" s="180">
        <f ca="1">IF($D40&lt;&gt;"Serviço",0,IF(AND(AUTOEVENTO="Manual",$M40=1),0,IF(OFFSET(CRONOPLE!$F$14,$M40,AV$13)="",10^12,OFFSET(CRONOPLE!$F$14,$M40,AV$13))))</f>
        <v>0</v>
      </c>
      <c r="AX40" s="181">
        <f ca="1">IF($D40&lt;&gt;"Serviço",0,IF(OR(AND(AUTOEVENTO="Manual",$M40=1),$M40&gt;(ROW(PLE.lastrow)-ROW(PLE.firstrow))),0,IF(OFFSET(PLE!$G$14,$M40,AX$13)="",10^12,OFFSET(PLE!$G$14,$M40,AX$13))))</f>
        <v>0</v>
      </c>
      <c r="AY40" s="181">
        <f ca="1">IF($D40&lt;&gt;"Serviço",0,IF(OR(AND(AUTOEVENTO="Manual",$M40=1),$M40&gt;(ROW(PLE.lastrow)-ROW(PLE.firstrow))),0,IF(OFFSET(PLE!$G$14,$M40,AY$13)="",10^12,OFFSET(PLE!$G$14,$M40,AY$13))))</f>
        <v>0</v>
      </c>
      <c r="AZ40" s="181">
        <f ca="1">IF($D40&lt;&gt;"Serviço",0,IF(OR(AND(AUTOEVENTO="Manual",$M40=1),$M40&gt;(ROW(PLE.lastrow)-ROW(PLE.firstrow))),0,IF(OFFSET(PLE!$G$14,$M40,AZ$13)="",10^12,OFFSET(PLE!$G$14,$M40,AZ$13))))</f>
        <v>0</v>
      </c>
      <c r="BA40" s="181">
        <f ca="1">IF($D40&lt;&gt;"Serviço",0,IF(OR(AND(AUTOEVENTO="Manual",$M40=1),$M40&gt;(ROW(PLE.lastrow)-ROW(PLE.firstrow))),0,IF(OFFSET(PLE!$G$14,$M40,BA$13)="",10^12,OFFSET(PLE!$G$14,$M40,BA$13))))</f>
        <v>0</v>
      </c>
      <c r="BB40" s="181">
        <f ca="1">IF($D40&lt;&gt;"Serviço",0,IF(OR(AND(AUTOEVENTO="Manual",$M40=1),$M40&gt;(ROW(PLE.lastrow)-ROW(PLE.firstrow))),0,IF(OFFSET(PLE!$G$14,$M40,BB$13)="",10^12,OFFSET(PLE!$G$14,$M40,BB$13))))</f>
        <v>0</v>
      </c>
      <c r="BC40" s="181">
        <f ca="1">IF($D40&lt;&gt;"Serviço",0,IF(OR(AND(AUTOEVENTO="Manual",$M40=1),$M40&gt;(ROW(PLE.lastrow)-ROW(PLE.firstrow))),0,IF(OFFSET(PLE!$G$14,$M40,BC$13)="",10^12,OFFSET(PLE!$G$14,$M40,BC$13))))</f>
        <v>0</v>
      </c>
      <c r="BD40" s="181">
        <f ca="1">IF($D40&lt;&gt;"Serviço",0,IF(OR(AND(AUTOEVENTO="Manual",$M40=1),$M40&gt;(ROW(PLE.lastrow)-ROW(PLE.firstrow))),0,IF(OFFSET(PLE!$G$14,$M40,BD$13)="",10^12,OFFSET(PLE!$G$14,$M40,BD$13))))</f>
        <v>0</v>
      </c>
      <c r="BE40" s="181">
        <f ca="1">IF($D40&lt;&gt;"Serviço",0,IF(OR(AND(AUTOEVENTO="Manual",$M40=1),$M40&gt;(ROW(PLE.lastrow)-ROW(PLE.firstrow))),0,IF(OFFSET(PLE!$G$14,$M40,BE$13)="",10^12,OFFSET(PLE!$G$14,$M40,BE$13))))</f>
        <v>0</v>
      </c>
      <c r="BF40" s="181">
        <f ca="1">IF($D40&lt;&gt;"Serviço",0,IF(OR(AND(AUTOEVENTO="Manual",$M40=1),$M40&gt;(ROW(PLE.lastrow)-ROW(PLE.firstrow))),0,IF(OFFSET(PLE!$G$14,$M40,BF$13)="",10^12,OFFSET(PLE!$G$14,$M40,BF$13))))</f>
        <v>0</v>
      </c>
      <c r="BG40" s="181">
        <f ca="1">IF($D40&lt;&gt;"Serviço",0,IF(OR(AND(AUTOEVENTO="Manual",$M40=1),$M40&gt;(ROW(PLE.lastrow)-ROW(PLE.firstrow))),0,IF(OFFSET(PLE!$G$14,$M40,BG$13)="",10^12,OFFSET(PLE!$G$14,$M40,BG$13))))</f>
        <v>0</v>
      </c>
    </row>
    <row r="41" spans="1:59" s="577" customFormat="1" ht="12.75" x14ac:dyDescent="0.2">
      <c r="A41" s="7">
        <f t="shared" ref="A41:A44" ca="1" si="9">IF(AUTOEVENTO="Manual",IF(K41&lt;&gt;"",MIN(VALUE(LEFT(K41,FIND(".",K41)-1)),COUNTA(EVENTOS.Lista)),0),IF(OR($B41&gt;AUTOEVENTO,$B41="S",$B41=0),SUBSTITUTE(OFFSET($A41,-1,0),IF($D41="Serviço",".",""),""),ROW(A41)-ROW($A$15)&amp;"."))</f>
        <v>5</v>
      </c>
      <c r="B41" s="7">
        <f ca="1">OFFSET(ORÇAMENTO!C$15,ROW(B41)-ROW(B$15),0)</f>
        <v>2</v>
      </c>
      <c r="C41" s="7" t="str">
        <f ca="1">OFFSET(ORÇAMENTO!L$15,ROW(C41)-ROW(C$15),0)</f>
        <v>F</v>
      </c>
      <c r="D41" s="118" t="str">
        <f ca="1">OFFSET(ORÇAMENTO!N$15,ROW(D41)-ROW(D$15),0)</f>
        <v>Nível 2</v>
      </c>
      <c r="E41" s="119" t="str">
        <f ca="1">OFFSET(ORÇAMENTO!O$15,ROW(E41)-ROW(E$15),0)</f>
        <v>1.8.</v>
      </c>
      <c r="F41" s="171" t="str">
        <f ca="1">OFFSET(ORÇAMENTO!R$15,ROW(F41)-ROW(F$15),0)</f>
        <v>Lado Direito</v>
      </c>
      <c r="G41" s="172" t="str">
        <f ca="1">IF($D41&lt;&gt;"Serviço","",OFFSET(ORÇAMENTO!S$15,ROW(G41)-ROW(G$15),0))</f>
        <v/>
      </c>
      <c r="H41" s="124">
        <f ca="1">IF($D41&lt;&gt;"Serviço",0,IF(ACOMPANHAMENTO="BM",ROUND(OFFSET(ORÇAMENTO!AJ$15,ROW(H41)-ROW(H$15),0),15-13*ORÇAMENTO!$AF$7),SUMPRODUCT(($Q$12:$AA$12&lt;&gt;"")*ROUND($Q41:$AA41,15-13*ORÇAMENTO!$AF$7))))</f>
        <v>0</v>
      </c>
      <c r="I41" s="561"/>
      <c r="K41" s="173" t="s">
        <v>490</v>
      </c>
      <c r="L41" s="174" t="s">
        <v>257</v>
      </c>
      <c r="M41" s="175" t="str">
        <f ca="1">IF($D41&lt;&gt;"Serviço","",IF(AUTOEVENTO="manual",$A41,IF(ISERROR(MATCH($A41,$A$15:OFFSET($A41,-1,0),0)),MAX($M$15:OFFSET(M41,-1,0))+1,INDEX($M$15:OFFSET(M41,-1,0),MATCH($A41,$A$15:OFFSET($A41,-1,0),0)))))</f>
        <v/>
      </c>
      <c r="N41" s="176" t="str">
        <f ca="1">IF($D41&lt;&gt;"Serviço","",IF(AUTOEVENTO="Manual",IF($A41=0,"&lt;-- defina o número do agrupador",OFFSET(EVENTOS!$D$14,$A41,0)),OFFSET($F$15,$A41,0)))</f>
        <v/>
      </c>
      <c r="O41" s="177"/>
      <c r="Q41" s="177"/>
      <c r="R41" s="178"/>
      <c r="S41" s="178"/>
      <c r="T41" s="178"/>
      <c r="U41" s="178"/>
      <c r="V41" s="178"/>
      <c r="W41" s="178"/>
      <c r="X41" s="178"/>
      <c r="Y41" s="178"/>
      <c r="Z41" s="179"/>
      <c r="AB41" s="544">
        <f ca="1">IF(AND($D41="Serviço",AB$12&lt;&gt;0,$H41&gt;0,OR(AUTOEVENTO&lt;&gt;"manual",$M41&lt;&gt;1)),ROUND(OFFSET($P41,0,AB$13),15-13*ORÇAMENTO!$AF$7)/$H41*OFFSET(ORÇAMENTO!$X$15,ROW(AB41)-ROW(AB$15),0),0)</f>
        <v>0</v>
      </c>
      <c r="AC41" s="545">
        <f ca="1">IF(AND($D41="Serviço",AC$12&lt;&gt;0,$H41&gt;0,OR(AUTOEVENTO&lt;&gt;"manual",$M41&lt;&gt;1)),ROUND(OFFSET($P41,0,AC$13),15-13*ORÇAMENTO!$AF$7)/$H41*OFFSET(ORÇAMENTO!$X$15,ROW(AC41)-ROW(AC$15),0),0)</f>
        <v>0</v>
      </c>
      <c r="AD41" s="545">
        <f ca="1">IF(AND($D41="Serviço",AD$12&lt;&gt;0,$H41&gt;0,OR(AUTOEVENTO&lt;&gt;"manual",$M41&lt;&gt;1)),ROUND(OFFSET($P41,0,AD$13),15-13*ORÇAMENTO!$AF$7)/$H41*OFFSET(ORÇAMENTO!$X$15,ROW(AD41)-ROW(AD$15),0),0)</f>
        <v>0</v>
      </c>
      <c r="AE41" s="545">
        <f ca="1">IF(AND($D41="Serviço",AE$12&lt;&gt;0,$H41&gt;0,OR(AUTOEVENTO&lt;&gt;"manual",$M41&lt;&gt;1)),ROUND(OFFSET($P41,0,AE$13),15-13*ORÇAMENTO!$AF$7)/$H41*OFFSET(ORÇAMENTO!$X$15,ROW(AE41)-ROW(AE$15),0),0)</f>
        <v>0</v>
      </c>
      <c r="AF41" s="545">
        <f ca="1">IF(AND($D41="Serviço",AF$12&lt;&gt;0,$H41&gt;0,OR(AUTOEVENTO&lt;&gt;"manual",$M41&lt;&gt;1)),ROUND(OFFSET($P41,0,AF$13),15-13*ORÇAMENTO!$AF$7)/$H41*OFFSET(ORÇAMENTO!$X$15,ROW(AF41)-ROW(AF$15),0),0)</f>
        <v>0</v>
      </c>
      <c r="AG41" s="545">
        <f ca="1">IF(AND($D41="Serviço",AG$12&lt;&gt;0,$H41&gt;0,OR(AUTOEVENTO&lt;&gt;"manual",$M41&lt;&gt;1)),ROUND(OFFSET($P41,0,AG$13),15-13*ORÇAMENTO!$AF$7)/$H41*OFFSET(ORÇAMENTO!$X$15,ROW(AG41)-ROW(AG$15),0),0)</f>
        <v>0</v>
      </c>
      <c r="AH41" s="545">
        <f ca="1">IF(AND($D41="Serviço",AH$12&lt;&gt;0,$H41&gt;0,OR(AUTOEVENTO&lt;&gt;"manual",$M41&lt;&gt;1)),ROUND(OFFSET($P41,0,AH$13),15-13*ORÇAMENTO!$AF$7)/$H41*OFFSET(ORÇAMENTO!$X$15,ROW(AH41)-ROW(AH$15),0),0)</f>
        <v>0</v>
      </c>
      <c r="AI41" s="545">
        <f ca="1">IF(AND($D41="Serviço",AI$12&lt;&gt;0,$H41&gt;0,OR(AUTOEVENTO&lt;&gt;"manual",$M41&lt;&gt;1)),ROUND(OFFSET($P41,0,AI$13),15-13*ORÇAMENTO!$AF$7)/$H41*OFFSET(ORÇAMENTO!$X$15,ROW(AI41)-ROW(AI$15),0),0)</f>
        <v>0</v>
      </c>
      <c r="AJ41" s="545">
        <f ca="1">IF(AND($D41="Serviço",AJ$12&lt;&gt;0,$H41&gt;0,OR(AUTOEVENTO&lt;&gt;"manual",$M41&lt;&gt;1)),ROUND(OFFSET($P41,0,AJ$13),15-13*ORÇAMENTO!$AF$7)/$H41*OFFSET(ORÇAMENTO!$X$15,ROW(AJ41)-ROW(AJ$15),0),0)</f>
        <v>0</v>
      </c>
      <c r="AK41" s="546">
        <f ca="1">IF(AND($D41="Serviço",AK$12&lt;&gt;0,$H41&gt;0,OR(AUTOEVENTO&lt;&gt;"manual",$M41&lt;&gt;1)),ROUND(OFFSET($P41,0,AK$13),15-13*ORÇAMENTO!$AF$7)/$H41*OFFSET(ORÇAMENTO!$X$15,ROW(AK41)-ROW(AK$15),0),0)</f>
        <v>0</v>
      </c>
      <c r="AM41" s="180">
        <f ca="1">IF($D41&lt;&gt;"Serviço",0,IF(AND(AUTOEVENTO="Manual",$M41=1),0,IF(OFFSET(CRONOPLE!$F$14,$M41,AM$13)="",10^12,OFFSET(CRONOPLE!$F$14,$M41,AM$13))))</f>
        <v>0</v>
      </c>
      <c r="AN41" s="180">
        <f ca="1">IF($D41&lt;&gt;"Serviço",0,IF(AND(AUTOEVENTO="Manual",$M41=1),0,IF(OFFSET(CRONOPLE!$F$14,$M41,AN$13)="",10^12,OFFSET(CRONOPLE!$F$14,$M41,AN$13))))</f>
        <v>0</v>
      </c>
      <c r="AO41" s="180">
        <f ca="1">IF($D41&lt;&gt;"Serviço",0,IF(AND(AUTOEVENTO="Manual",$M41=1),0,IF(OFFSET(CRONOPLE!$F$14,$M41,AO$13)="",10^12,OFFSET(CRONOPLE!$F$14,$M41,AO$13))))</f>
        <v>0</v>
      </c>
      <c r="AP41" s="180">
        <f ca="1">IF($D41&lt;&gt;"Serviço",0,IF(AND(AUTOEVENTO="Manual",$M41=1),0,IF(OFFSET(CRONOPLE!$F$14,$M41,AP$13)="",10^12,OFFSET(CRONOPLE!$F$14,$M41,AP$13))))</f>
        <v>0</v>
      </c>
      <c r="AQ41" s="180">
        <f ca="1">IF($D41&lt;&gt;"Serviço",0,IF(AND(AUTOEVENTO="Manual",$M41=1),0,IF(OFFSET(CRONOPLE!$F$14,$M41,AQ$13)="",10^12,OFFSET(CRONOPLE!$F$14,$M41,AQ$13))))</f>
        <v>0</v>
      </c>
      <c r="AR41" s="180">
        <f ca="1">IF($D41&lt;&gt;"Serviço",0,IF(AND(AUTOEVENTO="Manual",$M41=1),0,IF(OFFSET(CRONOPLE!$F$14,$M41,AR$13)="",10^12,OFFSET(CRONOPLE!$F$14,$M41,AR$13))))</f>
        <v>0</v>
      </c>
      <c r="AS41" s="180">
        <f ca="1">IF($D41&lt;&gt;"Serviço",0,IF(AND(AUTOEVENTO="Manual",$M41=1),0,IF(OFFSET(CRONOPLE!$F$14,$M41,AS$13)="",10^12,OFFSET(CRONOPLE!$F$14,$M41,AS$13))))</f>
        <v>0</v>
      </c>
      <c r="AT41" s="180">
        <f ca="1">IF($D41&lt;&gt;"Serviço",0,IF(AND(AUTOEVENTO="Manual",$M41=1),0,IF(OFFSET(CRONOPLE!$F$14,$M41,AT$13)="",10^12,OFFSET(CRONOPLE!$F$14,$M41,AT$13))))</f>
        <v>0</v>
      </c>
      <c r="AU41" s="180">
        <f ca="1">IF($D41&lt;&gt;"Serviço",0,IF(AND(AUTOEVENTO="Manual",$M41=1),0,IF(OFFSET(CRONOPLE!$F$14,$M41,AU$13)="",10^12,OFFSET(CRONOPLE!$F$14,$M41,AU$13))))</f>
        <v>0</v>
      </c>
      <c r="AV41" s="180">
        <f ca="1">IF($D41&lt;&gt;"Serviço",0,IF(AND(AUTOEVENTO="Manual",$M41=1),0,IF(OFFSET(CRONOPLE!$F$14,$M41,AV$13)="",10^12,OFFSET(CRONOPLE!$F$14,$M41,AV$13))))</f>
        <v>0</v>
      </c>
      <c r="AX41" s="181">
        <f ca="1">IF($D41&lt;&gt;"Serviço",0,IF(OR(AND(AUTOEVENTO="Manual",$M41=1),$M41&gt;(ROW(PLE.lastrow)-ROW(PLE.firstrow))),0,IF(OFFSET(PLE!$G$14,$M41,AX$13)="",10^12,OFFSET(PLE!$G$14,$M41,AX$13))))</f>
        <v>0</v>
      </c>
      <c r="AY41" s="181">
        <f ca="1">IF($D41&lt;&gt;"Serviço",0,IF(OR(AND(AUTOEVENTO="Manual",$M41=1),$M41&gt;(ROW(PLE.lastrow)-ROW(PLE.firstrow))),0,IF(OFFSET(PLE!$G$14,$M41,AY$13)="",10^12,OFFSET(PLE!$G$14,$M41,AY$13))))</f>
        <v>0</v>
      </c>
      <c r="AZ41" s="181">
        <f ca="1">IF($D41&lt;&gt;"Serviço",0,IF(OR(AND(AUTOEVENTO="Manual",$M41=1),$M41&gt;(ROW(PLE.lastrow)-ROW(PLE.firstrow))),0,IF(OFFSET(PLE!$G$14,$M41,AZ$13)="",10^12,OFFSET(PLE!$G$14,$M41,AZ$13))))</f>
        <v>0</v>
      </c>
      <c r="BA41" s="181">
        <f ca="1">IF($D41&lt;&gt;"Serviço",0,IF(OR(AND(AUTOEVENTO="Manual",$M41=1),$M41&gt;(ROW(PLE.lastrow)-ROW(PLE.firstrow))),0,IF(OFFSET(PLE!$G$14,$M41,BA$13)="",10^12,OFFSET(PLE!$G$14,$M41,BA$13))))</f>
        <v>0</v>
      </c>
      <c r="BB41" s="181">
        <f ca="1">IF($D41&lt;&gt;"Serviço",0,IF(OR(AND(AUTOEVENTO="Manual",$M41=1),$M41&gt;(ROW(PLE.lastrow)-ROW(PLE.firstrow))),0,IF(OFFSET(PLE!$G$14,$M41,BB$13)="",10^12,OFFSET(PLE!$G$14,$M41,BB$13))))</f>
        <v>0</v>
      </c>
      <c r="BC41" s="181">
        <f ca="1">IF($D41&lt;&gt;"Serviço",0,IF(OR(AND(AUTOEVENTO="Manual",$M41=1),$M41&gt;(ROW(PLE.lastrow)-ROW(PLE.firstrow))),0,IF(OFFSET(PLE!$G$14,$M41,BC$13)="",10^12,OFFSET(PLE!$G$14,$M41,BC$13))))</f>
        <v>0</v>
      </c>
      <c r="BD41" s="181">
        <f ca="1">IF($D41&lt;&gt;"Serviço",0,IF(OR(AND(AUTOEVENTO="Manual",$M41=1),$M41&gt;(ROW(PLE.lastrow)-ROW(PLE.firstrow))),0,IF(OFFSET(PLE!$G$14,$M41,BD$13)="",10^12,OFFSET(PLE!$G$14,$M41,BD$13))))</f>
        <v>0</v>
      </c>
      <c r="BE41" s="181">
        <f ca="1">IF($D41&lt;&gt;"Serviço",0,IF(OR(AND(AUTOEVENTO="Manual",$M41=1),$M41&gt;(ROW(PLE.lastrow)-ROW(PLE.firstrow))),0,IF(OFFSET(PLE!$G$14,$M41,BE$13)="",10^12,OFFSET(PLE!$G$14,$M41,BE$13))))</f>
        <v>0</v>
      </c>
      <c r="BF41" s="181">
        <f ca="1">IF($D41&lt;&gt;"Serviço",0,IF(OR(AND(AUTOEVENTO="Manual",$M41=1),$M41&gt;(ROW(PLE.lastrow)-ROW(PLE.firstrow))),0,IF(OFFSET(PLE!$G$14,$M41,BF$13)="",10^12,OFFSET(PLE!$G$14,$M41,BF$13))))</f>
        <v>0</v>
      </c>
      <c r="BG41" s="181">
        <f ca="1">IF($D41&lt;&gt;"Serviço",0,IF(OR(AND(AUTOEVENTO="Manual",$M41=1),$M41&gt;(ROW(PLE.lastrow)-ROW(PLE.firstrow))),0,IF(OFFSET(PLE!$G$14,$M41,BG$13)="",10^12,OFFSET(PLE!$G$14,$M41,BG$13))))</f>
        <v>0</v>
      </c>
    </row>
    <row r="42" spans="1:59" s="577" customFormat="1" ht="51" x14ac:dyDescent="0.2">
      <c r="A42" s="7">
        <f t="shared" ca="1" si="9"/>
        <v>5</v>
      </c>
      <c r="B42" s="7" t="str">
        <f ca="1">OFFSET(ORÇAMENTO!C$15,ROW(B42)-ROW(B$15),0)</f>
        <v>S</v>
      </c>
      <c r="C42" s="7" t="str">
        <f ca="1">OFFSET(ORÇAMENTO!L$15,ROW(C42)-ROW(C$15),0)</f>
        <v/>
      </c>
      <c r="D42" s="118" t="str">
        <f ca="1">OFFSET(ORÇAMENTO!N$15,ROW(D42)-ROW(D$15),0)</f>
        <v>Serviço</v>
      </c>
      <c r="E42" s="119" t="str">
        <f ca="1">OFFSET(ORÇAMENTO!O$15,ROW(E42)-ROW(E$15),0)</f>
        <v>-</v>
      </c>
      <c r="F42" s="171" t="str">
        <f ca="1">OFFSET(ORÇAMENTO!R$15,ROW(F42)-ROW(F$15),0)</f>
        <v>(abra o arquivo 'Referência 04-2024.xls)</v>
      </c>
      <c r="G42" s="172" t="str">
        <f ca="1">IF($D42&lt;&gt;"Serviço","",OFFSET(ORÇAMENTO!S$15,ROW(G42)-ROW(G$15),0))</f>
        <v>-</v>
      </c>
      <c r="H42" s="124">
        <f ca="1">IF($D42&lt;&gt;"Serviço",0,IF(ACOMPANHAMENTO="BM",ROUND(OFFSET(ORÇAMENTO!AJ$15,ROW(H42)-ROW(H$15),0),15-13*ORÇAMENTO!$AF$7),SUMPRODUCT(($Q$12:$AA$12&lt;&gt;"")*ROUND($Q42:$AA42,15-13*ORÇAMENTO!$AF$7))))</f>
        <v>30</v>
      </c>
      <c r="I42" s="561" t="s">
        <v>496</v>
      </c>
      <c r="K42" s="173" t="s">
        <v>490</v>
      </c>
      <c r="L42" s="174" t="s">
        <v>257</v>
      </c>
      <c r="M42" s="175">
        <f ca="1">IF($D42&lt;&gt;"Serviço","",IF(AUTOEVENTO="manual",$A42,IF(ISERROR(MATCH($A42,$A$15:OFFSET($A42,-1,0),0)),MAX($M$15:OFFSET(M42,-1,0))+1,INDEX($M$15:OFFSET(M42,-1,0),MATCH($A42,$A$15:OFFSET($A42,-1,0),0)))))</f>
        <v>5</v>
      </c>
      <c r="N42" s="176" t="str">
        <f ca="1">IF($D42&lt;&gt;"Serviço","",IF(AUTOEVENTO="Manual",IF($A42=0,"&lt;-- defina o número do agrupador",OFFSET(EVENTOS!$D$14,$A42,0)),OFFSET($F$15,$A42,0)))</f>
        <v>Passeio Público</v>
      </c>
      <c r="O42" s="177"/>
      <c r="Q42" s="177"/>
      <c r="R42" s="178">
        <f>(30*0.5)</f>
        <v>15</v>
      </c>
      <c r="S42" s="178">
        <f>30*0.5</f>
        <v>15</v>
      </c>
      <c r="T42" s="178"/>
      <c r="U42" s="178"/>
      <c r="V42" s="178"/>
      <c r="W42" s="178"/>
      <c r="X42" s="178"/>
      <c r="Y42" s="178"/>
      <c r="Z42" s="179"/>
      <c r="AB42" s="544">
        <f ca="1">IF(AND($D42="Serviço",AB$12&lt;&gt;0,$H42&gt;0,OR(AUTOEVENTO&lt;&gt;"manual",$M42&lt;&gt;1)),ROUND(OFFSET($P42,0,AB$13),15-13*ORÇAMENTO!$AF$7)/$H42*OFFSET(ORÇAMENTO!$X$15,ROW(AB42)-ROW(AB$15),0),0)</f>
        <v>0</v>
      </c>
      <c r="AC42" s="545">
        <f ca="1">IF(AND($D42="Serviço",AC$12&lt;&gt;0,$H42&gt;0,OR(AUTOEVENTO&lt;&gt;"manual",$M42&lt;&gt;1)),ROUND(OFFSET($P42,0,AC$13),15-13*ORÇAMENTO!$AF$7)/$H42*OFFSET(ORÇAMENTO!$X$15,ROW(AC42)-ROW(AC$15),0),0)</f>
        <v>0</v>
      </c>
      <c r="AD42" s="545">
        <f ca="1">IF(AND($D42="Serviço",AD$12&lt;&gt;0,$H42&gt;0,OR(AUTOEVENTO&lt;&gt;"manual",$M42&lt;&gt;1)),ROUND(OFFSET($P42,0,AD$13),15-13*ORÇAMENTO!$AF$7)/$H42*OFFSET(ORÇAMENTO!$X$15,ROW(AD42)-ROW(AD$15),0),0)</f>
        <v>0</v>
      </c>
      <c r="AE42" s="545">
        <f ca="1">IF(AND($D42="Serviço",AE$12&lt;&gt;0,$H42&gt;0,OR(AUTOEVENTO&lt;&gt;"manual",$M42&lt;&gt;1)),ROUND(OFFSET($P42,0,AE$13),15-13*ORÇAMENTO!$AF$7)/$H42*OFFSET(ORÇAMENTO!$X$15,ROW(AE42)-ROW(AE$15),0),0)</f>
        <v>0</v>
      </c>
      <c r="AF42" s="545">
        <f ca="1">IF(AND($D42="Serviço",AF$12&lt;&gt;0,$H42&gt;0,OR(AUTOEVENTO&lt;&gt;"manual",$M42&lt;&gt;1)),ROUND(OFFSET($P42,0,AF$13),15-13*ORÇAMENTO!$AF$7)/$H42*OFFSET(ORÇAMENTO!$X$15,ROW(AF42)-ROW(AF$15),0),0)</f>
        <v>0</v>
      </c>
      <c r="AG42" s="545">
        <f ca="1">IF(AND($D42="Serviço",AG$12&lt;&gt;0,$H42&gt;0,OR(AUTOEVENTO&lt;&gt;"manual",$M42&lt;&gt;1)),ROUND(OFFSET($P42,0,AG$13),15-13*ORÇAMENTO!$AF$7)/$H42*OFFSET(ORÇAMENTO!$X$15,ROW(AG42)-ROW(AG$15),0),0)</f>
        <v>0</v>
      </c>
      <c r="AH42" s="545">
        <f ca="1">IF(AND($D42="Serviço",AH$12&lt;&gt;0,$H42&gt;0,OR(AUTOEVENTO&lt;&gt;"manual",$M42&lt;&gt;1)),ROUND(OFFSET($P42,0,AH$13),15-13*ORÇAMENTO!$AF$7)/$H42*OFFSET(ORÇAMENTO!$X$15,ROW(AH42)-ROW(AH$15),0),0)</f>
        <v>0</v>
      </c>
      <c r="AI42" s="545">
        <f ca="1">IF(AND($D42="Serviço",AI$12&lt;&gt;0,$H42&gt;0,OR(AUTOEVENTO&lt;&gt;"manual",$M42&lt;&gt;1)),ROUND(OFFSET($P42,0,AI$13),15-13*ORÇAMENTO!$AF$7)/$H42*OFFSET(ORÇAMENTO!$X$15,ROW(AI42)-ROW(AI$15),0),0)</f>
        <v>0</v>
      </c>
      <c r="AJ42" s="545">
        <f ca="1">IF(AND($D42="Serviço",AJ$12&lt;&gt;0,$H42&gt;0,OR(AUTOEVENTO&lt;&gt;"manual",$M42&lt;&gt;1)),ROUND(OFFSET($P42,0,AJ$13),15-13*ORÇAMENTO!$AF$7)/$H42*OFFSET(ORÇAMENTO!$X$15,ROW(AJ42)-ROW(AJ$15),0),0)</f>
        <v>0</v>
      </c>
      <c r="AK42" s="546">
        <f ca="1">IF(AND($D42="Serviço",AK$12&lt;&gt;0,$H42&gt;0,OR(AUTOEVENTO&lt;&gt;"manual",$M42&lt;&gt;1)),ROUND(OFFSET($P42,0,AK$13),15-13*ORÇAMENTO!$AF$7)/$H42*OFFSET(ORÇAMENTO!$X$15,ROW(AK42)-ROW(AK$15),0),0)</f>
        <v>0</v>
      </c>
      <c r="AM42" s="180">
        <f ca="1">IF($D42&lt;&gt;"Serviço",0,IF(AND(AUTOEVENTO="Manual",$M42=1),0,IF(OFFSET(CRONOPLE!$F$14,$M42,AM$13)="",10^12,OFFSET(CRONOPLE!$F$14,$M42,AM$13))))</f>
        <v>1000000000000</v>
      </c>
      <c r="AN42" s="180">
        <f ca="1">IF($D42&lt;&gt;"Serviço",0,IF(AND(AUTOEVENTO="Manual",$M42=1),0,IF(OFFSET(CRONOPLE!$F$14,$M42,AN$13)="",10^12,OFFSET(CRONOPLE!$F$14,$M42,AN$13))))</f>
        <v>3</v>
      </c>
      <c r="AO42" s="180">
        <f ca="1">IF($D42&lt;&gt;"Serviço",0,IF(AND(AUTOEVENTO="Manual",$M42=1),0,IF(OFFSET(CRONOPLE!$F$14,$M42,AO$13)="",10^12,OFFSET(CRONOPLE!$F$14,$M42,AO$13))))</f>
        <v>4</v>
      </c>
      <c r="AP42" s="180">
        <f ca="1">IF($D42&lt;&gt;"Serviço",0,IF(AND(AUTOEVENTO="Manual",$M42=1),0,IF(OFFSET(CRONOPLE!$F$14,$M42,AP$13)="",10^12,OFFSET(CRONOPLE!$F$14,$M42,AP$13))))</f>
        <v>1000000000000</v>
      </c>
      <c r="AQ42" s="180">
        <f ca="1">IF($D42&lt;&gt;"Serviço",0,IF(AND(AUTOEVENTO="Manual",$M42=1),0,IF(OFFSET(CRONOPLE!$F$14,$M42,AQ$13)="",10^12,OFFSET(CRONOPLE!$F$14,$M42,AQ$13))))</f>
        <v>1000000000000</v>
      </c>
      <c r="AR42" s="180">
        <f ca="1">IF($D42&lt;&gt;"Serviço",0,IF(AND(AUTOEVENTO="Manual",$M42=1),0,IF(OFFSET(CRONOPLE!$F$14,$M42,AR$13)="",10^12,OFFSET(CRONOPLE!$F$14,$M42,AR$13))))</f>
        <v>1000000000000</v>
      </c>
      <c r="AS42" s="180">
        <f ca="1">IF($D42&lt;&gt;"Serviço",0,IF(AND(AUTOEVENTO="Manual",$M42=1),0,IF(OFFSET(CRONOPLE!$F$14,$M42,AS$13)="",10^12,OFFSET(CRONOPLE!$F$14,$M42,AS$13))))</f>
        <v>1000000000000</v>
      </c>
      <c r="AT42" s="180">
        <f ca="1">IF($D42&lt;&gt;"Serviço",0,IF(AND(AUTOEVENTO="Manual",$M42=1),0,IF(OFFSET(CRONOPLE!$F$14,$M42,AT$13)="",10^12,OFFSET(CRONOPLE!$F$14,$M42,AT$13))))</f>
        <v>1000000000000</v>
      </c>
      <c r="AU42" s="180">
        <f ca="1">IF($D42&lt;&gt;"Serviço",0,IF(AND(AUTOEVENTO="Manual",$M42=1),0,IF(OFFSET(CRONOPLE!$F$14,$M42,AU$13)="",10^12,OFFSET(CRONOPLE!$F$14,$M42,AU$13))))</f>
        <v>1000000000000</v>
      </c>
      <c r="AV42" s="180">
        <f ca="1">IF($D42&lt;&gt;"Serviço",0,IF(AND(AUTOEVENTO="Manual",$M42=1),0,IF(OFFSET(CRONOPLE!$F$14,$M42,AV$13)="",10^12,OFFSET(CRONOPLE!$F$14,$M42,AV$13))))</f>
        <v>1000000000000</v>
      </c>
      <c r="AX42" s="181">
        <f ca="1">IF($D42&lt;&gt;"Serviço",0,IF(OR(AND(AUTOEVENTO="Manual",$M42=1),$M42&gt;(ROW(PLE.lastrow)-ROW(PLE.firstrow))),0,IF(OFFSET(PLE!$G$14,$M42,AX$13)="",10^12,OFFSET(PLE!$G$14,$M42,AX$13))))</f>
        <v>1000000000000</v>
      </c>
      <c r="AY42" s="181">
        <f ca="1">IF($D42&lt;&gt;"Serviço",0,IF(OR(AND(AUTOEVENTO="Manual",$M42=1),$M42&gt;(ROW(PLE.lastrow)-ROW(PLE.firstrow))),0,IF(OFFSET(PLE!$G$14,$M42,AY$13)="",10^12,OFFSET(PLE!$G$14,$M42,AY$13))))</f>
        <v>1000000000000</v>
      </c>
      <c r="AZ42" s="181">
        <f ca="1">IF($D42&lt;&gt;"Serviço",0,IF(OR(AND(AUTOEVENTO="Manual",$M42=1),$M42&gt;(ROW(PLE.lastrow)-ROW(PLE.firstrow))),0,IF(OFFSET(PLE!$G$14,$M42,AZ$13)="",10^12,OFFSET(PLE!$G$14,$M42,AZ$13))))</f>
        <v>1000000000000</v>
      </c>
      <c r="BA42" s="181">
        <f ca="1">IF($D42&lt;&gt;"Serviço",0,IF(OR(AND(AUTOEVENTO="Manual",$M42=1),$M42&gt;(ROW(PLE.lastrow)-ROW(PLE.firstrow))),0,IF(OFFSET(PLE!$G$14,$M42,BA$13)="",10^12,OFFSET(PLE!$G$14,$M42,BA$13))))</f>
        <v>1000000000000</v>
      </c>
      <c r="BB42" s="181">
        <f ca="1">IF($D42&lt;&gt;"Serviço",0,IF(OR(AND(AUTOEVENTO="Manual",$M42=1),$M42&gt;(ROW(PLE.lastrow)-ROW(PLE.firstrow))),0,IF(OFFSET(PLE!$G$14,$M42,BB$13)="",10^12,OFFSET(PLE!$G$14,$M42,BB$13))))</f>
        <v>1000000000000</v>
      </c>
      <c r="BC42" s="181">
        <f ca="1">IF($D42&lt;&gt;"Serviço",0,IF(OR(AND(AUTOEVENTO="Manual",$M42=1),$M42&gt;(ROW(PLE.lastrow)-ROW(PLE.firstrow))),0,IF(OFFSET(PLE!$G$14,$M42,BC$13)="",10^12,OFFSET(PLE!$G$14,$M42,BC$13))))</f>
        <v>1000000000000</v>
      </c>
      <c r="BD42" s="181">
        <f ca="1">IF($D42&lt;&gt;"Serviço",0,IF(OR(AND(AUTOEVENTO="Manual",$M42=1),$M42&gt;(ROW(PLE.lastrow)-ROW(PLE.firstrow))),0,IF(OFFSET(PLE!$G$14,$M42,BD$13)="",10^12,OFFSET(PLE!$G$14,$M42,BD$13))))</f>
        <v>1000000000000</v>
      </c>
      <c r="BE42" s="181">
        <f ca="1">IF($D42&lt;&gt;"Serviço",0,IF(OR(AND(AUTOEVENTO="Manual",$M42=1),$M42&gt;(ROW(PLE.lastrow)-ROW(PLE.firstrow))),0,IF(OFFSET(PLE!$G$14,$M42,BE$13)="",10^12,OFFSET(PLE!$G$14,$M42,BE$13))))</f>
        <v>1000000000000</v>
      </c>
      <c r="BF42" s="181">
        <f ca="1">IF($D42&lt;&gt;"Serviço",0,IF(OR(AND(AUTOEVENTO="Manual",$M42=1),$M42&gt;(ROW(PLE.lastrow)-ROW(PLE.firstrow))),0,IF(OFFSET(PLE!$G$14,$M42,BF$13)="",10^12,OFFSET(PLE!$G$14,$M42,BF$13))))</f>
        <v>1000000000000</v>
      </c>
      <c r="BG42" s="181">
        <f ca="1">IF($D42&lt;&gt;"Serviço",0,IF(OR(AND(AUTOEVENTO="Manual",$M42=1),$M42&gt;(ROW(PLE.lastrow)-ROW(PLE.firstrow))),0,IF(OFFSET(PLE!$G$14,$M42,BG$13)="",10^12,OFFSET(PLE!$G$14,$M42,BG$13))))</f>
        <v>1000000000000</v>
      </c>
    </row>
    <row r="43" spans="1:59" s="577" customFormat="1" ht="12.75" x14ac:dyDescent="0.2">
      <c r="A43" s="7">
        <f t="shared" ca="1" si="9"/>
        <v>5</v>
      </c>
      <c r="B43" s="7">
        <f ca="1">OFFSET(ORÇAMENTO!C$15,ROW(B43)-ROW(B$15),0)</f>
        <v>2</v>
      </c>
      <c r="C43" s="7" t="str">
        <f ca="1">OFFSET(ORÇAMENTO!L$15,ROW(C43)-ROW(C$15),0)</f>
        <v>F</v>
      </c>
      <c r="D43" s="118" t="str">
        <f ca="1">OFFSET(ORÇAMENTO!N$15,ROW(D43)-ROW(D$15),0)</f>
        <v>Nível 2</v>
      </c>
      <c r="E43" s="119" t="str">
        <f ca="1">OFFSET(ORÇAMENTO!O$15,ROW(E43)-ROW(E$15),0)</f>
        <v>1.9.</v>
      </c>
      <c r="F43" s="171" t="str">
        <f ca="1">OFFSET(ORÇAMENTO!R$15,ROW(F43)-ROW(F$15),0)</f>
        <v>Lado Esquerdo</v>
      </c>
      <c r="G43" s="172" t="str">
        <f ca="1">IF($D43&lt;&gt;"Serviço","",OFFSET(ORÇAMENTO!S$15,ROW(G43)-ROW(G$15),0))</f>
        <v/>
      </c>
      <c r="H43" s="124">
        <f ca="1">IF($D43&lt;&gt;"Serviço",0,IF(ACOMPANHAMENTO="BM",ROUND(OFFSET(ORÇAMENTO!AJ$15,ROW(H43)-ROW(H$15),0),15-13*ORÇAMENTO!$AF$7),SUMPRODUCT(($Q$12:$AA$12&lt;&gt;"")*ROUND($Q43:$AA43,15-13*ORÇAMENTO!$AF$7))))</f>
        <v>0</v>
      </c>
      <c r="I43" s="561"/>
      <c r="K43" s="173" t="s">
        <v>490</v>
      </c>
      <c r="L43" s="174" t="s">
        <v>257</v>
      </c>
      <c r="M43" s="175" t="str">
        <f ca="1">IF($D43&lt;&gt;"Serviço","",IF(AUTOEVENTO="manual",$A43,IF(ISERROR(MATCH($A43,$A$15:OFFSET($A43,-1,0),0)),MAX($M$15:OFFSET(M43,-1,0))+1,INDEX($M$15:OFFSET(M43,-1,0),MATCH($A43,$A$15:OFFSET($A43,-1,0),0)))))</f>
        <v/>
      </c>
      <c r="N43" s="176" t="str">
        <f ca="1">IF($D43&lt;&gt;"Serviço","",IF(AUTOEVENTO="Manual",IF($A43=0,"&lt;-- defina o número do agrupador",OFFSET(EVENTOS!$D$14,$A43,0)),OFFSET($F$15,$A43,0)))</f>
        <v/>
      </c>
      <c r="O43" s="177"/>
      <c r="Q43" s="177"/>
      <c r="R43" s="178"/>
      <c r="S43" s="178"/>
      <c r="T43" s="178"/>
      <c r="U43" s="178"/>
      <c r="V43" s="178"/>
      <c r="W43" s="178"/>
      <c r="X43" s="178"/>
      <c r="Y43" s="178"/>
      <c r="Z43" s="179"/>
      <c r="AB43" s="544">
        <f ca="1">IF(AND($D43="Serviço",AB$12&lt;&gt;0,$H43&gt;0,OR(AUTOEVENTO&lt;&gt;"manual",$M43&lt;&gt;1)),ROUND(OFFSET($P43,0,AB$13),15-13*ORÇAMENTO!$AF$7)/$H43*OFFSET(ORÇAMENTO!$X$15,ROW(AB43)-ROW(AB$15),0),0)</f>
        <v>0</v>
      </c>
      <c r="AC43" s="545">
        <f ca="1">IF(AND($D43="Serviço",AC$12&lt;&gt;0,$H43&gt;0,OR(AUTOEVENTO&lt;&gt;"manual",$M43&lt;&gt;1)),ROUND(OFFSET($P43,0,AC$13),15-13*ORÇAMENTO!$AF$7)/$H43*OFFSET(ORÇAMENTO!$X$15,ROW(AC43)-ROW(AC$15),0),0)</f>
        <v>0</v>
      </c>
      <c r="AD43" s="545">
        <f ca="1">IF(AND($D43="Serviço",AD$12&lt;&gt;0,$H43&gt;0,OR(AUTOEVENTO&lt;&gt;"manual",$M43&lt;&gt;1)),ROUND(OFFSET($P43,0,AD$13),15-13*ORÇAMENTO!$AF$7)/$H43*OFFSET(ORÇAMENTO!$X$15,ROW(AD43)-ROW(AD$15),0),0)</f>
        <v>0</v>
      </c>
      <c r="AE43" s="545">
        <f ca="1">IF(AND($D43="Serviço",AE$12&lt;&gt;0,$H43&gt;0,OR(AUTOEVENTO&lt;&gt;"manual",$M43&lt;&gt;1)),ROUND(OFFSET($P43,0,AE$13),15-13*ORÇAMENTO!$AF$7)/$H43*OFFSET(ORÇAMENTO!$X$15,ROW(AE43)-ROW(AE$15),0),0)</f>
        <v>0</v>
      </c>
      <c r="AF43" s="545">
        <f ca="1">IF(AND($D43="Serviço",AF$12&lt;&gt;0,$H43&gt;0,OR(AUTOEVENTO&lt;&gt;"manual",$M43&lt;&gt;1)),ROUND(OFFSET($P43,0,AF$13),15-13*ORÇAMENTO!$AF$7)/$H43*OFFSET(ORÇAMENTO!$X$15,ROW(AF43)-ROW(AF$15),0),0)</f>
        <v>0</v>
      </c>
      <c r="AG43" s="545">
        <f ca="1">IF(AND($D43="Serviço",AG$12&lt;&gt;0,$H43&gt;0,OR(AUTOEVENTO&lt;&gt;"manual",$M43&lt;&gt;1)),ROUND(OFFSET($P43,0,AG$13),15-13*ORÇAMENTO!$AF$7)/$H43*OFFSET(ORÇAMENTO!$X$15,ROW(AG43)-ROW(AG$15),0),0)</f>
        <v>0</v>
      </c>
      <c r="AH43" s="545">
        <f ca="1">IF(AND($D43="Serviço",AH$12&lt;&gt;0,$H43&gt;0,OR(AUTOEVENTO&lt;&gt;"manual",$M43&lt;&gt;1)),ROUND(OFFSET($P43,0,AH$13),15-13*ORÇAMENTO!$AF$7)/$H43*OFFSET(ORÇAMENTO!$X$15,ROW(AH43)-ROW(AH$15),0),0)</f>
        <v>0</v>
      </c>
      <c r="AI43" s="545">
        <f ca="1">IF(AND($D43="Serviço",AI$12&lt;&gt;0,$H43&gt;0,OR(AUTOEVENTO&lt;&gt;"manual",$M43&lt;&gt;1)),ROUND(OFFSET($P43,0,AI$13),15-13*ORÇAMENTO!$AF$7)/$H43*OFFSET(ORÇAMENTO!$X$15,ROW(AI43)-ROW(AI$15),0),0)</f>
        <v>0</v>
      </c>
      <c r="AJ43" s="545">
        <f ca="1">IF(AND($D43="Serviço",AJ$12&lt;&gt;0,$H43&gt;0,OR(AUTOEVENTO&lt;&gt;"manual",$M43&lt;&gt;1)),ROUND(OFFSET($P43,0,AJ$13),15-13*ORÇAMENTO!$AF$7)/$H43*OFFSET(ORÇAMENTO!$X$15,ROW(AJ43)-ROW(AJ$15),0),0)</f>
        <v>0</v>
      </c>
      <c r="AK43" s="546">
        <f ca="1">IF(AND($D43="Serviço",AK$12&lt;&gt;0,$H43&gt;0,OR(AUTOEVENTO&lt;&gt;"manual",$M43&lt;&gt;1)),ROUND(OFFSET($P43,0,AK$13),15-13*ORÇAMENTO!$AF$7)/$H43*OFFSET(ORÇAMENTO!$X$15,ROW(AK43)-ROW(AK$15),0),0)</f>
        <v>0</v>
      </c>
      <c r="AM43" s="180">
        <f ca="1">IF($D43&lt;&gt;"Serviço",0,IF(AND(AUTOEVENTO="Manual",$M43=1),0,IF(OFFSET(CRONOPLE!$F$14,$M43,AM$13)="",10^12,OFFSET(CRONOPLE!$F$14,$M43,AM$13))))</f>
        <v>0</v>
      </c>
      <c r="AN43" s="180">
        <f ca="1">IF($D43&lt;&gt;"Serviço",0,IF(AND(AUTOEVENTO="Manual",$M43=1),0,IF(OFFSET(CRONOPLE!$F$14,$M43,AN$13)="",10^12,OFFSET(CRONOPLE!$F$14,$M43,AN$13))))</f>
        <v>0</v>
      </c>
      <c r="AO43" s="180">
        <f ca="1">IF($D43&lt;&gt;"Serviço",0,IF(AND(AUTOEVENTO="Manual",$M43=1),0,IF(OFFSET(CRONOPLE!$F$14,$M43,AO$13)="",10^12,OFFSET(CRONOPLE!$F$14,$M43,AO$13))))</f>
        <v>0</v>
      </c>
      <c r="AP43" s="180">
        <f ca="1">IF($D43&lt;&gt;"Serviço",0,IF(AND(AUTOEVENTO="Manual",$M43=1),0,IF(OFFSET(CRONOPLE!$F$14,$M43,AP$13)="",10^12,OFFSET(CRONOPLE!$F$14,$M43,AP$13))))</f>
        <v>0</v>
      </c>
      <c r="AQ43" s="180">
        <f ca="1">IF($D43&lt;&gt;"Serviço",0,IF(AND(AUTOEVENTO="Manual",$M43=1),0,IF(OFFSET(CRONOPLE!$F$14,$M43,AQ$13)="",10^12,OFFSET(CRONOPLE!$F$14,$M43,AQ$13))))</f>
        <v>0</v>
      </c>
      <c r="AR43" s="180">
        <f ca="1">IF($D43&lt;&gt;"Serviço",0,IF(AND(AUTOEVENTO="Manual",$M43=1),0,IF(OFFSET(CRONOPLE!$F$14,$M43,AR$13)="",10^12,OFFSET(CRONOPLE!$F$14,$M43,AR$13))))</f>
        <v>0</v>
      </c>
      <c r="AS43" s="180">
        <f ca="1">IF($D43&lt;&gt;"Serviço",0,IF(AND(AUTOEVENTO="Manual",$M43=1),0,IF(OFFSET(CRONOPLE!$F$14,$M43,AS$13)="",10^12,OFFSET(CRONOPLE!$F$14,$M43,AS$13))))</f>
        <v>0</v>
      </c>
      <c r="AT43" s="180">
        <f ca="1">IF($D43&lt;&gt;"Serviço",0,IF(AND(AUTOEVENTO="Manual",$M43=1),0,IF(OFFSET(CRONOPLE!$F$14,$M43,AT$13)="",10^12,OFFSET(CRONOPLE!$F$14,$M43,AT$13))))</f>
        <v>0</v>
      </c>
      <c r="AU43" s="180">
        <f ca="1">IF($D43&lt;&gt;"Serviço",0,IF(AND(AUTOEVENTO="Manual",$M43=1),0,IF(OFFSET(CRONOPLE!$F$14,$M43,AU$13)="",10^12,OFFSET(CRONOPLE!$F$14,$M43,AU$13))))</f>
        <v>0</v>
      </c>
      <c r="AV43" s="180">
        <f ca="1">IF($D43&lt;&gt;"Serviço",0,IF(AND(AUTOEVENTO="Manual",$M43=1),0,IF(OFFSET(CRONOPLE!$F$14,$M43,AV$13)="",10^12,OFFSET(CRONOPLE!$F$14,$M43,AV$13))))</f>
        <v>0</v>
      </c>
      <c r="AX43" s="181">
        <f ca="1">IF($D43&lt;&gt;"Serviço",0,IF(OR(AND(AUTOEVENTO="Manual",$M43=1),$M43&gt;(ROW(PLE.lastrow)-ROW(PLE.firstrow))),0,IF(OFFSET(PLE!$G$14,$M43,AX$13)="",10^12,OFFSET(PLE!$G$14,$M43,AX$13))))</f>
        <v>0</v>
      </c>
      <c r="AY43" s="181">
        <f ca="1">IF($D43&lt;&gt;"Serviço",0,IF(OR(AND(AUTOEVENTO="Manual",$M43=1),$M43&gt;(ROW(PLE.lastrow)-ROW(PLE.firstrow))),0,IF(OFFSET(PLE!$G$14,$M43,AY$13)="",10^12,OFFSET(PLE!$G$14,$M43,AY$13))))</f>
        <v>0</v>
      </c>
      <c r="AZ43" s="181">
        <f ca="1">IF($D43&lt;&gt;"Serviço",0,IF(OR(AND(AUTOEVENTO="Manual",$M43=1),$M43&gt;(ROW(PLE.lastrow)-ROW(PLE.firstrow))),0,IF(OFFSET(PLE!$G$14,$M43,AZ$13)="",10^12,OFFSET(PLE!$G$14,$M43,AZ$13))))</f>
        <v>0</v>
      </c>
      <c r="BA43" s="181">
        <f ca="1">IF($D43&lt;&gt;"Serviço",0,IF(OR(AND(AUTOEVENTO="Manual",$M43=1),$M43&gt;(ROW(PLE.lastrow)-ROW(PLE.firstrow))),0,IF(OFFSET(PLE!$G$14,$M43,BA$13)="",10^12,OFFSET(PLE!$G$14,$M43,BA$13))))</f>
        <v>0</v>
      </c>
      <c r="BB43" s="181">
        <f ca="1">IF($D43&lt;&gt;"Serviço",0,IF(OR(AND(AUTOEVENTO="Manual",$M43=1),$M43&gt;(ROW(PLE.lastrow)-ROW(PLE.firstrow))),0,IF(OFFSET(PLE!$G$14,$M43,BB$13)="",10^12,OFFSET(PLE!$G$14,$M43,BB$13))))</f>
        <v>0</v>
      </c>
      <c r="BC43" s="181">
        <f ca="1">IF($D43&lt;&gt;"Serviço",0,IF(OR(AND(AUTOEVENTO="Manual",$M43=1),$M43&gt;(ROW(PLE.lastrow)-ROW(PLE.firstrow))),0,IF(OFFSET(PLE!$G$14,$M43,BC$13)="",10^12,OFFSET(PLE!$G$14,$M43,BC$13))))</f>
        <v>0</v>
      </c>
      <c r="BD43" s="181">
        <f ca="1">IF($D43&lt;&gt;"Serviço",0,IF(OR(AND(AUTOEVENTO="Manual",$M43=1),$M43&gt;(ROW(PLE.lastrow)-ROW(PLE.firstrow))),0,IF(OFFSET(PLE!$G$14,$M43,BD$13)="",10^12,OFFSET(PLE!$G$14,$M43,BD$13))))</f>
        <v>0</v>
      </c>
      <c r="BE43" s="181">
        <f ca="1">IF($D43&lt;&gt;"Serviço",0,IF(OR(AND(AUTOEVENTO="Manual",$M43=1),$M43&gt;(ROW(PLE.lastrow)-ROW(PLE.firstrow))),0,IF(OFFSET(PLE!$G$14,$M43,BE$13)="",10^12,OFFSET(PLE!$G$14,$M43,BE$13))))</f>
        <v>0</v>
      </c>
      <c r="BF43" s="181">
        <f ca="1">IF($D43&lt;&gt;"Serviço",0,IF(OR(AND(AUTOEVENTO="Manual",$M43=1),$M43&gt;(ROW(PLE.lastrow)-ROW(PLE.firstrow))),0,IF(OFFSET(PLE!$G$14,$M43,BF$13)="",10^12,OFFSET(PLE!$G$14,$M43,BF$13))))</f>
        <v>0</v>
      </c>
      <c r="BG43" s="181">
        <f ca="1">IF($D43&lt;&gt;"Serviço",0,IF(OR(AND(AUTOEVENTO="Manual",$M43=1),$M43&gt;(ROW(PLE.lastrow)-ROW(PLE.firstrow))),0,IF(OFFSET(PLE!$G$14,$M43,BG$13)="",10^12,OFFSET(PLE!$G$14,$M43,BG$13))))</f>
        <v>0</v>
      </c>
    </row>
    <row r="44" spans="1:59" s="577" customFormat="1" ht="51" x14ac:dyDescent="0.2">
      <c r="A44" s="7">
        <f t="shared" ca="1" si="9"/>
        <v>5</v>
      </c>
      <c r="B44" s="7" t="str">
        <f ca="1">OFFSET(ORÇAMENTO!C$15,ROW(B44)-ROW(B$15),0)</f>
        <v>S</v>
      </c>
      <c r="C44" s="7" t="str">
        <f ca="1">OFFSET(ORÇAMENTO!L$15,ROW(C44)-ROW(C$15),0)</f>
        <v/>
      </c>
      <c r="D44" s="118" t="str">
        <f ca="1">OFFSET(ORÇAMENTO!N$15,ROW(D44)-ROW(D$15),0)</f>
        <v>Serviço</v>
      </c>
      <c r="E44" s="119" t="str">
        <f ca="1">OFFSET(ORÇAMENTO!O$15,ROW(E44)-ROW(E$15),0)</f>
        <v>-</v>
      </c>
      <c r="F44" s="171" t="str">
        <f ca="1">OFFSET(ORÇAMENTO!R$15,ROW(F44)-ROW(F$15),0)</f>
        <v>(abra o arquivo 'Referência 04-2024.xls)</v>
      </c>
      <c r="G44" s="172" t="str">
        <f ca="1">IF($D44&lt;&gt;"Serviço","",OFFSET(ORÇAMENTO!S$15,ROW(G44)-ROW(G$15),0))</f>
        <v>-</v>
      </c>
      <c r="H44" s="124">
        <f ca="1">IF($D44&lt;&gt;"Serviço",0,IF(ACOMPANHAMENTO="BM",ROUND(OFFSET(ORÇAMENTO!AJ$15,ROW(H44)-ROW(H$15),0),15-13*ORÇAMENTO!$AF$7),SUMPRODUCT(($Q$12:$AA$12&lt;&gt;"")*ROUND($Q44:$AA44,15-13*ORÇAMENTO!$AF$7))))</f>
        <v>32</v>
      </c>
      <c r="I44" s="561" t="s">
        <v>496</v>
      </c>
      <c r="K44" s="173" t="s">
        <v>490</v>
      </c>
      <c r="L44" s="174" t="s">
        <v>257</v>
      </c>
      <c r="M44" s="175">
        <f ca="1">IF($D44&lt;&gt;"Serviço","",IF(AUTOEVENTO="manual",$A44,IF(ISERROR(MATCH($A44,$A$15:OFFSET($A44,-1,0),0)),MAX($M$15:OFFSET(M44,-1,0))+1,INDEX($M$15:OFFSET(M44,-1,0),MATCH($A44,$A$15:OFFSET($A44,-1,0),0)))))</f>
        <v>5</v>
      </c>
      <c r="N44" s="176" t="str">
        <f ca="1">IF($D44&lt;&gt;"Serviço","",IF(AUTOEVENTO="Manual",IF($A44=0,"&lt;-- defina o número do agrupador",OFFSET(EVENTOS!$D$14,$A44,0)),OFFSET($F$15,$A44,0)))</f>
        <v>Passeio Público</v>
      </c>
      <c r="O44" s="177"/>
      <c r="Q44" s="177"/>
      <c r="R44" s="178">
        <f>30*0.5</f>
        <v>15</v>
      </c>
      <c r="S44" s="178">
        <f>34*0.5</f>
        <v>17</v>
      </c>
      <c r="T44" s="178"/>
      <c r="U44" s="178"/>
      <c r="V44" s="178"/>
      <c r="W44" s="178"/>
      <c r="X44" s="178"/>
      <c r="Y44" s="178"/>
      <c r="Z44" s="179"/>
      <c r="AB44" s="544">
        <f ca="1">IF(AND($D44="Serviço",AB$12&lt;&gt;0,$H44&gt;0,OR(AUTOEVENTO&lt;&gt;"manual",$M44&lt;&gt;1)),ROUND(OFFSET($P44,0,AB$13),15-13*ORÇAMENTO!$AF$7)/$H44*OFFSET(ORÇAMENTO!$X$15,ROW(AB44)-ROW(AB$15),0),0)</f>
        <v>0</v>
      </c>
      <c r="AC44" s="545">
        <f ca="1">IF(AND($D44="Serviço",AC$12&lt;&gt;0,$H44&gt;0,OR(AUTOEVENTO&lt;&gt;"manual",$M44&lt;&gt;1)),ROUND(OFFSET($P44,0,AC$13),15-13*ORÇAMENTO!$AF$7)/$H44*OFFSET(ORÇAMENTO!$X$15,ROW(AC44)-ROW(AC$15),0),0)</f>
        <v>0</v>
      </c>
      <c r="AD44" s="545">
        <f ca="1">IF(AND($D44="Serviço",AD$12&lt;&gt;0,$H44&gt;0,OR(AUTOEVENTO&lt;&gt;"manual",$M44&lt;&gt;1)),ROUND(OFFSET($P44,0,AD$13),15-13*ORÇAMENTO!$AF$7)/$H44*OFFSET(ORÇAMENTO!$X$15,ROW(AD44)-ROW(AD$15),0),0)</f>
        <v>0</v>
      </c>
      <c r="AE44" s="545">
        <f ca="1">IF(AND($D44="Serviço",AE$12&lt;&gt;0,$H44&gt;0,OR(AUTOEVENTO&lt;&gt;"manual",$M44&lt;&gt;1)),ROUND(OFFSET($P44,0,AE$13),15-13*ORÇAMENTO!$AF$7)/$H44*OFFSET(ORÇAMENTO!$X$15,ROW(AE44)-ROW(AE$15),0),0)</f>
        <v>0</v>
      </c>
      <c r="AF44" s="545">
        <f ca="1">IF(AND($D44="Serviço",AF$12&lt;&gt;0,$H44&gt;0,OR(AUTOEVENTO&lt;&gt;"manual",$M44&lt;&gt;1)),ROUND(OFFSET($P44,0,AF$13),15-13*ORÇAMENTO!$AF$7)/$H44*OFFSET(ORÇAMENTO!$X$15,ROW(AF44)-ROW(AF$15),0),0)</f>
        <v>0</v>
      </c>
      <c r="AG44" s="545">
        <f ca="1">IF(AND($D44="Serviço",AG$12&lt;&gt;0,$H44&gt;0,OR(AUTOEVENTO&lt;&gt;"manual",$M44&lt;&gt;1)),ROUND(OFFSET($P44,0,AG$13),15-13*ORÇAMENTO!$AF$7)/$H44*OFFSET(ORÇAMENTO!$X$15,ROW(AG44)-ROW(AG$15),0),0)</f>
        <v>0</v>
      </c>
      <c r="AH44" s="545">
        <f ca="1">IF(AND($D44="Serviço",AH$12&lt;&gt;0,$H44&gt;0,OR(AUTOEVENTO&lt;&gt;"manual",$M44&lt;&gt;1)),ROUND(OFFSET($P44,0,AH$13),15-13*ORÇAMENTO!$AF$7)/$H44*OFFSET(ORÇAMENTO!$X$15,ROW(AH44)-ROW(AH$15),0),0)</f>
        <v>0</v>
      </c>
      <c r="AI44" s="545">
        <f ca="1">IF(AND($D44="Serviço",AI$12&lt;&gt;0,$H44&gt;0,OR(AUTOEVENTO&lt;&gt;"manual",$M44&lt;&gt;1)),ROUND(OFFSET($P44,0,AI$13),15-13*ORÇAMENTO!$AF$7)/$H44*OFFSET(ORÇAMENTO!$X$15,ROW(AI44)-ROW(AI$15),0),0)</f>
        <v>0</v>
      </c>
      <c r="AJ44" s="545">
        <f ca="1">IF(AND($D44="Serviço",AJ$12&lt;&gt;0,$H44&gt;0,OR(AUTOEVENTO&lt;&gt;"manual",$M44&lt;&gt;1)),ROUND(OFFSET($P44,0,AJ$13),15-13*ORÇAMENTO!$AF$7)/$H44*OFFSET(ORÇAMENTO!$X$15,ROW(AJ44)-ROW(AJ$15),0),0)</f>
        <v>0</v>
      </c>
      <c r="AK44" s="546">
        <f ca="1">IF(AND($D44="Serviço",AK$12&lt;&gt;0,$H44&gt;0,OR(AUTOEVENTO&lt;&gt;"manual",$M44&lt;&gt;1)),ROUND(OFFSET($P44,0,AK$13),15-13*ORÇAMENTO!$AF$7)/$H44*OFFSET(ORÇAMENTO!$X$15,ROW(AK44)-ROW(AK$15),0),0)</f>
        <v>0</v>
      </c>
      <c r="AM44" s="180">
        <f ca="1">IF($D44&lt;&gt;"Serviço",0,IF(AND(AUTOEVENTO="Manual",$M44=1),0,IF(OFFSET(CRONOPLE!$F$14,$M44,AM$13)="",10^12,OFFSET(CRONOPLE!$F$14,$M44,AM$13))))</f>
        <v>1000000000000</v>
      </c>
      <c r="AN44" s="180">
        <f ca="1">IF($D44&lt;&gt;"Serviço",0,IF(AND(AUTOEVENTO="Manual",$M44=1),0,IF(OFFSET(CRONOPLE!$F$14,$M44,AN$13)="",10^12,OFFSET(CRONOPLE!$F$14,$M44,AN$13))))</f>
        <v>3</v>
      </c>
      <c r="AO44" s="180">
        <f ca="1">IF($D44&lt;&gt;"Serviço",0,IF(AND(AUTOEVENTO="Manual",$M44=1),0,IF(OFFSET(CRONOPLE!$F$14,$M44,AO$13)="",10^12,OFFSET(CRONOPLE!$F$14,$M44,AO$13))))</f>
        <v>4</v>
      </c>
      <c r="AP44" s="180">
        <f ca="1">IF($D44&lt;&gt;"Serviço",0,IF(AND(AUTOEVENTO="Manual",$M44=1),0,IF(OFFSET(CRONOPLE!$F$14,$M44,AP$13)="",10^12,OFFSET(CRONOPLE!$F$14,$M44,AP$13))))</f>
        <v>1000000000000</v>
      </c>
      <c r="AQ44" s="180">
        <f ca="1">IF($D44&lt;&gt;"Serviço",0,IF(AND(AUTOEVENTO="Manual",$M44=1),0,IF(OFFSET(CRONOPLE!$F$14,$M44,AQ$13)="",10^12,OFFSET(CRONOPLE!$F$14,$M44,AQ$13))))</f>
        <v>1000000000000</v>
      </c>
      <c r="AR44" s="180">
        <f ca="1">IF($D44&lt;&gt;"Serviço",0,IF(AND(AUTOEVENTO="Manual",$M44=1),0,IF(OFFSET(CRONOPLE!$F$14,$M44,AR$13)="",10^12,OFFSET(CRONOPLE!$F$14,$M44,AR$13))))</f>
        <v>1000000000000</v>
      </c>
      <c r="AS44" s="180">
        <f ca="1">IF($D44&lt;&gt;"Serviço",0,IF(AND(AUTOEVENTO="Manual",$M44=1),0,IF(OFFSET(CRONOPLE!$F$14,$M44,AS$13)="",10^12,OFFSET(CRONOPLE!$F$14,$M44,AS$13))))</f>
        <v>1000000000000</v>
      </c>
      <c r="AT44" s="180">
        <f ca="1">IF($D44&lt;&gt;"Serviço",0,IF(AND(AUTOEVENTO="Manual",$M44=1),0,IF(OFFSET(CRONOPLE!$F$14,$M44,AT$13)="",10^12,OFFSET(CRONOPLE!$F$14,$M44,AT$13))))</f>
        <v>1000000000000</v>
      </c>
      <c r="AU44" s="180">
        <f ca="1">IF($D44&lt;&gt;"Serviço",0,IF(AND(AUTOEVENTO="Manual",$M44=1),0,IF(OFFSET(CRONOPLE!$F$14,$M44,AU$13)="",10^12,OFFSET(CRONOPLE!$F$14,$M44,AU$13))))</f>
        <v>1000000000000</v>
      </c>
      <c r="AV44" s="180">
        <f ca="1">IF($D44&lt;&gt;"Serviço",0,IF(AND(AUTOEVENTO="Manual",$M44=1),0,IF(OFFSET(CRONOPLE!$F$14,$M44,AV$13)="",10^12,OFFSET(CRONOPLE!$F$14,$M44,AV$13))))</f>
        <v>1000000000000</v>
      </c>
      <c r="AX44" s="181">
        <f ca="1">IF($D44&lt;&gt;"Serviço",0,IF(OR(AND(AUTOEVENTO="Manual",$M44=1),$M44&gt;(ROW(PLE.lastrow)-ROW(PLE.firstrow))),0,IF(OFFSET(PLE!$G$14,$M44,AX$13)="",10^12,OFFSET(PLE!$G$14,$M44,AX$13))))</f>
        <v>1000000000000</v>
      </c>
      <c r="AY44" s="181">
        <f ca="1">IF($D44&lt;&gt;"Serviço",0,IF(OR(AND(AUTOEVENTO="Manual",$M44=1),$M44&gt;(ROW(PLE.lastrow)-ROW(PLE.firstrow))),0,IF(OFFSET(PLE!$G$14,$M44,AY$13)="",10^12,OFFSET(PLE!$G$14,$M44,AY$13))))</f>
        <v>1000000000000</v>
      </c>
      <c r="AZ44" s="181">
        <f ca="1">IF($D44&lt;&gt;"Serviço",0,IF(OR(AND(AUTOEVENTO="Manual",$M44=1),$M44&gt;(ROW(PLE.lastrow)-ROW(PLE.firstrow))),0,IF(OFFSET(PLE!$G$14,$M44,AZ$13)="",10^12,OFFSET(PLE!$G$14,$M44,AZ$13))))</f>
        <v>1000000000000</v>
      </c>
      <c r="BA44" s="181">
        <f ca="1">IF($D44&lt;&gt;"Serviço",0,IF(OR(AND(AUTOEVENTO="Manual",$M44=1),$M44&gt;(ROW(PLE.lastrow)-ROW(PLE.firstrow))),0,IF(OFFSET(PLE!$G$14,$M44,BA$13)="",10^12,OFFSET(PLE!$G$14,$M44,BA$13))))</f>
        <v>1000000000000</v>
      </c>
      <c r="BB44" s="181">
        <f ca="1">IF($D44&lt;&gt;"Serviço",0,IF(OR(AND(AUTOEVENTO="Manual",$M44=1),$M44&gt;(ROW(PLE.lastrow)-ROW(PLE.firstrow))),0,IF(OFFSET(PLE!$G$14,$M44,BB$13)="",10^12,OFFSET(PLE!$G$14,$M44,BB$13))))</f>
        <v>1000000000000</v>
      </c>
      <c r="BC44" s="181">
        <f ca="1">IF($D44&lt;&gt;"Serviço",0,IF(OR(AND(AUTOEVENTO="Manual",$M44=1),$M44&gt;(ROW(PLE.lastrow)-ROW(PLE.firstrow))),0,IF(OFFSET(PLE!$G$14,$M44,BC$13)="",10^12,OFFSET(PLE!$G$14,$M44,BC$13))))</f>
        <v>1000000000000</v>
      </c>
      <c r="BD44" s="181">
        <f ca="1">IF($D44&lt;&gt;"Serviço",0,IF(OR(AND(AUTOEVENTO="Manual",$M44=1),$M44&gt;(ROW(PLE.lastrow)-ROW(PLE.firstrow))),0,IF(OFFSET(PLE!$G$14,$M44,BD$13)="",10^12,OFFSET(PLE!$G$14,$M44,BD$13))))</f>
        <v>1000000000000</v>
      </c>
      <c r="BE44" s="181">
        <f ca="1">IF($D44&lt;&gt;"Serviço",0,IF(OR(AND(AUTOEVENTO="Manual",$M44=1),$M44&gt;(ROW(PLE.lastrow)-ROW(PLE.firstrow))),0,IF(OFFSET(PLE!$G$14,$M44,BE$13)="",10^12,OFFSET(PLE!$G$14,$M44,BE$13))))</f>
        <v>1000000000000</v>
      </c>
      <c r="BF44" s="181">
        <f ca="1">IF($D44&lt;&gt;"Serviço",0,IF(OR(AND(AUTOEVENTO="Manual",$M44=1),$M44&gt;(ROW(PLE.lastrow)-ROW(PLE.firstrow))),0,IF(OFFSET(PLE!$G$14,$M44,BF$13)="",10^12,OFFSET(PLE!$G$14,$M44,BF$13))))</f>
        <v>1000000000000</v>
      </c>
      <c r="BG44" s="181">
        <f ca="1">IF($D44&lt;&gt;"Serviço",0,IF(OR(AND(AUTOEVENTO="Manual",$M44=1),$M44&gt;(ROW(PLE.lastrow)-ROW(PLE.firstrow))),0,IF(OFFSET(PLE!$G$14,$M44,BG$13)="",10^12,OFFSET(PLE!$G$14,$M44,BG$13))))</f>
        <v>1000000000000</v>
      </c>
    </row>
    <row r="45" spans="1:59" ht="12.75" x14ac:dyDescent="0.2">
      <c r="A45" s="7">
        <f t="shared" ref="A45:A48" ca="1" si="10">IF(AUTOEVENTO="Manual",IF(K45&lt;&gt;"",MIN(VALUE(LEFT(K45,FIND(".",K45)-1)),COUNTA(EVENTOS.Lista)),0),IF(OR($B45&gt;AUTOEVENTO,$B45="S",$B45=0),SUBSTITUTE(OFFSET($A45,-1,0),IF($D45="Serviço",".",""),""),ROW(A45)-ROW($A$15)&amp;"."))</f>
        <v>7</v>
      </c>
      <c r="B45" s="7">
        <f ca="1">OFFSET(ORÇAMENTO!C$15,ROW(B45)-ROW(B$15),0)</f>
        <v>2</v>
      </c>
      <c r="C45" s="7" t="str">
        <f ca="1">OFFSET(ORÇAMENTO!L$15,ROW(C45)-ROW(C$15),0)</f>
        <v>F</v>
      </c>
      <c r="D45" s="118" t="str">
        <f ca="1">OFFSET(ORÇAMENTO!N$15,ROW(D45)-ROW(D$15),0)</f>
        <v>Nível 2</v>
      </c>
      <c r="E45" s="119" t="str">
        <f ca="1">OFFSET(ORÇAMENTO!O$15,ROW(E45)-ROW(E$15),0)</f>
        <v>1.10.</v>
      </c>
      <c r="F45" s="171" t="str">
        <f ca="1">OFFSET(ORÇAMENTO!R$15,ROW(F45)-ROW(F$15),0)</f>
        <v>SINALIZAÇÃO VERTICAL</v>
      </c>
      <c r="G45" s="172" t="str">
        <f ca="1">IF($D45&lt;&gt;"Serviço","",OFFSET(ORÇAMENTO!S$15,ROW(G45)-ROW(G$15),0))</f>
        <v/>
      </c>
      <c r="H45" s="124">
        <f ca="1">IF($D45&lt;&gt;"Serviço",0,IF(ACOMPANHAMENTO="BM",ROUND(OFFSET(ORÇAMENTO!AJ$15,ROW(H45)-ROW(H$15),0),15-13*ORÇAMENTO!$AF$7),SUMPRODUCT(($Q$12:$AA$12&lt;&gt;"")*ROUND($Q45:$AA45,15-13*ORÇAMENTO!$AF$7))))</f>
        <v>0</v>
      </c>
      <c r="I45" s="561"/>
      <c r="K45" s="173" t="s">
        <v>491</v>
      </c>
      <c r="L45" s="174" t="s">
        <v>257</v>
      </c>
      <c r="M45" s="175" t="str">
        <f ca="1">IF($D45&lt;&gt;"Serviço","",IF(AUTOEVENTO="manual",$A45,IF(ISERROR(MATCH($A45,$A$15:OFFSET($A45,-1,0),0)),MAX($M$15:OFFSET(M45,-1,0))+1,INDEX($M$15:OFFSET(M45,-1,0),MATCH($A45,$A$15:OFFSET($A45,-1,0),0)))))</f>
        <v/>
      </c>
      <c r="N45" s="176" t="str">
        <f ca="1">IF($D45&lt;&gt;"Serviço","",IF(AUTOEVENTO="Manual",IF($A45=0,"&lt;-- defina o número do agrupador",OFFSET(EVENTOS!$D$14,$A45,0)),OFFSET($F$15,$A45,0)))</f>
        <v/>
      </c>
      <c r="O45" s="177"/>
      <c r="Q45" s="177"/>
      <c r="R45" s="178"/>
      <c r="S45" s="178"/>
      <c r="T45" s="178"/>
      <c r="U45" s="178"/>
      <c r="V45" s="178"/>
      <c r="W45" s="178"/>
      <c r="X45" s="178"/>
      <c r="Y45" s="178"/>
      <c r="Z45" s="179"/>
      <c r="AB45" s="544">
        <f ca="1">IF(AND($D45="Serviço",AB$12&lt;&gt;0,$H45&gt;0,OR(AUTOEVENTO&lt;&gt;"manual",$M45&lt;&gt;1)),ROUND(OFFSET($P45,0,AB$13),15-13*ORÇAMENTO!$AF$7)/$H45*OFFSET(ORÇAMENTO!$X$15,ROW(AB45)-ROW(AB$15),0),0)</f>
        <v>0</v>
      </c>
      <c r="AC45" s="545">
        <f ca="1">IF(AND($D45="Serviço",AC$12&lt;&gt;0,$H45&gt;0,OR(AUTOEVENTO&lt;&gt;"manual",$M45&lt;&gt;1)),ROUND(OFFSET($P45,0,AC$13),15-13*ORÇAMENTO!$AF$7)/$H45*OFFSET(ORÇAMENTO!$X$15,ROW(AC45)-ROW(AC$15),0),0)</f>
        <v>0</v>
      </c>
      <c r="AD45" s="545">
        <f ca="1">IF(AND($D45="Serviço",AD$12&lt;&gt;0,$H45&gt;0,OR(AUTOEVENTO&lt;&gt;"manual",$M45&lt;&gt;1)),ROUND(OFFSET($P45,0,AD$13),15-13*ORÇAMENTO!$AF$7)/$H45*OFFSET(ORÇAMENTO!$X$15,ROW(AD45)-ROW(AD$15),0),0)</f>
        <v>0</v>
      </c>
      <c r="AE45" s="545">
        <f ca="1">IF(AND($D45="Serviço",AE$12&lt;&gt;0,$H45&gt;0,OR(AUTOEVENTO&lt;&gt;"manual",$M45&lt;&gt;1)),ROUND(OFFSET($P45,0,AE$13),15-13*ORÇAMENTO!$AF$7)/$H45*OFFSET(ORÇAMENTO!$X$15,ROW(AE45)-ROW(AE$15),0),0)</f>
        <v>0</v>
      </c>
      <c r="AF45" s="545">
        <f ca="1">IF(AND($D45="Serviço",AF$12&lt;&gt;0,$H45&gt;0,OR(AUTOEVENTO&lt;&gt;"manual",$M45&lt;&gt;1)),ROUND(OFFSET($P45,0,AF$13),15-13*ORÇAMENTO!$AF$7)/$H45*OFFSET(ORÇAMENTO!$X$15,ROW(AF45)-ROW(AF$15),0),0)</f>
        <v>0</v>
      </c>
      <c r="AG45" s="545">
        <f ca="1">IF(AND($D45="Serviço",AG$12&lt;&gt;0,$H45&gt;0,OR(AUTOEVENTO&lt;&gt;"manual",$M45&lt;&gt;1)),ROUND(OFFSET($P45,0,AG$13),15-13*ORÇAMENTO!$AF$7)/$H45*OFFSET(ORÇAMENTO!$X$15,ROW(AG45)-ROW(AG$15),0),0)</f>
        <v>0</v>
      </c>
      <c r="AH45" s="545">
        <f ca="1">IF(AND($D45="Serviço",AH$12&lt;&gt;0,$H45&gt;0,OR(AUTOEVENTO&lt;&gt;"manual",$M45&lt;&gt;1)),ROUND(OFFSET($P45,0,AH$13),15-13*ORÇAMENTO!$AF$7)/$H45*OFFSET(ORÇAMENTO!$X$15,ROW(AH45)-ROW(AH$15),0),0)</f>
        <v>0</v>
      </c>
      <c r="AI45" s="545">
        <f ca="1">IF(AND($D45="Serviço",AI$12&lt;&gt;0,$H45&gt;0,OR(AUTOEVENTO&lt;&gt;"manual",$M45&lt;&gt;1)),ROUND(OFFSET($P45,0,AI$13),15-13*ORÇAMENTO!$AF$7)/$H45*OFFSET(ORÇAMENTO!$X$15,ROW(AI45)-ROW(AI$15),0),0)</f>
        <v>0</v>
      </c>
      <c r="AJ45" s="545">
        <f ca="1">IF(AND($D45="Serviço",AJ$12&lt;&gt;0,$H45&gt;0,OR(AUTOEVENTO&lt;&gt;"manual",$M45&lt;&gt;1)),ROUND(OFFSET($P45,0,AJ$13),15-13*ORÇAMENTO!$AF$7)/$H45*OFFSET(ORÇAMENTO!$X$15,ROW(AJ45)-ROW(AJ$15),0),0)</f>
        <v>0</v>
      </c>
      <c r="AK45" s="546">
        <f ca="1">IF(AND($D45="Serviço",AK$12&lt;&gt;0,$H45&gt;0,OR(AUTOEVENTO&lt;&gt;"manual",$M45&lt;&gt;1)),ROUND(OFFSET($P45,0,AK$13),15-13*ORÇAMENTO!$AF$7)/$H45*OFFSET(ORÇAMENTO!$X$15,ROW(AK45)-ROW(AK$15),0),0)</f>
        <v>0</v>
      </c>
      <c r="AM45" s="180">
        <f ca="1">IF($D45&lt;&gt;"Serviço",0,IF(AND(AUTOEVENTO="Manual",$M45=1),0,IF(OFFSET(CRONOPLE!$F$14,$M45,AM$13)="",10^12,OFFSET(CRONOPLE!$F$14,$M45,AM$13))))</f>
        <v>0</v>
      </c>
      <c r="AN45" s="180">
        <f ca="1">IF($D45&lt;&gt;"Serviço",0,IF(AND(AUTOEVENTO="Manual",$M45=1),0,IF(OFFSET(CRONOPLE!$F$14,$M45,AN$13)="",10^12,OFFSET(CRONOPLE!$F$14,$M45,AN$13))))</f>
        <v>0</v>
      </c>
      <c r="AO45" s="180">
        <f ca="1">IF($D45&lt;&gt;"Serviço",0,IF(AND(AUTOEVENTO="Manual",$M45=1),0,IF(OFFSET(CRONOPLE!$F$14,$M45,AO$13)="",10^12,OFFSET(CRONOPLE!$F$14,$M45,AO$13))))</f>
        <v>0</v>
      </c>
      <c r="AP45" s="180">
        <f ca="1">IF($D45&lt;&gt;"Serviço",0,IF(AND(AUTOEVENTO="Manual",$M45=1),0,IF(OFFSET(CRONOPLE!$F$14,$M45,AP$13)="",10^12,OFFSET(CRONOPLE!$F$14,$M45,AP$13))))</f>
        <v>0</v>
      </c>
      <c r="AQ45" s="180">
        <f ca="1">IF($D45&lt;&gt;"Serviço",0,IF(AND(AUTOEVENTO="Manual",$M45=1),0,IF(OFFSET(CRONOPLE!$F$14,$M45,AQ$13)="",10^12,OFFSET(CRONOPLE!$F$14,$M45,AQ$13))))</f>
        <v>0</v>
      </c>
      <c r="AR45" s="180">
        <f ca="1">IF($D45&lt;&gt;"Serviço",0,IF(AND(AUTOEVENTO="Manual",$M45=1),0,IF(OFFSET(CRONOPLE!$F$14,$M45,AR$13)="",10^12,OFFSET(CRONOPLE!$F$14,$M45,AR$13))))</f>
        <v>0</v>
      </c>
      <c r="AS45" s="180">
        <f ca="1">IF($D45&lt;&gt;"Serviço",0,IF(AND(AUTOEVENTO="Manual",$M45=1),0,IF(OFFSET(CRONOPLE!$F$14,$M45,AS$13)="",10^12,OFFSET(CRONOPLE!$F$14,$M45,AS$13))))</f>
        <v>0</v>
      </c>
      <c r="AT45" s="180">
        <f ca="1">IF($D45&lt;&gt;"Serviço",0,IF(AND(AUTOEVENTO="Manual",$M45=1),0,IF(OFFSET(CRONOPLE!$F$14,$M45,AT$13)="",10^12,OFFSET(CRONOPLE!$F$14,$M45,AT$13))))</f>
        <v>0</v>
      </c>
      <c r="AU45" s="180">
        <f ca="1">IF($D45&lt;&gt;"Serviço",0,IF(AND(AUTOEVENTO="Manual",$M45=1),0,IF(OFFSET(CRONOPLE!$F$14,$M45,AU$13)="",10^12,OFFSET(CRONOPLE!$F$14,$M45,AU$13))))</f>
        <v>0</v>
      </c>
      <c r="AV45" s="180">
        <f ca="1">IF($D45&lt;&gt;"Serviço",0,IF(AND(AUTOEVENTO="Manual",$M45=1),0,IF(OFFSET(CRONOPLE!$F$14,$M45,AV$13)="",10^12,OFFSET(CRONOPLE!$F$14,$M45,AV$13))))</f>
        <v>0</v>
      </c>
      <c r="AX45" s="181">
        <f ca="1">IF($D45&lt;&gt;"Serviço",0,IF(OR(AND(AUTOEVENTO="Manual",$M45=1),$M45&gt;(ROW(PLE.lastrow)-ROW(PLE.firstrow))),0,IF(OFFSET(PLE!$G$14,$M45,AX$13)="",10^12,OFFSET(PLE!$G$14,$M45,AX$13))))</f>
        <v>0</v>
      </c>
      <c r="AY45" s="181">
        <f ca="1">IF($D45&lt;&gt;"Serviço",0,IF(OR(AND(AUTOEVENTO="Manual",$M45=1),$M45&gt;(ROW(PLE.lastrow)-ROW(PLE.firstrow))),0,IF(OFFSET(PLE!$G$14,$M45,AY$13)="",10^12,OFFSET(PLE!$G$14,$M45,AY$13))))</f>
        <v>0</v>
      </c>
      <c r="AZ45" s="181">
        <f ca="1">IF($D45&lt;&gt;"Serviço",0,IF(OR(AND(AUTOEVENTO="Manual",$M45=1),$M45&gt;(ROW(PLE.lastrow)-ROW(PLE.firstrow))),0,IF(OFFSET(PLE!$G$14,$M45,AZ$13)="",10^12,OFFSET(PLE!$G$14,$M45,AZ$13))))</f>
        <v>0</v>
      </c>
      <c r="BA45" s="181">
        <f ca="1">IF($D45&lt;&gt;"Serviço",0,IF(OR(AND(AUTOEVENTO="Manual",$M45=1),$M45&gt;(ROW(PLE.lastrow)-ROW(PLE.firstrow))),0,IF(OFFSET(PLE!$G$14,$M45,BA$13)="",10^12,OFFSET(PLE!$G$14,$M45,BA$13))))</f>
        <v>0</v>
      </c>
      <c r="BB45" s="181">
        <f ca="1">IF($D45&lt;&gt;"Serviço",0,IF(OR(AND(AUTOEVENTO="Manual",$M45=1),$M45&gt;(ROW(PLE.lastrow)-ROW(PLE.firstrow))),0,IF(OFFSET(PLE!$G$14,$M45,BB$13)="",10^12,OFFSET(PLE!$G$14,$M45,BB$13))))</f>
        <v>0</v>
      </c>
      <c r="BC45" s="181">
        <f ca="1">IF($D45&lt;&gt;"Serviço",0,IF(OR(AND(AUTOEVENTO="Manual",$M45=1),$M45&gt;(ROW(PLE.lastrow)-ROW(PLE.firstrow))),0,IF(OFFSET(PLE!$G$14,$M45,BC$13)="",10^12,OFFSET(PLE!$G$14,$M45,BC$13))))</f>
        <v>0</v>
      </c>
      <c r="BD45" s="181">
        <f ca="1">IF($D45&lt;&gt;"Serviço",0,IF(OR(AND(AUTOEVENTO="Manual",$M45=1),$M45&gt;(ROW(PLE.lastrow)-ROW(PLE.firstrow))),0,IF(OFFSET(PLE!$G$14,$M45,BD$13)="",10^12,OFFSET(PLE!$G$14,$M45,BD$13))))</f>
        <v>0</v>
      </c>
      <c r="BE45" s="181">
        <f ca="1">IF($D45&lt;&gt;"Serviço",0,IF(OR(AND(AUTOEVENTO="Manual",$M45=1),$M45&gt;(ROW(PLE.lastrow)-ROW(PLE.firstrow))),0,IF(OFFSET(PLE!$G$14,$M45,BE$13)="",10^12,OFFSET(PLE!$G$14,$M45,BE$13))))</f>
        <v>0</v>
      </c>
      <c r="BF45" s="181">
        <f ca="1">IF($D45&lt;&gt;"Serviço",0,IF(OR(AND(AUTOEVENTO="Manual",$M45=1),$M45&gt;(ROW(PLE.lastrow)-ROW(PLE.firstrow))),0,IF(OFFSET(PLE!$G$14,$M45,BF$13)="",10^12,OFFSET(PLE!$G$14,$M45,BF$13))))</f>
        <v>0</v>
      </c>
      <c r="BG45" s="181">
        <f ca="1">IF($D45&lt;&gt;"Serviço",0,IF(OR(AND(AUTOEVENTO="Manual",$M45=1),$M45&gt;(ROW(PLE.lastrow)-ROW(PLE.firstrow))),0,IF(OFFSET(PLE!$G$14,$M45,BG$13)="",10^12,OFFSET(PLE!$G$14,$M45,BG$13))))</f>
        <v>0</v>
      </c>
    </row>
    <row r="46" spans="1:59" ht="25.5" x14ac:dyDescent="0.2">
      <c r="A46" s="7">
        <f t="shared" ca="1" si="10"/>
        <v>6</v>
      </c>
      <c r="B46" s="7" t="str">
        <f ca="1">OFFSET(ORÇAMENTO!C$15,ROW(B46)-ROW(B$15),0)</f>
        <v>S</v>
      </c>
      <c r="C46" s="7" t="str">
        <f ca="1">OFFSET(ORÇAMENTO!L$15,ROW(C46)-ROW(C$15),0)</f>
        <v/>
      </c>
      <c r="D46" s="118" t="str">
        <f ca="1">OFFSET(ORÇAMENTO!N$15,ROW(D46)-ROW(D$15),0)</f>
        <v>Serviço</v>
      </c>
      <c r="E46" s="119" t="str">
        <f ca="1">OFFSET(ORÇAMENTO!O$15,ROW(E46)-ROW(E$15),0)</f>
        <v>-</v>
      </c>
      <c r="F46" s="171" t="str">
        <f ca="1">OFFSET(ORÇAMENTO!R$15,ROW(F46)-ROW(F$15),0)</f>
        <v>(abra o arquivo 'Referência 04-2024.xls)</v>
      </c>
      <c r="G46" s="172" t="str">
        <f ca="1">IF($D46&lt;&gt;"Serviço","",OFFSET(ORÇAMENTO!S$15,ROW(G46)-ROW(G$15),0))</f>
        <v>-</v>
      </c>
      <c r="H46" s="124">
        <f ca="1">IF($D46&lt;&gt;"Serviço",0,IF(ACOMPANHAMENTO="BM",ROUND(OFFSET(ORÇAMENTO!AJ$15,ROW(H46)-ROW(H$15),0),15-13*ORÇAMENTO!$AF$7),SUMPRODUCT(($Q$12:$AA$12&lt;&gt;"")*ROUND($Q46:$AA46,15-13*ORÇAMENTO!$AF$7))))</f>
        <v>2</v>
      </c>
      <c r="I46" s="561" t="s">
        <v>465</v>
      </c>
      <c r="K46" s="173" t="s">
        <v>508</v>
      </c>
      <c r="L46" s="174" t="s">
        <v>257</v>
      </c>
      <c r="M46" s="175">
        <f ca="1">IF($D46&lt;&gt;"Serviço","",IF(AUTOEVENTO="manual",$A46,IF(ISERROR(MATCH($A46,$A$15:OFFSET($A46,-1,0),0)),MAX($M$15:OFFSET(M46,-1,0))+1,INDEX($M$15:OFFSET(M46,-1,0),MATCH($A46,$A$15:OFFSET($A46,-1,0),0)))))</f>
        <v>6</v>
      </c>
      <c r="N46" s="176" t="str">
        <f ca="1">IF($D46&lt;&gt;"Serviço","",IF(AUTOEVENTO="Manual",IF($A46=0,"&lt;-- defina o número do agrupador",OFFSET(EVENTOS!$D$14,$A46,0)),OFFSET($F$15,$A46,0)))</f>
        <v xml:space="preserve">Sinalização Vertical </v>
      </c>
      <c r="O46" s="177"/>
      <c r="Q46" s="177"/>
      <c r="R46" s="178">
        <v>1</v>
      </c>
      <c r="S46" s="178">
        <v>1</v>
      </c>
      <c r="T46" s="178"/>
      <c r="U46" s="178"/>
      <c r="V46" s="178"/>
      <c r="W46" s="178"/>
      <c r="X46" s="178"/>
      <c r="Y46" s="178"/>
      <c r="Z46" s="179"/>
      <c r="AB46" s="544">
        <f ca="1">IF(AND($D46="Serviço",AB$12&lt;&gt;0,$H46&gt;0,OR(AUTOEVENTO&lt;&gt;"manual",$M46&lt;&gt;1)),ROUND(OFFSET($P46,0,AB$13),15-13*ORÇAMENTO!$AF$7)/$H46*OFFSET(ORÇAMENTO!$X$15,ROW(AB46)-ROW(AB$15),0),0)</f>
        <v>0</v>
      </c>
      <c r="AC46" s="545">
        <f ca="1">IF(AND($D46="Serviço",AC$12&lt;&gt;0,$H46&gt;0,OR(AUTOEVENTO&lt;&gt;"manual",$M46&lt;&gt;1)),ROUND(OFFSET($P46,0,AC$13),15-13*ORÇAMENTO!$AF$7)/$H46*OFFSET(ORÇAMENTO!$X$15,ROW(AC46)-ROW(AC$15),0),0)</f>
        <v>0</v>
      </c>
      <c r="AD46" s="545">
        <f ca="1">IF(AND($D46="Serviço",AD$12&lt;&gt;0,$H46&gt;0,OR(AUTOEVENTO&lt;&gt;"manual",$M46&lt;&gt;1)),ROUND(OFFSET($P46,0,AD$13),15-13*ORÇAMENTO!$AF$7)/$H46*OFFSET(ORÇAMENTO!$X$15,ROW(AD46)-ROW(AD$15),0),0)</f>
        <v>0</v>
      </c>
      <c r="AE46" s="545">
        <f ca="1">IF(AND($D46="Serviço",AE$12&lt;&gt;0,$H46&gt;0,OR(AUTOEVENTO&lt;&gt;"manual",$M46&lt;&gt;1)),ROUND(OFFSET($P46,0,AE$13),15-13*ORÇAMENTO!$AF$7)/$H46*OFFSET(ORÇAMENTO!$X$15,ROW(AE46)-ROW(AE$15),0),0)</f>
        <v>0</v>
      </c>
      <c r="AF46" s="545">
        <f ca="1">IF(AND($D46="Serviço",AF$12&lt;&gt;0,$H46&gt;0,OR(AUTOEVENTO&lt;&gt;"manual",$M46&lt;&gt;1)),ROUND(OFFSET($P46,0,AF$13),15-13*ORÇAMENTO!$AF$7)/$H46*OFFSET(ORÇAMENTO!$X$15,ROW(AF46)-ROW(AF$15),0),0)</f>
        <v>0</v>
      </c>
      <c r="AG46" s="545">
        <f ca="1">IF(AND($D46="Serviço",AG$12&lt;&gt;0,$H46&gt;0,OR(AUTOEVENTO&lt;&gt;"manual",$M46&lt;&gt;1)),ROUND(OFFSET($P46,0,AG$13),15-13*ORÇAMENTO!$AF$7)/$H46*OFFSET(ORÇAMENTO!$X$15,ROW(AG46)-ROW(AG$15),0),0)</f>
        <v>0</v>
      </c>
      <c r="AH46" s="545">
        <f ca="1">IF(AND($D46="Serviço",AH$12&lt;&gt;0,$H46&gt;0,OR(AUTOEVENTO&lt;&gt;"manual",$M46&lt;&gt;1)),ROUND(OFFSET($P46,0,AH$13),15-13*ORÇAMENTO!$AF$7)/$H46*OFFSET(ORÇAMENTO!$X$15,ROW(AH46)-ROW(AH$15),0),0)</f>
        <v>0</v>
      </c>
      <c r="AI46" s="545">
        <f ca="1">IF(AND($D46="Serviço",AI$12&lt;&gt;0,$H46&gt;0,OR(AUTOEVENTO&lt;&gt;"manual",$M46&lt;&gt;1)),ROUND(OFFSET($P46,0,AI$13),15-13*ORÇAMENTO!$AF$7)/$H46*OFFSET(ORÇAMENTO!$X$15,ROW(AI46)-ROW(AI$15),0),0)</f>
        <v>0</v>
      </c>
      <c r="AJ46" s="545">
        <f ca="1">IF(AND($D46="Serviço",AJ$12&lt;&gt;0,$H46&gt;0,OR(AUTOEVENTO&lt;&gt;"manual",$M46&lt;&gt;1)),ROUND(OFFSET($P46,0,AJ$13),15-13*ORÇAMENTO!$AF$7)/$H46*OFFSET(ORÇAMENTO!$X$15,ROW(AJ46)-ROW(AJ$15),0),0)</f>
        <v>0</v>
      </c>
      <c r="AK46" s="546">
        <f ca="1">IF(AND($D46="Serviço",AK$12&lt;&gt;0,$H46&gt;0,OR(AUTOEVENTO&lt;&gt;"manual",$M46&lt;&gt;1)),ROUND(OFFSET($P46,0,AK$13),15-13*ORÇAMENTO!$AF$7)/$H46*OFFSET(ORÇAMENTO!$X$15,ROW(AK46)-ROW(AK$15),0),0)</f>
        <v>0</v>
      </c>
      <c r="AM46" s="180">
        <f ca="1">IF($D46&lt;&gt;"Serviço",0,IF(AND(AUTOEVENTO="Manual",$M46=1),0,IF(OFFSET(CRONOPLE!$F$14,$M46,AM$13)="",10^12,OFFSET(CRONOPLE!$F$14,$M46,AM$13))))</f>
        <v>1000000000000</v>
      </c>
      <c r="AN46" s="180">
        <f ca="1">IF($D46&lt;&gt;"Serviço",0,IF(AND(AUTOEVENTO="Manual",$M46=1),0,IF(OFFSET(CRONOPLE!$F$14,$M46,AN$13)="",10^12,OFFSET(CRONOPLE!$F$14,$M46,AN$13))))</f>
        <v>4</v>
      </c>
      <c r="AO46" s="180">
        <f ca="1">IF($D46&lt;&gt;"Serviço",0,IF(AND(AUTOEVENTO="Manual",$M46=1),0,IF(OFFSET(CRONOPLE!$F$14,$M46,AO$13)="",10^12,OFFSET(CRONOPLE!$F$14,$M46,AO$13))))</f>
        <v>4</v>
      </c>
      <c r="AP46" s="180">
        <f ca="1">IF($D46&lt;&gt;"Serviço",0,IF(AND(AUTOEVENTO="Manual",$M46=1),0,IF(OFFSET(CRONOPLE!$F$14,$M46,AP$13)="",10^12,OFFSET(CRONOPLE!$F$14,$M46,AP$13))))</f>
        <v>1000000000000</v>
      </c>
      <c r="AQ46" s="180">
        <f ca="1">IF($D46&lt;&gt;"Serviço",0,IF(AND(AUTOEVENTO="Manual",$M46=1),0,IF(OFFSET(CRONOPLE!$F$14,$M46,AQ$13)="",10^12,OFFSET(CRONOPLE!$F$14,$M46,AQ$13))))</f>
        <v>1000000000000</v>
      </c>
      <c r="AR46" s="180">
        <f ca="1">IF($D46&lt;&gt;"Serviço",0,IF(AND(AUTOEVENTO="Manual",$M46=1),0,IF(OFFSET(CRONOPLE!$F$14,$M46,AR$13)="",10^12,OFFSET(CRONOPLE!$F$14,$M46,AR$13))))</f>
        <v>1000000000000</v>
      </c>
      <c r="AS46" s="180">
        <f ca="1">IF($D46&lt;&gt;"Serviço",0,IF(AND(AUTOEVENTO="Manual",$M46=1),0,IF(OFFSET(CRONOPLE!$F$14,$M46,AS$13)="",10^12,OFFSET(CRONOPLE!$F$14,$M46,AS$13))))</f>
        <v>1000000000000</v>
      </c>
      <c r="AT46" s="180">
        <f ca="1">IF($D46&lt;&gt;"Serviço",0,IF(AND(AUTOEVENTO="Manual",$M46=1),0,IF(OFFSET(CRONOPLE!$F$14,$M46,AT$13)="",10^12,OFFSET(CRONOPLE!$F$14,$M46,AT$13))))</f>
        <v>1000000000000</v>
      </c>
      <c r="AU46" s="180">
        <f ca="1">IF($D46&lt;&gt;"Serviço",0,IF(AND(AUTOEVENTO="Manual",$M46=1),0,IF(OFFSET(CRONOPLE!$F$14,$M46,AU$13)="",10^12,OFFSET(CRONOPLE!$F$14,$M46,AU$13))))</f>
        <v>1000000000000</v>
      </c>
      <c r="AV46" s="180">
        <f ca="1">IF($D46&lt;&gt;"Serviço",0,IF(AND(AUTOEVENTO="Manual",$M46=1),0,IF(OFFSET(CRONOPLE!$F$14,$M46,AV$13)="",10^12,OFFSET(CRONOPLE!$F$14,$M46,AV$13))))</f>
        <v>1000000000000</v>
      </c>
      <c r="AX46" s="181">
        <f ca="1">IF($D46&lt;&gt;"Serviço",0,IF(OR(AND(AUTOEVENTO="Manual",$M46=1),$M46&gt;(ROW(PLE.lastrow)-ROW(PLE.firstrow))),0,IF(OFFSET(PLE!$G$14,$M46,AX$13)="",10^12,OFFSET(PLE!$G$14,$M46,AX$13))))</f>
        <v>1000000000000</v>
      </c>
      <c r="AY46" s="181">
        <f ca="1">IF($D46&lt;&gt;"Serviço",0,IF(OR(AND(AUTOEVENTO="Manual",$M46=1),$M46&gt;(ROW(PLE.lastrow)-ROW(PLE.firstrow))),0,IF(OFFSET(PLE!$G$14,$M46,AY$13)="",10^12,OFFSET(PLE!$G$14,$M46,AY$13))))</f>
        <v>1000000000000</v>
      </c>
      <c r="AZ46" s="181">
        <f ca="1">IF($D46&lt;&gt;"Serviço",0,IF(OR(AND(AUTOEVENTO="Manual",$M46=1),$M46&gt;(ROW(PLE.lastrow)-ROW(PLE.firstrow))),0,IF(OFFSET(PLE!$G$14,$M46,AZ$13)="",10^12,OFFSET(PLE!$G$14,$M46,AZ$13))))</f>
        <v>1000000000000</v>
      </c>
      <c r="BA46" s="181">
        <f ca="1">IF($D46&lt;&gt;"Serviço",0,IF(OR(AND(AUTOEVENTO="Manual",$M46=1),$M46&gt;(ROW(PLE.lastrow)-ROW(PLE.firstrow))),0,IF(OFFSET(PLE!$G$14,$M46,BA$13)="",10^12,OFFSET(PLE!$G$14,$M46,BA$13))))</f>
        <v>1000000000000</v>
      </c>
      <c r="BB46" s="181">
        <f ca="1">IF($D46&lt;&gt;"Serviço",0,IF(OR(AND(AUTOEVENTO="Manual",$M46=1),$M46&gt;(ROW(PLE.lastrow)-ROW(PLE.firstrow))),0,IF(OFFSET(PLE!$G$14,$M46,BB$13)="",10^12,OFFSET(PLE!$G$14,$M46,BB$13))))</f>
        <v>1000000000000</v>
      </c>
      <c r="BC46" s="181">
        <f ca="1">IF($D46&lt;&gt;"Serviço",0,IF(OR(AND(AUTOEVENTO="Manual",$M46=1),$M46&gt;(ROW(PLE.lastrow)-ROW(PLE.firstrow))),0,IF(OFFSET(PLE!$G$14,$M46,BC$13)="",10^12,OFFSET(PLE!$G$14,$M46,BC$13))))</f>
        <v>1000000000000</v>
      </c>
      <c r="BD46" s="181">
        <f ca="1">IF($D46&lt;&gt;"Serviço",0,IF(OR(AND(AUTOEVENTO="Manual",$M46=1),$M46&gt;(ROW(PLE.lastrow)-ROW(PLE.firstrow))),0,IF(OFFSET(PLE!$G$14,$M46,BD$13)="",10^12,OFFSET(PLE!$G$14,$M46,BD$13))))</f>
        <v>1000000000000</v>
      </c>
      <c r="BE46" s="181">
        <f ca="1">IF($D46&lt;&gt;"Serviço",0,IF(OR(AND(AUTOEVENTO="Manual",$M46=1),$M46&gt;(ROW(PLE.lastrow)-ROW(PLE.firstrow))),0,IF(OFFSET(PLE!$G$14,$M46,BE$13)="",10^12,OFFSET(PLE!$G$14,$M46,BE$13))))</f>
        <v>1000000000000</v>
      </c>
      <c r="BF46" s="181">
        <f ca="1">IF($D46&lt;&gt;"Serviço",0,IF(OR(AND(AUTOEVENTO="Manual",$M46=1),$M46&gt;(ROW(PLE.lastrow)-ROW(PLE.firstrow))),0,IF(OFFSET(PLE!$G$14,$M46,BF$13)="",10^12,OFFSET(PLE!$G$14,$M46,BF$13))))</f>
        <v>1000000000000</v>
      </c>
      <c r="BG46" s="181">
        <f ca="1">IF($D46&lt;&gt;"Serviço",0,IF(OR(AND(AUTOEVENTO="Manual",$M46=1),$M46&gt;(ROW(PLE.lastrow)-ROW(PLE.firstrow))),0,IF(OFFSET(PLE!$G$14,$M46,BG$13)="",10^12,OFFSET(PLE!$G$14,$M46,BG$13))))</f>
        <v>1000000000000</v>
      </c>
    </row>
    <row r="47" spans="1:59" s="583" customFormat="1" ht="25.5" x14ac:dyDescent="0.2">
      <c r="A47" s="7">
        <f t="shared" ca="1" si="10"/>
        <v>6</v>
      </c>
      <c r="B47" s="7" t="str">
        <f ca="1">OFFSET(ORÇAMENTO!C$15,ROW(B47)-ROW(B$15),0)</f>
        <v>S</v>
      </c>
      <c r="C47" s="7" t="str">
        <f ca="1">OFFSET(ORÇAMENTO!L$15,ROW(C47)-ROW(C$15),0)</f>
        <v/>
      </c>
      <c r="D47" s="118" t="str">
        <f ca="1">OFFSET(ORÇAMENTO!N$15,ROW(D47)-ROW(D$15),0)</f>
        <v>Serviço</v>
      </c>
      <c r="E47" s="119" t="str">
        <f ca="1">OFFSET(ORÇAMENTO!O$15,ROW(E47)-ROW(E$15),0)</f>
        <v>-</v>
      </c>
      <c r="F47" s="171" t="str">
        <f ca="1">OFFSET(ORÇAMENTO!R$15,ROW(F47)-ROW(F$15),0)</f>
        <v>(abra o arquivo 'Referência 04-2024.xls)</v>
      </c>
      <c r="G47" s="172" t="str">
        <f ca="1">IF($D47&lt;&gt;"Serviço","",OFFSET(ORÇAMENTO!S$15,ROW(G47)-ROW(G$15),0))</f>
        <v>-</v>
      </c>
      <c r="H47" s="124">
        <f ca="1">IF($D47&lt;&gt;"Serviço",0,IF(ACOMPANHAMENTO="BM",ROUND(OFFSET(ORÇAMENTO!AJ$15,ROW(H47)-ROW(H$15),0),15-13*ORÇAMENTO!$AF$7),SUMPRODUCT(($Q$12:$AA$12&lt;&gt;"")*ROUND($Q47:$AA47,15-13*ORÇAMENTO!$AF$7))))</f>
        <v>4</v>
      </c>
      <c r="I47" s="561" t="s">
        <v>465</v>
      </c>
      <c r="K47" s="173" t="s">
        <v>508</v>
      </c>
      <c r="L47" s="174" t="s">
        <v>257</v>
      </c>
      <c r="M47" s="175">
        <f ca="1">IF($D47&lt;&gt;"Serviço","",IF(AUTOEVENTO="manual",$A47,IF(ISERROR(MATCH($A47,$A$15:OFFSET($A47,-1,0),0)),MAX($M$15:OFFSET(M47,-1,0))+1,INDEX($M$15:OFFSET(M47,-1,0),MATCH($A47,$A$15:OFFSET($A47,-1,0),0)))))</f>
        <v>6</v>
      </c>
      <c r="N47" s="176" t="str">
        <f ca="1">IF($D47&lt;&gt;"Serviço","",IF(AUTOEVENTO="Manual",IF($A47=0,"&lt;-- defina o número do agrupador",OFFSET(EVENTOS!$D$14,$A47,0)),OFFSET($F$15,$A47,0)))</f>
        <v xml:space="preserve">Sinalização Vertical </v>
      </c>
      <c r="O47" s="177"/>
      <c r="Q47" s="177"/>
      <c r="R47" s="178"/>
      <c r="S47" s="178">
        <v>4</v>
      </c>
      <c r="T47" s="178"/>
      <c r="U47" s="178"/>
      <c r="V47" s="178"/>
      <c r="W47" s="178"/>
      <c r="X47" s="178"/>
      <c r="Y47" s="178"/>
      <c r="Z47" s="179"/>
      <c r="AB47" s="544">
        <f ca="1">IF(AND($D47="Serviço",AB$12&lt;&gt;0,$H47&gt;0,OR(AUTOEVENTO&lt;&gt;"manual",$M47&lt;&gt;1)),ROUND(OFFSET($P47,0,AB$13),15-13*ORÇAMENTO!$AF$7)/$H47*OFFSET(ORÇAMENTO!$X$15,ROW(AB47)-ROW(AB$15),0),0)</f>
        <v>0</v>
      </c>
      <c r="AC47" s="545">
        <f ca="1">IF(AND($D47="Serviço",AC$12&lt;&gt;0,$H47&gt;0,OR(AUTOEVENTO&lt;&gt;"manual",$M47&lt;&gt;1)),ROUND(OFFSET($P47,0,AC$13),15-13*ORÇAMENTO!$AF$7)/$H47*OFFSET(ORÇAMENTO!$X$15,ROW(AC47)-ROW(AC$15),0),0)</f>
        <v>0</v>
      </c>
      <c r="AD47" s="545">
        <f ca="1">IF(AND($D47="Serviço",AD$12&lt;&gt;0,$H47&gt;0,OR(AUTOEVENTO&lt;&gt;"manual",$M47&lt;&gt;1)),ROUND(OFFSET($P47,0,AD$13),15-13*ORÇAMENTO!$AF$7)/$H47*OFFSET(ORÇAMENTO!$X$15,ROW(AD47)-ROW(AD$15),0),0)</f>
        <v>0</v>
      </c>
      <c r="AE47" s="545">
        <f ca="1">IF(AND($D47="Serviço",AE$12&lt;&gt;0,$H47&gt;0,OR(AUTOEVENTO&lt;&gt;"manual",$M47&lt;&gt;1)),ROUND(OFFSET($P47,0,AE$13),15-13*ORÇAMENTO!$AF$7)/$H47*OFFSET(ORÇAMENTO!$X$15,ROW(AE47)-ROW(AE$15),0),0)</f>
        <v>0</v>
      </c>
      <c r="AF47" s="545">
        <f ca="1">IF(AND($D47="Serviço",AF$12&lt;&gt;0,$H47&gt;0,OR(AUTOEVENTO&lt;&gt;"manual",$M47&lt;&gt;1)),ROUND(OFFSET($P47,0,AF$13),15-13*ORÇAMENTO!$AF$7)/$H47*OFFSET(ORÇAMENTO!$X$15,ROW(AF47)-ROW(AF$15),0),0)</f>
        <v>0</v>
      </c>
      <c r="AG47" s="545">
        <f ca="1">IF(AND($D47="Serviço",AG$12&lt;&gt;0,$H47&gt;0,OR(AUTOEVENTO&lt;&gt;"manual",$M47&lt;&gt;1)),ROUND(OFFSET($P47,0,AG$13),15-13*ORÇAMENTO!$AF$7)/$H47*OFFSET(ORÇAMENTO!$X$15,ROW(AG47)-ROW(AG$15),0),0)</f>
        <v>0</v>
      </c>
      <c r="AH47" s="545">
        <f ca="1">IF(AND($D47="Serviço",AH$12&lt;&gt;0,$H47&gt;0,OR(AUTOEVENTO&lt;&gt;"manual",$M47&lt;&gt;1)),ROUND(OFFSET($P47,0,AH$13),15-13*ORÇAMENTO!$AF$7)/$H47*OFFSET(ORÇAMENTO!$X$15,ROW(AH47)-ROW(AH$15),0),0)</f>
        <v>0</v>
      </c>
      <c r="AI47" s="545">
        <f ca="1">IF(AND($D47="Serviço",AI$12&lt;&gt;0,$H47&gt;0,OR(AUTOEVENTO&lt;&gt;"manual",$M47&lt;&gt;1)),ROUND(OFFSET($P47,0,AI$13),15-13*ORÇAMENTO!$AF$7)/$H47*OFFSET(ORÇAMENTO!$X$15,ROW(AI47)-ROW(AI$15),0),0)</f>
        <v>0</v>
      </c>
      <c r="AJ47" s="545">
        <f ca="1">IF(AND($D47="Serviço",AJ$12&lt;&gt;0,$H47&gt;0,OR(AUTOEVENTO&lt;&gt;"manual",$M47&lt;&gt;1)),ROUND(OFFSET($P47,0,AJ$13),15-13*ORÇAMENTO!$AF$7)/$H47*OFFSET(ORÇAMENTO!$X$15,ROW(AJ47)-ROW(AJ$15),0),0)</f>
        <v>0</v>
      </c>
      <c r="AK47" s="546">
        <f ca="1">IF(AND($D47="Serviço",AK$12&lt;&gt;0,$H47&gt;0,OR(AUTOEVENTO&lt;&gt;"manual",$M47&lt;&gt;1)),ROUND(OFFSET($P47,0,AK$13),15-13*ORÇAMENTO!$AF$7)/$H47*OFFSET(ORÇAMENTO!$X$15,ROW(AK47)-ROW(AK$15),0),0)</f>
        <v>0</v>
      </c>
      <c r="AM47" s="180">
        <f ca="1">IF($D47&lt;&gt;"Serviço",0,IF(AND(AUTOEVENTO="Manual",$M47=1),0,IF(OFFSET(CRONOPLE!$F$14,$M47,AM$13)="",10^12,OFFSET(CRONOPLE!$F$14,$M47,AM$13))))</f>
        <v>1000000000000</v>
      </c>
      <c r="AN47" s="180">
        <f ca="1">IF($D47&lt;&gt;"Serviço",0,IF(AND(AUTOEVENTO="Manual",$M47=1),0,IF(OFFSET(CRONOPLE!$F$14,$M47,AN$13)="",10^12,OFFSET(CRONOPLE!$F$14,$M47,AN$13))))</f>
        <v>4</v>
      </c>
      <c r="AO47" s="180">
        <f ca="1">IF($D47&lt;&gt;"Serviço",0,IF(AND(AUTOEVENTO="Manual",$M47=1),0,IF(OFFSET(CRONOPLE!$F$14,$M47,AO$13)="",10^12,OFFSET(CRONOPLE!$F$14,$M47,AO$13))))</f>
        <v>4</v>
      </c>
      <c r="AP47" s="180">
        <f ca="1">IF($D47&lt;&gt;"Serviço",0,IF(AND(AUTOEVENTO="Manual",$M47=1),0,IF(OFFSET(CRONOPLE!$F$14,$M47,AP$13)="",10^12,OFFSET(CRONOPLE!$F$14,$M47,AP$13))))</f>
        <v>1000000000000</v>
      </c>
      <c r="AQ47" s="180">
        <f ca="1">IF($D47&lt;&gt;"Serviço",0,IF(AND(AUTOEVENTO="Manual",$M47=1),0,IF(OFFSET(CRONOPLE!$F$14,$M47,AQ$13)="",10^12,OFFSET(CRONOPLE!$F$14,$M47,AQ$13))))</f>
        <v>1000000000000</v>
      </c>
      <c r="AR47" s="180">
        <f ca="1">IF($D47&lt;&gt;"Serviço",0,IF(AND(AUTOEVENTO="Manual",$M47=1),0,IF(OFFSET(CRONOPLE!$F$14,$M47,AR$13)="",10^12,OFFSET(CRONOPLE!$F$14,$M47,AR$13))))</f>
        <v>1000000000000</v>
      </c>
      <c r="AS47" s="180">
        <f ca="1">IF($D47&lt;&gt;"Serviço",0,IF(AND(AUTOEVENTO="Manual",$M47=1),0,IF(OFFSET(CRONOPLE!$F$14,$M47,AS$13)="",10^12,OFFSET(CRONOPLE!$F$14,$M47,AS$13))))</f>
        <v>1000000000000</v>
      </c>
      <c r="AT47" s="180">
        <f ca="1">IF($D47&lt;&gt;"Serviço",0,IF(AND(AUTOEVENTO="Manual",$M47=1),0,IF(OFFSET(CRONOPLE!$F$14,$M47,AT$13)="",10^12,OFFSET(CRONOPLE!$F$14,$M47,AT$13))))</f>
        <v>1000000000000</v>
      </c>
      <c r="AU47" s="180">
        <f ca="1">IF($D47&lt;&gt;"Serviço",0,IF(AND(AUTOEVENTO="Manual",$M47=1),0,IF(OFFSET(CRONOPLE!$F$14,$M47,AU$13)="",10^12,OFFSET(CRONOPLE!$F$14,$M47,AU$13))))</f>
        <v>1000000000000</v>
      </c>
      <c r="AV47" s="180">
        <f ca="1">IF($D47&lt;&gt;"Serviço",0,IF(AND(AUTOEVENTO="Manual",$M47=1),0,IF(OFFSET(CRONOPLE!$F$14,$M47,AV$13)="",10^12,OFFSET(CRONOPLE!$F$14,$M47,AV$13))))</f>
        <v>1000000000000</v>
      </c>
      <c r="AX47" s="181">
        <f ca="1">IF($D47&lt;&gt;"Serviço",0,IF(OR(AND(AUTOEVENTO="Manual",$M47=1),$M47&gt;(ROW(PLE.lastrow)-ROW(PLE.firstrow))),0,IF(OFFSET(PLE!$G$14,$M47,AX$13)="",10^12,OFFSET(PLE!$G$14,$M47,AX$13))))</f>
        <v>1000000000000</v>
      </c>
      <c r="AY47" s="181">
        <f ca="1">IF($D47&lt;&gt;"Serviço",0,IF(OR(AND(AUTOEVENTO="Manual",$M47=1),$M47&gt;(ROW(PLE.lastrow)-ROW(PLE.firstrow))),0,IF(OFFSET(PLE!$G$14,$M47,AY$13)="",10^12,OFFSET(PLE!$G$14,$M47,AY$13))))</f>
        <v>1000000000000</v>
      </c>
      <c r="AZ47" s="181">
        <f ca="1">IF($D47&lt;&gt;"Serviço",0,IF(OR(AND(AUTOEVENTO="Manual",$M47=1),$M47&gt;(ROW(PLE.lastrow)-ROW(PLE.firstrow))),0,IF(OFFSET(PLE!$G$14,$M47,AZ$13)="",10^12,OFFSET(PLE!$G$14,$M47,AZ$13))))</f>
        <v>1000000000000</v>
      </c>
      <c r="BA47" s="181">
        <f ca="1">IF($D47&lt;&gt;"Serviço",0,IF(OR(AND(AUTOEVENTO="Manual",$M47=1),$M47&gt;(ROW(PLE.lastrow)-ROW(PLE.firstrow))),0,IF(OFFSET(PLE!$G$14,$M47,BA$13)="",10^12,OFFSET(PLE!$G$14,$M47,BA$13))))</f>
        <v>1000000000000</v>
      </c>
      <c r="BB47" s="181">
        <f ca="1">IF($D47&lt;&gt;"Serviço",0,IF(OR(AND(AUTOEVENTO="Manual",$M47=1),$M47&gt;(ROW(PLE.lastrow)-ROW(PLE.firstrow))),0,IF(OFFSET(PLE!$G$14,$M47,BB$13)="",10^12,OFFSET(PLE!$G$14,$M47,BB$13))))</f>
        <v>1000000000000</v>
      </c>
      <c r="BC47" s="181">
        <f ca="1">IF($D47&lt;&gt;"Serviço",0,IF(OR(AND(AUTOEVENTO="Manual",$M47=1),$M47&gt;(ROW(PLE.lastrow)-ROW(PLE.firstrow))),0,IF(OFFSET(PLE!$G$14,$M47,BC$13)="",10^12,OFFSET(PLE!$G$14,$M47,BC$13))))</f>
        <v>1000000000000</v>
      </c>
      <c r="BD47" s="181">
        <f ca="1">IF($D47&lt;&gt;"Serviço",0,IF(OR(AND(AUTOEVENTO="Manual",$M47=1),$M47&gt;(ROW(PLE.lastrow)-ROW(PLE.firstrow))),0,IF(OFFSET(PLE!$G$14,$M47,BD$13)="",10^12,OFFSET(PLE!$G$14,$M47,BD$13))))</f>
        <v>1000000000000</v>
      </c>
      <c r="BE47" s="181">
        <f ca="1">IF($D47&lt;&gt;"Serviço",0,IF(OR(AND(AUTOEVENTO="Manual",$M47=1),$M47&gt;(ROW(PLE.lastrow)-ROW(PLE.firstrow))),0,IF(OFFSET(PLE!$G$14,$M47,BE$13)="",10^12,OFFSET(PLE!$G$14,$M47,BE$13))))</f>
        <v>1000000000000</v>
      </c>
      <c r="BF47" s="181">
        <f ca="1">IF($D47&lt;&gt;"Serviço",0,IF(OR(AND(AUTOEVENTO="Manual",$M47=1),$M47&gt;(ROW(PLE.lastrow)-ROW(PLE.firstrow))),0,IF(OFFSET(PLE!$G$14,$M47,BF$13)="",10^12,OFFSET(PLE!$G$14,$M47,BF$13))))</f>
        <v>1000000000000</v>
      </c>
      <c r="BG47" s="181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s="583" customFormat="1" ht="25.5" x14ac:dyDescent="0.2">
      <c r="A48" s="7">
        <f t="shared" ca="1" si="10"/>
        <v>6</v>
      </c>
      <c r="B48" s="7" t="str">
        <f ca="1">OFFSET(ORÇAMENTO!C$15,ROW(B48)-ROW(B$15),0)</f>
        <v>S</v>
      </c>
      <c r="C48" s="7" t="str">
        <f ca="1">OFFSET(ORÇAMENTO!L$15,ROW(C48)-ROW(C$15),0)</f>
        <v/>
      </c>
      <c r="D48" s="118" t="str">
        <f ca="1">OFFSET(ORÇAMENTO!N$15,ROW(D48)-ROW(D$15),0)</f>
        <v>Serviço</v>
      </c>
      <c r="E48" s="119" t="str">
        <f ca="1">OFFSET(ORÇAMENTO!O$15,ROW(E48)-ROW(E$15),0)</f>
        <v>-</v>
      </c>
      <c r="F48" s="171" t="str">
        <f ca="1">OFFSET(ORÇAMENTO!R$15,ROW(F48)-ROW(F$15),0)</f>
        <v>(abra o arquivo 'Referência 04-2024.xls)</v>
      </c>
      <c r="G48" s="172" t="str">
        <f ca="1">IF($D48&lt;&gt;"Serviço","",OFFSET(ORÇAMENTO!S$15,ROW(G48)-ROW(G$15),0))</f>
        <v>-</v>
      </c>
      <c r="H48" s="124">
        <f ca="1">IF($D48&lt;&gt;"Serviço",0,IF(ACOMPANHAMENTO="BM",ROUND(OFFSET(ORÇAMENTO!AJ$15,ROW(H48)-ROW(H$15),0),15-13*ORÇAMENTO!$AF$7),SUMPRODUCT(($Q$12:$AA$12&lt;&gt;"")*ROUND($Q48:$AA48,15-13*ORÇAMENTO!$AF$7))))</f>
        <v>2</v>
      </c>
      <c r="I48" s="561" t="s">
        <v>465</v>
      </c>
      <c r="K48" s="173" t="s">
        <v>508</v>
      </c>
      <c r="L48" s="174" t="s">
        <v>257</v>
      </c>
      <c r="M48" s="175">
        <f ca="1">IF($D48&lt;&gt;"Serviço","",IF(AUTOEVENTO="manual",$A48,IF(ISERROR(MATCH($A48,$A$15:OFFSET($A48,-1,0),0)),MAX($M$15:OFFSET(M48,-1,0))+1,INDEX($M$15:OFFSET(M48,-1,0),MATCH($A48,$A$15:OFFSET($A48,-1,0),0)))))</f>
        <v>6</v>
      </c>
      <c r="N48" s="176" t="str">
        <f ca="1">IF($D48&lt;&gt;"Serviço","",IF(AUTOEVENTO="Manual",IF($A48=0,"&lt;-- defina o número do agrupador",OFFSET(EVENTOS!$D$14,$A48,0)),OFFSET($F$15,$A48,0)))</f>
        <v xml:space="preserve">Sinalização Vertical </v>
      </c>
      <c r="O48" s="177"/>
      <c r="Q48" s="177"/>
      <c r="R48" s="178"/>
      <c r="S48" s="178">
        <v>2</v>
      </c>
      <c r="T48" s="178"/>
      <c r="U48" s="178"/>
      <c r="V48" s="178"/>
      <c r="W48" s="178"/>
      <c r="X48" s="178"/>
      <c r="Y48" s="178"/>
      <c r="Z48" s="179"/>
      <c r="AB48" s="544">
        <f ca="1">IF(AND($D48="Serviço",AB$12&lt;&gt;0,$H48&gt;0,OR(AUTOEVENTO&lt;&gt;"manual",$M48&lt;&gt;1)),ROUND(OFFSET($P48,0,AB$13),15-13*ORÇAMENTO!$AF$7)/$H48*OFFSET(ORÇAMENTO!$X$15,ROW(AB48)-ROW(AB$15),0),0)</f>
        <v>0</v>
      </c>
      <c r="AC48" s="545">
        <f ca="1">IF(AND($D48="Serviço",AC$12&lt;&gt;0,$H48&gt;0,OR(AUTOEVENTO&lt;&gt;"manual",$M48&lt;&gt;1)),ROUND(OFFSET($P48,0,AC$13),15-13*ORÇAMENTO!$AF$7)/$H48*OFFSET(ORÇAMENTO!$X$15,ROW(AC48)-ROW(AC$15),0),0)</f>
        <v>0</v>
      </c>
      <c r="AD48" s="545">
        <f ca="1">IF(AND($D48="Serviço",AD$12&lt;&gt;0,$H48&gt;0,OR(AUTOEVENTO&lt;&gt;"manual",$M48&lt;&gt;1)),ROUND(OFFSET($P48,0,AD$13),15-13*ORÇAMENTO!$AF$7)/$H48*OFFSET(ORÇAMENTO!$X$15,ROW(AD48)-ROW(AD$15),0),0)</f>
        <v>0</v>
      </c>
      <c r="AE48" s="545">
        <f ca="1">IF(AND($D48="Serviço",AE$12&lt;&gt;0,$H48&gt;0,OR(AUTOEVENTO&lt;&gt;"manual",$M48&lt;&gt;1)),ROUND(OFFSET($P48,0,AE$13),15-13*ORÇAMENTO!$AF$7)/$H48*OFFSET(ORÇAMENTO!$X$15,ROW(AE48)-ROW(AE$15),0),0)</f>
        <v>0</v>
      </c>
      <c r="AF48" s="545">
        <f ca="1">IF(AND($D48="Serviço",AF$12&lt;&gt;0,$H48&gt;0,OR(AUTOEVENTO&lt;&gt;"manual",$M48&lt;&gt;1)),ROUND(OFFSET($P48,0,AF$13),15-13*ORÇAMENTO!$AF$7)/$H48*OFFSET(ORÇAMENTO!$X$15,ROW(AF48)-ROW(AF$15),0),0)</f>
        <v>0</v>
      </c>
      <c r="AG48" s="545">
        <f ca="1">IF(AND($D48="Serviço",AG$12&lt;&gt;0,$H48&gt;0,OR(AUTOEVENTO&lt;&gt;"manual",$M48&lt;&gt;1)),ROUND(OFFSET($P48,0,AG$13),15-13*ORÇAMENTO!$AF$7)/$H48*OFFSET(ORÇAMENTO!$X$15,ROW(AG48)-ROW(AG$15),0),0)</f>
        <v>0</v>
      </c>
      <c r="AH48" s="545">
        <f ca="1">IF(AND($D48="Serviço",AH$12&lt;&gt;0,$H48&gt;0,OR(AUTOEVENTO&lt;&gt;"manual",$M48&lt;&gt;1)),ROUND(OFFSET($P48,0,AH$13),15-13*ORÇAMENTO!$AF$7)/$H48*OFFSET(ORÇAMENTO!$X$15,ROW(AH48)-ROW(AH$15),0),0)</f>
        <v>0</v>
      </c>
      <c r="AI48" s="545">
        <f ca="1">IF(AND($D48="Serviço",AI$12&lt;&gt;0,$H48&gt;0,OR(AUTOEVENTO&lt;&gt;"manual",$M48&lt;&gt;1)),ROUND(OFFSET($P48,0,AI$13),15-13*ORÇAMENTO!$AF$7)/$H48*OFFSET(ORÇAMENTO!$X$15,ROW(AI48)-ROW(AI$15),0),0)</f>
        <v>0</v>
      </c>
      <c r="AJ48" s="545">
        <f ca="1">IF(AND($D48="Serviço",AJ$12&lt;&gt;0,$H48&gt;0,OR(AUTOEVENTO&lt;&gt;"manual",$M48&lt;&gt;1)),ROUND(OFFSET($P48,0,AJ$13),15-13*ORÇAMENTO!$AF$7)/$H48*OFFSET(ORÇAMENTO!$X$15,ROW(AJ48)-ROW(AJ$15),0),0)</f>
        <v>0</v>
      </c>
      <c r="AK48" s="546">
        <f ca="1">IF(AND($D48="Serviço",AK$12&lt;&gt;0,$H48&gt;0,OR(AUTOEVENTO&lt;&gt;"manual",$M48&lt;&gt;1)),ROUND(OFFSET($P48,0,AK$13),15-13*ORÇAMENTO!$AF$7)/$H48*OFFSET(ORÇAMENTO!$X$15,ROW(AK48)-ROW(AK$15),0),0)</f>
        <v>0</v>
      </c>
      <c r="AM48" s="180">
        <f ca="1">IF($D48&lt;&gt;"Serviço",0,IF(AND(AUTOEVENTO="Manual",$M48=1),0,IF(OFFSET(CRONOPLE!$F$14,$M48,AM$13)="",10^12,OFFSET(CRONOPLE!$F$14,$M48,AM$13))))</f>
        <v>1000000000000</v>
      </c>
      <c r="AN48" s="180">
        <f ca="1">IF($D48&lt;&gt;"Serviço",0,IF(AND(AUTOEVENTO="Manual",$M48=1),0,IF(OFFSET(CRONOPLE!$F$14,$M48,AN$13)="",10^12,OFFSET(CRONOPLE!$F$14,$M48,AN$13))))</f>
        <v>4</v>
      </c>
      <c r="AO48" s="180">
        <f ca="1">IF($D48&lt;&gt;"Serviço",0,IF(AND(AUTOEVENTO="Manual",$M48=1),0,IF(OFFSET(CRONOPLE!$F$14,$M48,AO$13)="",10^12,OFFSET(CRONOPLE!$F$14,$M48,AO$13))))</f>
        <v>4</v>
      </c>
      <c r="AP48" s="180">
        <f ca="1">IF($D48&lt;&gt;"Serviço",0,IF(AND(AUTOEVENTO="Manual",$M48=1),0,IF(OFFSET(CRONOPLE!$F$14,$M48,AP$13)="",10^12,OFFSET(CRONOPLE!$F$14,$M48,AP$13))))</f>
        <v>1000000000000</v>
      </c>
      <c r="AQ48" s="180">
        <f ca="1">IF($D48&lt;&gt;"Serviço",0,IF(AND(AUTOEVENTO="Manual",$M48=1),0,IF(OFFSET(CRONOPLE!$F$14,$M48,AQ$13)="",10^12,OFFSET(CRONOPLE!$F$14,$M48,AQ$13))))</f>
        <v>1000000000000</v>
      </c>
      <c r="AR48" s="180">
        <f ca="1">IF($D48&lt;&gt;"Serviço",0,IF(AND(AUTOEVENTO="Manual",$M48=1),0,IF(OFFSET(CRONOPLE!$F$14,$M48,AR$13)="",10^12,OFFSET(CRONOPLE!$F$14,$M48,AR$13))))</f>
        <v>1000000000000</v>
      </c>
      <c r="AS48" s="180">
        <f ca="1">IF($D48&lt;&gt;"Serviço",0,IF(AND(AUTOEVENTO="Manual",$M48=1),0,IF(OFFSET(CRONOPLE!$F$14,$M48,AS$13)="",10^12,OFFSET(CRONOPLE!$F$14,$M48,AS$13))))</f>
        <v>1000000000000</v>
      </c>
      <c r="AT48" s="180">
        <f ca="1">IF($D48&lt;&gt;"Serviço",0,IF(AND(AUTOEVENTO="Manual",$M48=1),0,IF(OFFSET(CRONOPLE!$F$14,$M48,AT$13)="",10^12,OFFSET(CRONOPLE!$F$14,$M48,AT$13))))</f>
        <v>1000000000000</v>
      </c>
      <c r="AU48" s="180">
        <f ca="1">IF($D48&lt;&gt;"Serviço",0,IF(AND(AUTOEVENTO="Manual",$M48=1),0,IF(OFFSET(CRONOPLE!$F$14,$M48,AU$13)="",10^12,OFFSET(CRONOPLE!$F$14,$M48,AU$13))))</f>
        <v>1000000000000</v>
      </c>
      <c r="AV48" s="180">
        <f ca="1">IF($D48&lt;&gt;"Serviço",0,IF(AND(AUTOEVENTO="Manual",$M48=1),0,IF(OFFSET(CRONOPLE!$F$14,$M48,AV$13)="",10^12,OFFSET(CRONOPLE!$F$14,$M48,AV$13))))</f>
        <v>1000000000000</v>
      </c>
      <c r="AX48" s="181">
        <f ca="1">IF($D48&lt;&gt;"Serviço",0,IF(OR(AND(AUTOEVENTO="Manual",$M48=1),$M48&gt;(ROW(PLE.lastrow)-ROW(PLE.firstrow))),0,IF(OFFSET(PLE!$G$14,$M48,AX$13)="",10^12,OFFSET(PLE!$G$14,$M48,AX$13))))</f>
        <v>1000000000000</v>
      </c>
      <c r="AY48" s="181">
        <f ca="1">IF($D48&lt;&gt;"Serviço",0,IF(OR(AND(AUTOEVENTO="Manual",$M48=1),$M48&gt;(ROW(PLE.lastrow)-ROW(PLE.firstrow))),0,IF(OFFSET(PLE!$G$14,$M48,AY$13)="",10^12,OFFSET(PLE!$G$14,$M48,AY$13))))</f>
        <v>1000000000000</v>
      </c>
      <c r="AZ48" s="181">
        <f ca="1">IF($D48&lt;&gt;"Serviço",0,IF(OR(AND(AUTOEVENTO="Manual",$M48=1),$M48&gt;(ROW(PLE.lastrow)-ROW(PLE.firstrow))),0,IF(OFFSET(PLE!$G$14,$M48,AZ$13)="",10^12,OFFSET(PLE!$G$14,$M48,AZ$13))))</f>
        <v>1000000000000</v>
      </c>
      <c r="BA48" s="181">
        <f ca="1">IF($D48&lt;&gt;"Serviço",0,IF(OR(AND(AUTOEVENTO="Manual",$M48=1),$M48&gt;(ROW(PLE.lastrow)-ROW(PLE.firstrow))),0,IF(OFFSET(PLE!$G$14,$M48,BA$13)="",10^12,OFFSET(PLE!$G$14,$M48,BA$13))))</f>
        <v>1000000000000</v>
      </c>
      <c r="BB48" s="181">
        <f ca="1">IF($D48&lt;&gt;"Serviço",0,IF(OR(AND(AUTOEVENTO="Manual",$M48=1),$M48&gt;(ROW(PLE.lastrow)-ROW(PLE.firstrow))),0,IF(OFFSET(PLE!$G$14,$M48,BB$13)="",10^12,OFFSET(PLE!$G$14,$M48,BB$13))))</f>
        <v>1000000000000</v>
      </c>
      <c r="BC48" s="181">
        <f ca="1">IF($D48&lt;&gt;"Serviço",0,IF(OR(AND(AUTOEVENTO="Manual",$M48=1),$M48&gt;(ROW(PLE.lastrow)-ROW(PLE.firstrow))),0,IF(OFFSET(PLE!$G$14,$M48,BC$13)="",10^12,OFFSET(PLE!$G$14,$M48,BC$13))))</f>
        <v>1000000000000</v>
      </c>
      <c r="BD48" s="181">
        <f ca="1">IF($D48&lt;&gt;"Serviço",0,IF(OR(AND(AUTOEVENTO="Manual",$M48=1),$M48&gt;(ROW(PLE.lastrow)-ROW(PLE.firstrow))),0,IF(OFFSET(PLE!$G$14,$M48,BD$13)="",10^12,OFFSET(PLE!$G$14,$M48,BD$13))))</f>
        <v>1000000000000</v>
      </c>
      <c r="BE48" s="181">
        <f ca="1">IF($D48&lt;&gt;"Serviço",0,IF(OR(AND(AUTOEVENTO="Manual",$M48=1),$M48&gt;(ROW(PLE.lastrow)-ROW(PLE.firstrow))),0,IF(OFFSET(PLE!$G$14,$M48,BE$13)="",10^12,OFFSET(PLE!$G$14,$M48,BE$13))))</f>
        <v>1000000000000</v>
      </c>
      <c r="BF48" s="181">
        <f ca="1">IF($D48&lt;&gt;"Serviço",0,IF(OR(AND(AUTOEVENTO="Manual",$M48=1),$M48&gt;(ROW(PLE.lastrow)-ROW(PLE.firstrow))),0,IF(OFFSET(PLE!$G$14,$M48,BF$13)="",10^12,OFFSET(PLE!$G$14,$M48,BF$13))))</f>
        <v>1000000000000</v>
      </c>
      <c r="BG48" s="181">
        <f ca="1">IF($D48&lt;&gt;"Serviço",0,IF(OR(AND(AUTOEVENTO="Manual",$M48=1),$M48&gt;(ROW(PLE.lastrow)-ROW(PLE.firstrow))),0,IF(OFFSET(PLE!$G$14,$M48,BG$13)="",10^12,OFFSET(PLE!$G$14,$M48,BG$13))))</f>
        <v>1000000000000</v>
      </c>
    </row>
    <row r="49" spans="2:59" ht="5.0999999999999996" customHeight="1" x14ac:dyDescent="0.2">
      <c r="B49" s="7">
        <f ca="1">OFFSET(ORÇAMENTO!C$15,ROW(B49)-ROW(B$15),0)</f>
        <v>-1</v>
      </c>
      <c r="C49" s="7" t="str">
        <f ca="1">OFFSET(ORÇAMENTO!L$15,ROW(C49)-ROW(C$15),0)</f>
        <v>F</v>
      </c>
      <c r="D49" s="483" t="s">
        <v>196</v>
      </c>
      <c r="E49" s="484"/>
      <c r="F49" s="485"/>
      <c r="G49" s="485"/>
      <c r="H49" s="485"/>
      <c r="I49" s="486"/>
      <c r="K49" s="488"/>
      <c r="L49" s="174" t="s">
        <v>257</v>
      </c>
      <c r="M49" s="489"/>
      <c r="N49" s="487"/>
      <c r="O49" s="482"/>
      <c r="Q49" s="484"/>
      <c r="R49" s="485"/>
      <c r="S49" s="485"/>
      <c r="T49" s="485"/>
      <c r="U49" s="485"/>
      <c r="V49" s="485"/>
      <c r="W49" s="485"/>
      <c r="X49" s="485"/>
      <c r="Y49" s="485"/>
      <c r="Z49" s="486"/>
      <c r="AB49" s="138"/>
      <c r="AC49" s="191"/>
      <c r="AD49" s="191"/>
      <c r="AE49" s="191"/>
      <c r="AF49" s="191"/>
      <c r="AG49" s="191"/>
      <c r="AH49" s="191"/>
      <c r="AI49" s="191"/>
      <c r="AJ49" s="191"/>
      <c r="AK49" s="139"/>
      <c r="AM49" s="138"/>
      <c r="AN49" s="191"/>
      <c r="AO49" s="191"/>
      <c r="AP49" s="191"/>
      <c r="AQ49" s="191"/>
      <c r="AR49" s="191"/>
      <c r="AS49" s="191"/>
      <c r="AT49" s="191"/>
      <c r="AU49" s="191"/>
      <c r="AV49" s="139"/>
      <c r="AX49" s="138"/>
      <c r="AY49" s="191"/>
      <c r="AZ49" s="191"/>
      <c r="BA49" s="191"/>
      <c r="BB49" s="191"/>
      <c r="BC49" s="191"/>
      <c r="BD49" s="191"/>
      <c r="BE49" s="191"/>
      <c r="BF49" s="191"/>
      <c r="BG49" s="139"/>
    </row>
    <row r="50" spans="2:59" ht="12.75" customHeight="1" x14ac:dyDescent="0.2"/>
    <row r="51" spans="2:59" ht="12.75" customHeight="1" x14ac:dyDescent="0.2"/>
    <row r="52" spans="2:59" ht="12.75" customHeight="1" x14ac:dyDescent="0.2"/>
    <row r="53" spans="2:59" ht="15" customHeight="1" x14ac:dyDescent="0.2">
      <c r="F53" s="192" t="str">
        <f>Import.Município</f>
        <v>Caçapava do Sul/RS</v>
      </c>
      <c r="I53" s="553"/>
      <c r="J53" s="553"/>
      <c r="K53" s="553"/>
      <c r="L53" s="553"/>
      <c r="M53" s="554"/>
      <c r="N53" s="479"/>
      <c r="T53" s="145"/>
      <c r="U53" s="145"/>
      <c r="V53" s="193"/>
      <c r="W53" s="193"/>
      <c r="X53" s="193"/>
      <c r="Y53" s="193"/>
    </row>
    <row r="54" spans="2:59" ht="12.75" customHeight="1" x14ac:dyDescent="0.2">
      <c r="F54" s="10" t="s">
        <v>190</v>
      </c>
      <c r="I54" s="194" t="s">
        <v>192</v>
      </c>
      <c r="J54" s="194"/>
      <c r="K54" s="194"/>
      <c r="L54" s="194"/>
      <c r="T54" s="194" t="s">
        <v>192</v>
      </c>
      <c r="U54" s="194"/>
    </row>
    <row r="55" spans="2:59" ht="12.75" customHeight="1" x14ac:dyDescent="0.2">
      <c r="I55" s="447" t="str">
        <f t="array" aca="1" ref="I55:I57" ca="1">OFFSET(Import.RespOrçamento,0,-1) &amp; " " &amp; Import.RespOrçamento</f>
        <v>Nome: Schaiane da Silva Lopes</v>
      </c>
      <c r="K55" s="80"/>
      <c r="L55" s="80"/>
      <c r="T55" s="447" t="str">
        <f t="array" aca="1" ref="T55:T57" ca="1">OFFSET(Import.RespOrçamento,0,-1) &amp; " " &amp; Import.RespOrçamento</f>
        <v>Nome: Schaiane da Silva Lopes</v>
      </c>
      <c r="U55" s="79"/>
    </row>
    <row r="56" spans="2:59" ht="12.75" customHeight="1" x14ac:dyDescent="0.2">
      <c r="F56" s="552">
        <f ca="1">DADOS!$F$25</f>
        <v>45518</v>
      </c>
      <c r="I56" s="447" t="str">
        <f ca="1"/>
        <v>CREA/CAU: RS142294-4</v>
      </c>
      <c r="K56" s="80"/>
      <c r="L56" s="80"/>
      <c r="T56" s="447" t="str">
        <f ca="1"/>
        <v>CREA/CAU: RS142294-4</v>
      </c>
      <c r="U56" s="79"/>
    </row>
    <row r="57" spans="2:59" ht="12.75" customHeight="1" x14ac:dyDescent="0.2">
      <c r="F57" s="146" t="s">
        <v>191</v>
      </c>
      <c r="I57" s="447" t="str">
        <f ca="1"/>
        <v>ART/RRT: 12377498</v>
      </c>
      <c r="K57" s="80"/>
      <c r="L57" s="80"/>
      <c r="T57" s="447" t="str">
        <f ca="1"/>
        <v>ART/RRT: 12377498</v>
      </c>
      <c r="U57" s="79"/>
    </row>
    <row r="58" spans="2:59" ht="12.75" customHeight="1" x14ac:dyDescent="0.2">
      <c r="C58"/>
      <c r="M58"/>
    </row>
    <row r="59" spans="2:59" ht="12.75" customHeight="1" x14ac:dyDescent="0.2">
      <c r="C59"/>
      <c r="M59"/>
    </row>
    <row r="60" spans="2:59" ht="12.75" customHeight="1" x14ac:dyDescent="0.2">
      <c r="C60"/>
      <c r="M60"/>
    </row>
    <row r="61" spans="2:59" ht="12.75" customHeight="1" x14ac:dyDescent="0.2">
      <c r="C61"/>
      <c r="M61"/>
    </row>
    <row r="62" spans="2:59" ht="12.75" customHeight="1" x14ac:dyDescent="0.2">
      <c r="C62"/>
      <c r="M62"/>
    </row>
    <row r="63" spans="2:59" ht="12.75" customHeight="1" x14ac:dyDescent="0.2">
      <c r="C63"/>
      <c r="M63"/>
    </row>
    <row r="64" spans="2:59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300" spans="3:13" ht="12.75" customHeight="1" x14ac:dyDescent="0.2">
      <c r="C4300"/>
      <c r="M4300"/>
    </row>
    <row r="4301" spans="3:13" ht="12.75" customHeight="1" x14ac:dyDescent="0.2">
      <c r="C4301"/>
      <c r="M4301"/>
    </row>
    <row r="4302" spans="3:13" ht="12.75" customHeight="1" x14ac:dyDescent="0.2">
      <c r="C4302"/>
      <c r="M4302"/>
    </row>
    <row r="4303" spans="3:13" ht="12.75" customHeight="1" x14ac:dyDescent="0.2">
      <c r="C4303"/>
      <c r="M4303"/>
    </row>
    <row r="60961" spans="3:13" ht="12.75" customHeight="1" x14ac:dyDescent="0.2">
      <c r="C60961"/>
      <c r="M60961"/>
    </row>
    <row r="60977" spans="3:13" ht="12.75" customHeight="1" x14ac:dyDescent="0.2">
      <c r="C60977"/>
      <c r="M60977"/>
    </row>
    <row r="60993" spans="3:13" ht="12.75" customHeight="1" x14ac:dyDescent="0.2">
      <c r="C60993"/>
      <c r="M60993"/>
    </row>
    <row r="61009" spans="3:13" ht="12.75" customHeight="1" x14ac:dyDescent="0.2">
      <c r="C61009"/>
      <c r="M61009"/>
    </row>
    <row r="61022" spans="3:13" ht="12.75" customHeight="1" x14ac:dyDescent="0.2">
      <c r="C61022"/>
      <c r="M61022"/>
    </row>
    <row r="61023" spans="3:13" ht="12.75" customHeight="1" x14ac:dyDescent="0.2">
      <c r="C61023"/>
      <c r="M61023"/>
    </row>
    <row r="61025" spans="3:13" ht="12.75" customHeight="1" x14ac:dyDescent="0.2">
      <c r="C61025"/>
      <c r="M61025"/>
    </row>
    <row r="61036" spans="3:13" ht="12.75" customHeight="1" x14ac:dyDescent="0.2">
      <c r="C61036"/>
      <c r="M61036"/>
    </row>
    <row r="61037" spans="3:13" ht="12.75" customHeight="1" x14ac:dyDescent="0.2">
      <c r="C61037"/>
      <c r="M61037"/>
    </row>
    <row r="61038" spans="3:13" ht="12.75" customHeight="1" x14ac:dyDescent="0.2">
      <c r="C61038"/>
      <c r="M61038"/>
    </row>
    <row r="61039" spans="3:13" ht="12.75" customHeight="1" x14ac:dyDescent="0.2">
      <c r="C61039"/>
      <c r="M61039"/>
    </row>
    <row r="61041" spans="3:13" ht="12.75" customHeight="1" x14ac:dyDescent="0.2">
      <c r="C61041"/>
      <c r="M61041"/>
    </row>
    <row r="61052" spans="3:13" ht="12.75" customHeight="1" x14ac:dyDescent="0.2">
      <c r="C61052"/>
      <c r="M61052"/>
    </row>
    <row r="61053" spans="3:13" ht="12.75" customHeight="1" x14ac:dyDescent="0.2">
      <c r="C61053"/>
      <c r="M61053"/>
    </row>
    <row r="61054" spans="3:13" ht="12.75" customHeight="1" x14ac:dyDescent="0.2">
      <c r="C61054"/>
      <c r="M61054"/>
    </row>
    <row r="61055" spans="3:13" ht="12.75" customHeight="1" x14ac:dyDescent="0.2">
      <c r="C61055"/>
      <c r="M61055"/>
    </row>
    <row r="61057" spans="3:13" ht="12.75" customHeight="1" x14ac:dyDescent="0.2">
      <c r="C61057"/>
      <c r="M61057"/>
    </row>
    <row r="61068" spans="3:13" ht="12.75" customHeight="1" x14ac:dyDescent="0.2">
      <c r="C61068"/>
      <c r="M61068"/>
    </row>
    <row r="61069" spans="3:13" ht="12.75" customHeight="1" x14ac:dyDescent="0.2">
      <c r="C61069"/>
      <c r="M61069"/>
    </row>
    <row r="61070" spans="3:13" ht="12.75" customHeight="1" x14ac:dyDescent="0.2">
      <c r="C61070"/>
      <c r="M61070"/>
    </row>
    <row r="61071" spans="3:13" ht="12.75" customHeight="1" x14ac:dyDescent="0.2">
      <c r="C61071"/>
      <c r="M61071"/>
    </row>
    <row r="61073" spans="3:13" ht="12.75" customHeight="1" x14ac:dyDescent="0.2">
      <c r="C61073"/>
      <c r="M61073"/>
    </row>
    <row r="61084" spans="3:13" ht="12.75" customHeight="1" x14ac:dyDescent="0.2">
      <c r="C61084"/>
      <c r="M61084"/>
    </row>
    <row r="61085" spans="3:13" ht="12.75" customHeight="1" x14ac:dyDescent="0.2">
      <c r="C61085"/>
      <c r="M61085"/>
    </row>
    <row r="61086" spans="3:13" ht="12.75" customHeight="1" x14ac:dyDescent="0.2">
      <c r="C61086"/>
      <c r="M61086"/>
    </row>
    <row r="61087" spans="3:13" ht="12.75" customHeight="1" x14ac:dyDescent="0.2">
      <c r="C61087"/>
      <c r="M61087"/>
    </row>
    <row r="61089" spans="3:13" ht="12.75" customHeight="1" x14ac:dyDescent="0.2">
      <c r="C61089"/>
      <c r="M61089"/>
    </row>
    <row r="61100" spans="3:13" ht="12.75" customHeight="1" x14ac:dyDescent="0.2">
      <c r="C61100"/>
      <c r="M61100"/>
    </row>
    <row r="61101" spans="3:13" ht="12.75" customHeight="1" x14ac:dyDescent="0.2">
      <c r="C61101"/>
      <c r="M61101"/>
    </row>
    <row r="61102" spans="3:13" ht="12.75" customHeight="1" x14ac:dyDescent="0.2">
      <c r="C61102"/>
      <c r="M61102"/>
    </row>
    <row r="61103" spans="3:13" ht="12.75" customHeight="1" x14ac:dyDescent="0.2">
      <c r="C61103"/>
      <c r="M61103"/>
    </row>
    <row r="61105" spans="3:13" ht="12.75" customHeight="1" x14ac:dyDescent="0.2">
      <c r="C61105"/>
      <c r="M61105"/>
    </row>
    <row r="61116" spans="3:13" ht="12.75" customHeight="1" x14ac:dyDescent="0.2">
      <c r="C61116"/>
      <c r="M61116"/>
    </row>
    <row r="61117" spans="3:13" ht="12.75" customHeight="1" x14ac:dyDescent="0.2">
      <c r="C61117"/>
      <c r="M61117"/>
    </row>
    <row r="61118" spans="3:13" ht="12.75" customHeight="1" x14ac:dyDescent="0.2">
      <c r="C61118"/>
      <c r="M61118"/>
    </row>
    <row r="61119" spans="3:13" ht="12.75" customHeight="1" x14ac:dyDescent="0.2">
      <c r="C61119"/>
      <c r="M61119"/>
    </row>
    <row r="61121" spans="3:13" ht="12.75" customHeight="1" x14ac:dyDescent="0.2">
      <c r="C61121"/>
      <c r="M61121"/>
    </row>
    <row r="61132" spans="3:13" ht="12.75" customHeight="1" x14ac:dyDescent="0.2">
      <c r="C61132"/>
      <c r="M61132"/>
    </row>
    <row r="61133" spans="3:13" ht="12.75" customHeight="1" x14ac:dyDescent="0.2">
      <c r="C61133"/>
      <c r="M61133"/>
    </row>
    <row r="61134" spans="3:13" ht="12.75" customHeight="1" x14ac:dyDescent="0.2">
      <c r="C61134"/>
      <c r="M61134"/>
    </row>
    <row r="61135" spans="3:13" ht="12.75" customHeight="1" x14ac:dyDescent="0.2">
      <c r="C61135"/>
      <c r="M61135"/>
    </row>
    <row r="61137" spans="3:13" ht="12.75" customHeight="1" x14ac:dyDescent="0.2">
      <c r="C61137"/>
      <c r="M61137"/>
    </row>
    <row r="61148" spans="3:13" ht="12.75" customHeight="1" x14ac:dyDescent="0.2">
      <c r="C61148"/>
      <c r="M61148"/>
    </row>
    <row r="61149" spans="3:13" ht="12.75" customHeight="1" x14ac:dyDescent="0.2">
      <c r="C61149"/>
      <c r="M61149"/>
    </row>
    <row r="61150" spans="3:13" ht="12.75" customHeight="1" x14ac:dyDescent="0.2">
      <c r="C61150"/>
      <c r="M61150"/>
    </row>
    <row r="61151" spans="3:13" ht="12.75" customHeight="1" x14ac:dyDescent="0.2">
      <c r="C61151"/>
      <c r="M61151"/>
    </row>
    <row r="61153" spans="3:13" ht="12.75" customHeight="1" x14ac:dyDescent="0.2">
      <c r="C61153"/>
      <c r="M61153"/>
    </row>
    <row r="61161" spans="3:13" ht="12.75" customHeight="1" x14ac:dyDescent="0.2">
      <c r="C61161"/>
      <c r="M61161"/>
    </row>
    <row r="61164" spans="3:13" ht="12.75" customHeight="1" x14ac:dyDescent="0.2">
      <c r="C61164"/>
      <c r="M61164"/>
    </row>
    <row r="61165" spans="3:13" ht="12.75" customHeight="1" x14ac:dyDescent="0.2">
      <c r="C61165"/>
      <c r="M61165"/>
    </row>
    <row r="61166" spans="3:13" ht="12.75" customHeight="1" x14ac:dyDescent="0.2">
      <c r="C61166"/>
      <c r="M61166"/>
    </row>
    <row r="61167" spans="3:13" ht="12.75" customHeight="1" x14ac:dyDescent="0.2">
      <c r="C61167"/>
      <c r="M61167"/>
    </row>
    <row r="61169" spans="3:13" ht="12.75" customHeight="1" x14ac:dyDescent="0.2">
      <c r="C61169"/>
      <c r="M61169"/>
    </row>
    <row r="61177" spans="3:13" ht="12.75" customHeight="1" x14ac:dyDescent="0.2">
      <c r="C61177"/>
      <c r="M61177"/>
    </row>
    <row r="61180" spans="3:13" ht="12.75" customHeight="1" x14ac:dyDescent="0.2">
      <c r="C61180"/>
      <c r="M61180"/>
    </row>
    <row r="61181" spans="3:13" ht="12.75" customHeight="1" x14ac:dyDescent="0.2">
      <c r="C61181"/>
      <c r="M61181"/>
    </row>
    <row r="61182" spans="3:13" ht="12.75" customHeight="1" x14ac:dyDescent="0.2">
      <c r="C61182"/>
      <c r="M61182"/>
    </row>
    <row r="61183" spans="3:13" ht="12.75" customHeight="1" x14ac:dyDescent="0.2">
      <c r="C61183"/>
      <c r="M61183"/>
    </row>
    <row r="61185" spans="3:13" ht="12.75" customHeight="1" x14ac:dyDescent="0.2">
      <c r="C61185"/>
      <c r="M61185"/>
    </row>
    <row r="61193" spans="3:13" ht="12.75" customHeight="1" x14ac:dyDescent="0.2">
      <c r="C61193"/>
      <c r="M61193"/>
    </row>
    <row r="61194" spans="3:13" ht="12.75" customHeight="1" x14ac:dyDescent="0.2">
      <c r="C61194"/>
      <c r="M61194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8" spans="3:13" ht="12.75" customHeight="1" x14ac:dyDescent="0.2">
      <c r="C61198"/>
      <c r="M61198"/>
    </row>
    <row r="61199" spans="3:13" ht="12.75" customHeight="1" x14ac:dyDescent="0.2">
      <c r="C61199"/>
      <c r="M61199"/>
    </row>
    <row r="61201" spans="3:13" ht="12.75" customHeight="1" x14ac:dyDescent="0.2">
      <c r="C61201"/>
      <c r="M61201"/>
    </row>
    <row r="61209" spans="3:13" ht="12.75" customHeight="1" x14ac:dyDescent="0.2">
      <c r="C61209"/>
      <c r="M61209"/>
    </row>
    <row r="61210" spans="3:13" ht="12.75" customHeight="1" x14ac:dyDescent="0.2">
      <c r="C61210"/>
      <c r="M61210"/>
    </row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5" spans="3:13" ht="12.75" customHeight="1" x14ac:dyDescent="0.2">
      <c r="C61215"/>
      <c r="M61215"/>
    </row>
    <row r="61217" spans="3:13" ht="12.75" customHeight="1" x14ac:dyDescent="0.2">
      <c r="C61217"/>
      <c r="M61217"/>
    </row>
    <row r="61225" spans="3:13" ht="12.75" customHeight="1" x14ac:dyDescent="0.2">
      <c r="C61225"/>
      <c r="M61225"/>
    </row>
    <row r="61226" spans="3:13" ht="12.75" customHeight="1" x14ac:dyDescent="0.2">
      <c r="C61226"/>
      <c r="M61226"/>
    </row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3" spans="3:13" ht="12.75" customHeight="1" x14ac:dyDescent="0.2">
      <c r="C61233"/>
      <c r="M61233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1" spans="3:13" ht="12.75" customHeight="1" x14ac:dyDescent="0.2">
      <c r="C61241"/>
      <c r="M61241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0" spans="3:13" ht="12.75" customHeight="1" x14ac:dyDescent="0.2">
      <c r="C61250"/>
      <c r="M61250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0" hidden="1" customHeight="1" x14ac:dyDescent="0.2"/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</sheetData>
  <sheetProtection password="BD1F" sheet="1" objects="1" scenarios="1" autoFilter="0"/>
  <autoFilter ref="C15:C49"/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M12:N15 M24:N24 M20:N20 M32:N33 M46:N46 M26:N26 M49:N49 M43:N44">
    <cfRule type="expression" dxfId="259" priority="6179" stopIfTrue="1">
      <formula>ACOMPANHAMENTO="BM"</formula>
    </cfRule>
    <cfRule type="expression" dxfId="258" priority="6180" stopIfTrue="1">
      <formula>OR($B12=0,$B12=2,$B12=3,$B12=4)</formula>
    </cfRule>
    <cfRule type="expression" dxfId="257" priority="6181" stopIfTrue="1">
      <formula>$B12=1</formula>
    </cfRule>
  </conditionalFormatting>
  <conditionalFormatting sqref="K12:K15 K17:K26 K29:K33 K40:K49">
    <cfRule type="expression" dxfId="256" priority="6182" stopIfTrue="1">
      <formula>OR(ACOMPANHAMENTO="BM",$A$12&lt;&gt;"Manual")</formula>
    </cfRule>
    <cfRule type="expression" dxfId="255" priority="6183" stopIfTrue="1">
      <formula>$B12=1</formula>
    </cfRule>
    <cfRule type="expression" dxfId="254" priority="6184" stopIfTrue="1">
      <formula>OR($B12=2,$B12=3,$B12=4,$B12=0)</formula>
    </cfRule>
  </conditionalFormatting>
  <conditionalFormatting sqref="O12:AA15 O19:AA26 O29:AA33 O40:AA49">
    <cfRule type="expression" dxfId="253" priority="6185" stopIfTrue="1">
      <formula>ACOMPANHAMENTO="BM"</formula>
    </cfRule>
    <cfRule type="expression" dxfId="252" priority="6186" stopIfTrue="1">
      <formula>AND(O$12&lt;&gt;".",OR($B12=0,$B12=2,$B12=3,$B12=4,AND(O$12="",$B12&lt;&gt;"Empty"),OFFSET(O$12,0,-1)=""))</formula>
    </cfRule>
    <cfRule type="expression" dxfId="251" priority="6187" stopIfTrue="1">
      <formula>AND($B12=1,O$12&lt;&gt;".")</formula>
    </cfRule>
  </conditionalFormatting>
  <conditionalFormatting sqref="M16:N16 M19:N19 M21:N21">
    <cfRule type="expression" dxfId="250" priority="1493" stopIfTrue="1">
      <formula>ACOMPANHAMENTO="BM"</formula>
    </cfRule>
    <cfRule type="expression" dxfId="249" priority="1494" stopIfTrue="1">
      <formula>OR($B16=0,$B16=2,$B16=3,$B16=4)</formula>
    </cfRule>
    <cfRule type="expression" dxfId="248" priority="1495" stopIfTrue="1">
      <formula>$B16=1</formula>
    </cfRule>
  </conditionalFormatting>
  <conditionalFormatting sqref="K16">
    <cfRule type="expression" dxfId="247" priority="1496" stopIfTrue="1">
      <formula>OR(ACOMPANHAMENTO="BM",$A$12&lt;&gt;"Manual")</formula>
    </cfRule>
    <cfRule type="expression" dxfId="246" priority="1497" stopIfTrue="1">
      <formula>$B16=1</formula>
    </cfRule>
    <cfRule type="expression" dxfId="245" priority="1498" stopIfTrue="1">
      <formula>OR($B16=2,$B16=3,$B16=4,$B16=0)</formula>
    </cfRule>
  </conditionalFormatting>
  <conditionalFormatting sqref="O16:AA16">
    <cfRule type="expression" dxfId="244" priority="1499" stopIfTrue="1">
      <formula>ACOMPANHAMENTO="BM"</formula>
    </cfRule>
    <cfRule type="expression" dxfId="243" priority="1500" stopIfTrue="1">
      <formula>AND(O$12&lt;&gt;".",OR($B16=0,$B16=2,$B16=3,$B16=4,AND(O$12="",$B16&lt;&gt;"Empty"),OFFSET(O$12,0,-1)=""))</formula>
    </cfRule>
    <cfRule type="expression" dxfId="242" priority="1501" stopIfTrue="1">
      <formula>AND($B16=1,O$12&lt;&gt;".")</formula>
    </cfRule>
  </conditionalFormatting>
  <conditionalFormatting sqref="M45:N45">
    <cfRule type="expression" dxfId="241" priority="573" stopIfTrue="1">
      <formula>ACOMPANHAMENTO="BM"</formula>
    </cfRule>
    <cfRule type="expression" dxfId="240" priority="574" stopIfTrue="1">
      <formula>OR($B45=0,$B45=2,$B45=3,$B45=4)</formula>
    </cfRule>
    <cfRule type="expression" dxfId="239" priority="575" stopIfTrue="1">
      <formula>$B45=1</formula>
    </cfRule>
  </conditionalFormatting>
  <conditionalFormatting sqref="M30:N30">
    <cfRule type="expression" dxfId="238" priority="382" stopIfTrue="1">
      <formula>ACOMPANHAMENTO="BM"</formula>
    </cfRule>
    <cfRule type="expression" dxfId="237" priority="383" stopIfTrue="1">
      <formula>OR($B30=0,$B30=2,$B30=3,$B30=4)</formula>
    </cfRule>
    <cfRule type="expression" dxfId="236" priority="384" stopIfTrue="1">
      <formula>$B30=1</formula>
    </cfRule>
  </conditionalFormatting>
  <conditionalFormatting sqref="M31:N31">
    <cfRule type="expression" dxfId="235" priority="328" stopIfTrue="1">
      <formula>ACOMPANHAMENTO="BM"</formula>
    </cfRule>
    <cfRule type="expression" dxfId="234" priority="329" stopIfTrue="1">
      <formula>OR($B31=0,$B31=2,$B31=3,$B31=4)</formula>
    </cfRule>
    <cfRule type="expression" dxfId="233" priority="330" stopIfTrue="1">
      <formula>$B31=1</formula>
    </cfRule>
  </conditionalFormatting>
  <conditionalFormatting sqref="M25:N25">
    <cfRule type="expression" dxfId="232" priority="244" stopIfTrue="1">
      <formula>ACOMPANHAMENTO="BM"</formula>
    </cfRule>
    <cfRule type="expression" dxfId="231" priority="245" stopIfTrue="1">
      <formula>OR($B25=0,$B25=2,$B25=3,$B25=4)</formula>
    </cfRule>
    <cfRule type="expression" dxfId="230" priority="246" stopIfTrue="1">
      <formula>$B25=1</formula>
    </cfRule>
  </conditionalFormatting>
  <conditionalFormatting sqref="M29:N29">
    <cfRule type="expression" dxfId="229" priority="235" stopIfTrue="1">
      <formula>ACOMPANHAMENTO="BM"</formula>
    </cfRule>
    <cfRule type="expression" dxfId="228" priority="236" stopIfTrue="1">
      <formula>OR($B29=0,$B29=2,$B29=3,$B29=4)</formula>
    </cfRule>
    <cfRule type="expression" dxfId="227" priority="237" stopIfTrue="1">
      <formula>$B29=1</formula>
    </cfRule>
  </conditionalFormatting>
  <conditionalFormatting sqref="M40:N40">
    <cfRule type="expression" dxfId="226" priority="217" stopIfTrue="1">
      <formula>ACOMPANHAMENTO="BM"</formula>
    </cfRule>
    <cfRule type="expression" dxfId="225" priority="218" stopIfTrue="1">
      <formula>OR($B40=0,$B40=2,$B40=3,$B40=4)</formula>
    </cfRule>
    <cfRule type="expression" dxfId="224" priority="219" stopIfTrue="1">
      <formula>$B40=1</formula>
    </cfRule>
  </conditionalFormatting>
  <conditionalFormatting sqref="M17:N18">
    <cfRule type="expression" dxfId="223" priority="166" stopIfTrue="1">
      <formula>ACOMPANHAMENTO="BM"</formula>
    </cfRule>
    <cfRule type="expression" dxfId="222" priority="167" stopIfTrue="1">
      <formula>OR($B17=0,$B17=2,$B17=3,$B17=4)</formula>
    </cfRule>
    <cfRule type="expression" dxfId="221" priority="168" stopIfTrue="1">
      <formula>$B17=1</formula>
    </cfRule>
  </conditionalFormatting>
  <conditionalFormatting sqref="O17:AA18">
    <cfRule type="expression" dxfId="220" priority="169" stopIfTrue="1">
      <formula>ACOMPANHAMENTO="BM"</formula>
    </cfRule>
    <cfRule type="expression" dxfId="219" priority="170" stopIfTrue="1">
      <formula>AND(O$12&lt;&gt;".",OR($B17=0,$B17=2,$B17=3,$B17=4,AND(O$12="",$B17&lt;&gt;"Empty"),OFFSET(O$12,0,-1)=""))</formula>
    </cfRule>
    <cfRule type="expression" dxfId="218" priority="171" stopIfTrue="1">
      <formula>AND($B17=1,O$12&lt;&gt;".")</formula>
    </cfRule>
  </conditionalFormatting>
  <conditionalFormatting sqref="M22:N23">
    <cfRule type="expression" dxfId="217" priority="157" stopIfTrue="1">
      <formula>ACOMPANHAMENTO="BM"</formula>
    </cfRule>
    <cfRule type="expression" dxfId="216" priority="158" stopIfTrue="1">
      <formula>OR($B22=0,$B22=2,$B22=3,$B22=4)</formula>
    </cfRule>
    <cfRule type="expression" dxfId="215" priority="159" stopIfTrue="1">
      <formula>$B22=1</formula>
    </cfRule>
  </conditionalFormatting>
  <conditionalFormatting sqref="M42:N42">
    <cfRule type="expression" dxfId="214" priority="109" stopIfTrue="1">
      <formula>ACOMPANHAMENTO="BM"</formula>
    </cfRule>
    <cfRule type="expression" dxfId="213" priority="110" stopIfTrue="1">
      <formula>OR($B42=0,$B42=2,$B42=3,$B42=4)</formula>
    </cfRule>
    <cfRule type="expression" dxfId="212" priority="111" stopIfTrue="1">
      <formula>$B42=1</formula>
    </cfRule>
  </conditionalFormatting>
  <conditionalFormatting sqref="M41:N41">
    <cfRule type="expression" dxfId="211" priority="91" stopIfTrue="1">
      <formula>ACOMPANHAMENTO="BM"</formula>
    </cfRule>
    <cfRule type="expression" dxfId="210" priority="92" stopIfTrue="1">
      <formula>OR($B41=0,$B41=2,$B41=3,$B41=4)</formula>
    </cfRule>
    <cfRule type="expression" dxfId="209" priority="93" stopIfTrue="1">
      <formula>$B41=1</formula>
    </cfRule>
  </conditionalFormatting>
  <conditionalFormatting sqref="M27:N28">
    <cfRule type="expression" dxfId="208" priority="55" stopIfTrue="1">
      <formula>ACOMPANHAMENTO="BM"</formula>
    </cfRule>
    <cfRule type="expression" dxfId="207" priority="56" stopIfTrue="1">
      <formula>OR($B27=0,$B27=2,$B27=3,$B27=4)</formula>
    </cfRule>
    <cfRule type="expression" dxfId="206" priority="57" stopIfTrue="1">
      <formula>$B27=1</formula>
    </cfRule>
  </conditionalFormatting>
  <conditionalFormatting sqref="K27:K28">
    <cfRule type="expression" dxfId="205" priority="58" stopIfTrue="1">
      <formula>OR(ACOMPANHAMENTO="BM",$A$12&lt;&gt;"Manual")</formula>
    </cfRule>
    <cfRule type="expression" dxfId="204" priority="59" stopIfTrue="1">
      <formula>$B27=1</formula>
    </cfRule>
    <cfRule type="expression" dxfId="203" priority="60" stopIfTrue="1">
      <formula>OR($B27=2,$B27=3,$B27=4,$B27=0)</formula>
    </cfRule>
  </conditionalFormatting>
  <conditionalFormatting sqref="O27:AA28">
    <cfRule type="expression" dxfId="202" priority="61" stopIfTrue="1">
      <formula>ACOMPANHAMENTO="BM"</formula>
    </cfRule>
    <cfRule type="expression" dxfId="201" priority="62" stopIfTrue="1">
      <formula>AND(O$12&lt;&gt;".",OR($B27=0,$B27=2,$B27=3,$B27=4,AND(O$12="",$B27&lt;&gt;"Empty"),OFFSET(O$12,0,-1)=""))</formula>
    </cfRule>
    <cfRule type="expression" dxfId="200" priority="63" stopIfTrue="1">
      <formula>AND($B27=1,O$12&lt;&gt;".")</formula>
    </cfRule>
  </conditionalFormatting>
  <conditionalFormatting sqref="M34:N36 M38:N38">
    <cfRule type="expression" dxfId="199" priority="46" stopIfTrue="1">
      <formula>ACOMPANHAMENTO="BM"</formula>
    </cfRule>
    <cfRule type="expression" dxfId="198" priority="47" stopIfTrue="1">
      <formula>OR($B34=0,$B34=2,$B34=3,$B34=4)</formula>
    </cfRule>
    <cfRule type="expression" dxfId="197" priority="48" stopIfTrue="1">
      <formula>$B34=1</formula>
    </cfRule>
  </conditionalFormatting>
  <conditionalFormatting sqref="K34:K36 K38">
    <cfRule type="expression" dxfId="196" priority="49" stopIfTrue="1">
      <formula>OR(ACOMPANHAMENTO="BM",$A$12&lt;&gt;"Manual")</formula>
    </cfRule>
    <cfRule type="expression" dxfId="195" priority="50" stopIfTrue="1">
      <formula>$B34=1</formula>
    </cfRule>
    <cfRule type="expression" dxfId="194" priority="51" stopIfTrue="1">
      <formula>OR($B34=2,$B34=3,$B34=4,$B34=0)</formula>
    </cfRule>
  </conditionalFormatting>
  <conditionalFormatting sqref="O34:AA36 O38:AA38">
    <cfRule type="expression" dxfId="193" priority="52" stopIfTrue="1">
      <formula>ACOMPANHAMENTO="BM"</formula>
    </cfRule>
    <cfRule type="expression" dxfId="192" priority="53" stopIfTrue="1">
      <formula>AND(O$12&lt;&gt;".",OR($B34=0,$B34=2,$B34=3,$B34=4,AND(O$12="",$B34&lt;&gt;"Empty"),OFFSET(O$12,0,-1)=""))</formula>
    </cfRule>
    <cfRule type="expression" dxfId="191" priority="54" stopIfTrue="1">
      <formula>AND($B34=1,O$12&lt;&gt;".")</formula>
    </cfRule>
  </conditionalFormatting>
  <conditionalFormatting sqref="M37:N37">
    <cfRule type="expression" dxfId="190" priority="28" stopIfTrue="1">
      <formula>ACOMPANHAMENTO="BM"</formula>
    </cfRule>
    <cfRule type="expression" dxfId="189" priority="29" stopIfTrue="1">
      <formula>OR($B37=0,$B37=2,$B37=3,$B37=4)</formula>
    </cfRule>
    <cfRule type="expression" dxfId="188" priority="30" stopIfTrue="1">
      <formula>$B37=1</formula>
    </cfRule>
  </conditionalFormatting>
  <conditionalFormatting sqref="K37">
    <cfRule type="expression" dxfId="187" priority="31" stopIfTrue="1">
      <formula>OR(ACOMPANHAMENTO="BM",$A$12&lt;&gt;"Manual")</formula>
    </cfRule>
    <cfRule type="expression" dxfId="186" priority="32" stopIfTrue="1">
      <formula>$B37=1</formula>
    </cfRule>
    <cfRule type="expression" dxfId="185" priority="33" stopIfTrue="1">
      <formula>OR($B37=2,$B37=3,$B37=4,$B37=0)</formula>
    </cfRule>
  </conditionalFormatting>
  <conditionalFormatting sqref="O37:AA37">
    <cfRule type="expression" dxfId="184" priority="34" stopIfTrue="1">
      <formula>ACOMPANHAMENTO="BM"</formula>
    </cfRule>
    <cfRule type="expression" dxfId="183" priority="35" stopIfTrue="1">
      <formula>AND(O$12&lt;&gt;".",OR($B37=0,$B37=2,$B37=3,$B37=4,AND(O$12="",$B37&lt;&gt;"Empty"),OFFSET(O$12,0,-1)=""))</formula>
    </cfRule>
    <cfRule type="expression" dxfId="182" priority="36" stopIfTrue="1">
      <formula>AND($B37=1,O$12&lt;&gt;".")</formula>
    </cfRule>
  </conditionalFormatting>
  <conditionalFormatting sqref="M39:N39">
    <cfRule type="expression" dxfId="181" priority="10" stopIfTrue="1">
      <formula>ACOMPANHAMENTO="BM"</formula>
    </cfRule>
    <cfRule type="expression" dxfId="180" priority="11" stopIfTrue="1">
      <formula>OR($B39=0,$B39=2,$B39=3,$B39=4)</formula>
    </cfRule>
    <cfRule type="expression" dxfId="179" priority="12" stopIfTrue="1">
      <formula>$B39=1</formula>
    </cfRule>
  </conditionalFormatting>
  <conditionalFormatting sqref="K39">
    <cfRule type="expression" dxfId="178" priority="13" stopIfTrue="1">
      <formula>OR(ACOMPANHAMENTO="BM",$A$12&lt;&gt;"Manual")</formula>
    </cfRule>
    <cfRule type="expression" dxfId="177" priority="14" stopIfTrue="1">
      <formula>$B39=1</formula>
    </cfRule>
    <cfRule type="expression" dxfId="176" priority="15" stopIfTrue="1">
      <formula>OR($B39=2,$B39=3,$B39=4,$B39=0)</formula>
    </cfRule>
  </conditionalFormatting>
  <conditionalFormatting sqref="O39:AA39">
    <cfRule type="expression" dxfId="175" priority="16" stopIfTrue="1">
      <formula>ACOMPANHAMENTO="BM"</formula>
    </cfRule>
    <cfRule type="expression" dxfId="174" priority="17" stopIfTrue="1">
      <formula>AND(O$12&lt;&gt;".",OR($B39=0,$B39=2,$B39=3,$B39=4,AND(O$12="",$B39&lt;&gt;"Empty"),OFFSET(O$12,0,-1)=""))</formula>
    </cfRule>
    <cfRule type="expression" dxfId="173" priority="18" stopIfTrue="1">
      <formula>AND($B39=1,O$12&lt;&gt;".")</formula>
    </cfRule>
  </conditionalFormatting>
  <conditionalFormatting sqref="M47:N48">
    <cfRule type="expression" dxfId="172" priority="1" stopIfTrue="1">
      <formula>ACOMPANHAMENTO="BM"</formula>
    </cfRule>
    <cfRule type="expression" dxfId="171" priority="2" stopIfTrue="1">
      <formula>OR($B47=0,$B47=2,$B47=3,$B47=4)</formula>
    </cfRule>
    <cfRule type="expression" dxfId="170" priority="3" stopIfTrue="1">
      <formula>$B47=1</formula>
    </cfRule>
  </conditionalFormatting>
  <dataValidations count="4">
    <dataValidation type="decimal" operator="greaterThan" allowBlank="1" showErrorMessage="1" error="Apenas números decimais maiores que zero." sqref="O14 Q14:Z14 O16:O48 Q16:Z48">
      <formula1>0</formula1>
      <formula2>0</formula2>
    </dataValidation>
    <dataValidation type="list" allowBlank="1" showErrorMessage="1" sqref="K14 K16:K48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48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scale="70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2"/>
  <sheetViews>
    <sheetView showGridLines="0" zoomScale="90" zoomScaleNormal="90" workbookViewId="0">
      <pane ySplit="14" topLeftCell="A15" activePane="bottomLeft" state="frozen"/>
      <selection pane="bottomLeft" activeCell="D22" sqref="D22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36" t="s">
        <v>445</v>
      </c>
      <c r="D6" s="636"/>
      <c r="E6" s="636"/>
      <c r="F6" s="636"/>
    </row>
    <row r="8" spans="2:6" ht="33.75" customHeight="1" x14ac:dyDescent="0.2"/>
    <row r="9" spans="2:6" ht="12" customHeight="1" x14ac:dyDescent="0.2">
      <c r="C9" s="637" t="str">
        <f>IF(ACOMPANHAMENTO="BM","Foi selecionado na aba 'MENU' o acompanhamento por BM. Não há necessidade de definição de Eventos.","")</f>
        <v/>
      </c>
      <c r="D9" s="637"/>
      <c r="E9" s="637"/>
      <c r="F9" s="637"/>
    </row>
    <row r="10" spans="2:6" ht="12" customHeight="1" x14ac:dyDescent="0.2">
      <c r="C10" s="637"/>
      <c r="D10" s="637"/>
      <c r="E10" s="637"/>
      <c r="F10" s="637"/>
    </row>
    <row r="11" spans="2:6" ht="12" customHeight="1" x14ac:dyDescent="0.2">
      <c r="C11" s="637"/>
      <c r="D11" s="637"/>
      <c r="E11" s="637"/>
      <c r="F11" s="637"/>
    </row>
    <row r="12" spans="2:6" ht="12" customHeight="1" x14ac:dyDescent="0.2"/>
    <row r="13" spans="2:6" ht="15" x14ac:dyDescent="0.25">
      <c r="C13" s="195" t="s">
        <v>268</v>
      </c>
      <c r="D13" s="638" t="s">
        <v>269</v>
      </c>
      <c r="E13" s="638"/>
      <c r="F13" s="196" t="s">
        <v>270</v>
      </c>
    </row>
    <row r="14" spans="2:6" hidden="1" x14ac:dyDescent="0.2">
      <c r="B14" t="e">
        <f t="shared" ref="B14:B19" ca="1" si="0">CONCATENATE(C14,".",D14)</f>
        <v>#VALUE!</v>
      </c>
      <c r="C14" s="197" t="e">
        <f ca="1">OFFSET(C14,-1,0)+1</f>
        <v>#VALUE!</v>
      </c>
      <c r="D14" s="635"/>
      <c r="E14" s="635"/>
      <c r="F14" s="198" t="e">
        <f ca="1">IF(AUTOEVENTO="Manual",ROUND(SUMPRODUCT((CÁLCULO!$M$15:$M$49=EVENTOS!$C14)*(OFFSET(CÁLCULO!$AA$15,0,1):OFFSET(CÁLCULO!$AL$49,0,-1))),2),0)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39" t="s">
        <v>271</v>
      </c>
      <c r="E15" s="639"/>
      <c r="F15" s="200">
        <f ca="1">IF(AUTOEVENTO="Manual",ROUND(SUMIF(CÁLCULO!$M$15:$M$49,1,ORÇAMENTO!$X$15:$X$49),2),0)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35" t="s">
        <v>453</v>
      </c>
      <c r="E16" s="635"/>
      <c r="F16" s="198">
        <f ca="1">IF(AUTOEVENTO="Manual",ROUND(SUMPRODUCT((CÁLCULO!$M$15:$M$49=EVENTOS!$C16)*(OFFSET(CÁLCULO!$AA$15,0,1):OFFSET(CÁLCULO!$AL$49,0,-1))),2),0)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35" t="s">
        <v>481</v>
      </c>
      <c r="E17" s="635"/>
      <c r="F17" s="198">
        <f ca="1">IF(AUTOEVENTO="Manual",ROUND(SUMPRODUCT((CÁLCULO!$M$15:$M$49=EVENTOS!$C17)*(OFFSET(CÁLCULO!$AA$15,0,1):OFFSET(CÁLCULO!$AL$49,0,-1))),2),0)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35" t="s">
        <v>482</v>
      </c>
      <c r="E18" s="635"/>
      <c r="F18" s="198">
        <f ca="1">IF(AUTOEVENTO="Manual",ROUND(SUMPRODUCT((CÁLCULO!$M$15:$M$49=EVENTOS!$C18)*(OFFSET(CÁLCULO!$AA$15,0,1):OFFSET(CÁLCULO!$AL$49,0,-1))),2),0)</f>
        <v>0</v>
      </c>
    </row>
    <row r="19" spans="2:6" s="577" customFormat="1" x14ac:dyDescent="0.2">
      <c r="B19" s="577" t="str">
        <f t="shared" ca="1" si="0"/>
        <v>5.Passeio Público</v>
      </c>
      <c r="C19" s="197">
        <f ca="1">OFFSET(C19,-1,0)+1</f>
        <v>5</v>
      </c>
      <c r="D19" s="635" t="s">
        <v>494</v>
      </c>
      <c r="E19" s="635"/>
      <c r="F19" s="198">
        <f ca="1">IF(AUTOEVENTO="Manual",ROUND(SUMPRODUCT((CÁLCULO!$M$15:$M$49=EVENTOS!$C19)*(OFFSET(CÁLCULO!$AA$15,0,1):OFFSET(CÁLCULO!$AL$49,0,-1))),2),0)</f>
        <v>0</v>
      </c>
    </row>
    <row r="20" spans="2:6" s="573" customFormat="1" x14ac:dyDescent="0.2">
      <c r="B20" s="573" t="str">
        <f t="shared" ref="B20:B21" ca="1" si="1">CONCATENATE(C20,".",D20)</f>
        <v xml:space="preserve">6.Sinalização Vertical </v>
      </c>
      <c r="C20" s="197">
        <f t="shared" ref="C20" ca="1" si="2">OFFSET(C20,-1,0)+1</f>
        <v>6</v>
      </c>
      <c r="D20" s="635" t="s">
        <v>483</v>
      </c>
      <c r="E20" s="635"/>
      <c r="F20" s="198">
        <f ca="1">IF(AUTOEVENTO="Manual",ROUND(SUMPRODUCT((CÁLCULO!$M$15:$M$49=EVENTOS!$C20)*(OFFSET(CÁLCULO!$AA$15,0,1):OFFSET(CÁLCULO!$AL$49,0,-1))),2),0)</f>
        <v>0</v>
      </c>
    </row>
    <row r="21" spans="2:6" s="583" customFormat="1" x14ac:dyDescent="0.2">
      <c r="B21" s="583" t="str">
        <f t="shared" ca="1" si="1"/>
        <v>7.Faixa de travessia de pedestre</v>
      </c>
      <c r="C21" s="197">
        <f ca="1">OFFSET(C21,-1,0)+1</f>
        <v>7</v>
      </c>
      <c r="D21" s="635" t="s">
        <v>506</v>
      </c>
      <c r="E21" s="635"/>
      <c r="F21" s="198">
        <f ca="1">IF(AUTOEVENTO="Manual",ROUND(SUMPRODUCT((CÁLCULO!$M$15:$M$49=EVENTOS!$C21)*(OFFSET(CÁLCULO!$AA$15,0,1):OFFSET(CÁLCULO!$AL$49,0,-1))),2),0)</f>
        <v>0</v>
      </c>
    </row>
    <row r="22" spans="2:6" ht="5.0999999999999996" customHeight="1" x14ac:dyDescent="0.2">
      <c r="C22" s="190"/>
      <c r="D22" s="201"/>
      <c r="E22" s="201"/>
      <c r="F22" s="202"/>
    </row>
  </sheetData>
  <sheetProtection password="BD1F" sheet="1" objects="1" scenarios="1"/>
  <mergeCells count="11">
    <mergeCell ref="D21:E21"/>
    <mergeCell ref="D20:E20"/>
    <mergeCell ref="D18:E18"/>
    <mergeCell ref="D17:E17"/>
    <mergeCell ref="D19:E19"/>
    <mergeCell ref="D16:E16"/>
    <mergeCell ref="C6:F6"/>
    <mergeCell ref="C9:F11"/>
    <mergeCell ref="D13:E13"/>
    <mergeCell ref="D14:E14"/>
    <mergeCell ref="D15:E15"/>
  </mergeCells>
  <phoneticPr fontId="38" type="noConversion"/>
  <conditionalFormatting sqref="C13:F15 C20:F20 C22:F22">
    <cfRule type="expression" dxfId="169" priority="106" stopIfTrue="1">
      <formula>OR(AUTOEVENTO&lt;&gt;"Manual",ACOMPANHAMENTO="BM")</formula>
    </cfRule>
  </conditionalFormatting>
  <conditionalFormatting sqref="C16:F17">
    <cfRule type="expression" dxfId="168" priority="6" stopIfTrue="1">
      <formula>OR(AUTOEVENTO&lt;&gt;"Manual",ACOMPANHAMENTO="BM")</formula>
    </cfRule>
  </conditionalFormatting>
  <conditionalFormatting sqref="C18:F18">
    <cfRule type="expression" dxfId="167" priority="4" stopIfTrue="1">
      <formula>OR(AUTOEVENTO&lt;&gt;"Manual",ACOMPANHAMENTO="BM")</formula>
    </cfRule>
  </conditionalFormatting>
  <conditionalFormatting sqref="C19:F19">
    <cfRule type="expression" dxfId="166" priority="2" stopIfTrue="1">
      <formula>OR(AUTOEVENTO&lt;&gt;"Manual",ACOMPANHAMENTO="BM")</formula>
    </cfRule>
  </conditionalFormatting>
  <conditionalFormatting sqref="C21:F21">
    <cfRule type="expression" dxfId="165" priority="1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63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A41" sqref="A41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IF($E2=-1,0,IF(M$13&lt;=$L1,IF(ISERROR(MATCH(M$13,OFFSET($L1,1,0,ROW($L$47)-ROW($L1)-1),0)),ROW($L$47)-ROW($L1)-1,MATCH(M$13,OFFSET($L1,1,0,ROW($L$47)-ROW($L1)-1),0)-1),0))</f>
        <v>#REF!</v>
      </c>
      <c r="N1" s="211" t="e">
        <f ca="1">IF($E2=-1,0,IF(N$13&lt;=$L1,IF(ISERROR(MATCH(N$13,OFFSET($L1,1,0,ROW($L$47)-ROW($L1)-1),0)),ROW($L$47)-ROW($L1)-1,MATCH(N$13,OFFSET($L1,1,0,ROW($L$47)-ROW($L1)-1),0)-1),0))</f>
        <v>#REF!</v>
      </c>
      <c r="O1" s="211" t="e">
        <f ca="1">IF($E2=-1,0,IF(O$13&lt;=$L1,IF(ISERROR(MATCH(O$13,OFFSET($L1,1,0,ROW($L$47)-ROW($L1)-1),0)),ROW($L$47)-ROW($L1)-1,MATCH(O$13,OFFSET($L1,1,0,ROW($L$47)-ROW($L1)-1),0)-1),0))</f>
        <v>#REF!</v>
      </c>
      <c r="P1" s="211" t="e">
        <f ca="1">IF($E2=-1,0,IF(P$13&lt;=$L1,IF(ISERROR(MATCH(P$13,OFFSET($L1,1,0,ROW($L$47)-ROW($L1)-1),0)),ROW($L$47)-ROW($L1)-1,MATCH(P$13,OFFSET($L1,1,0,ROW($L$47)-ROW($L1)-1),0)-1),0))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$49,"="&amp;CRONO!D$12,CÁLCULO!$AB$15:$AL$49)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$49,"&lt;="&amp;CRONO!T$12,CÁLCULO!$AB$15:$AL$49)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$49,"="&amp;CRONO!U$12,CÁLCULO!$AB$15:$AL$49)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$49,"="&amp;CRONO!V$12,CÁLCULO!$AB$15:$AL$49)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$49,"="&amp;CRONO!W$12,CÁLCULO!$AB$15:$AL$49)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$49,"="&amp;CRONO!X$12,CÁLCULO!$AB$15:$AL$49)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$49,"="&amp;CRONO!Y$12,CÁLCULO!$AB$15:$AL$49)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$49,"="&amp;CRONO!Z$12,CÁLCULO!$AB$15:$AL$49)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$49,"="&amp;CRONO!AA$12,CÁLCULO!$AB$15:$AL$49)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$49,"="&amp;CRONO!AB$12,CÁLCULO!$AB$15:$AL$49)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$49,"="&amp;CRONO!AC$12,CÁLCULO!$AB$15:$AL$49)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$49,"="&amp;CRONO!AD$12,CÁLCULO!$AB$15:$AL$49)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$49,"="&amp;CRONO!AE$12,CÁLCULO!$AB$15:$AL$49)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612" t="s">
        <v>141</v>
      </c>
      <c r="AE4" s="612"/>
    </row>
    <row r="5" spans="1:32" ht="15" x14ac:dyDescent="0.2">
      <c r="R5" s="84" t="str">
        <f>import.recurso</f>
        <v>OGU</v>
      </c>
      <c r="AD5" s="613" t="s">
        <v>144</v>
      </c>
      <c r="AE5" s="613"/>
    </row>
    <row r="6" spans="1:32" ht="12.75" customHeight="1" x14ac:dyDescent="0.2"/>
    <row r="7" spans="1:32" ht="12.75" customHeight="1" x14ac:dyDescent="0.2">
      <c r="E7" s="229"/>
      <c r="G7" s="647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595" t="s">
        <v>211</v>
      </c>
      <c r="G8" s="647"/>
      <c r="H8" s="645">
        <f>Import.CR</f>
        <v>0</v>
      </c>
      <c r="I8" s="645"/>
      <c r="J8" s="236">
        <f>Import.SICONV</f>
        <v>0</v>
      </c>
      <c r="K8" s="644" t="str">
        <f>Import.Proponente</f>
        <v>Prefeitura Municipal de Caçapava do Sul</v>
      </c>
      <c r="L8" s="644"/>
      <c r="M8" s="644"/>
      <c r="N8" s="644"/>
      <c r="O8" s="644"/>
      <c r="P8" s="644"/>
      <c r="Q8" s="644"/>
      <c r="R8" s="644"/>
      <c r="S8" s="644"/>
      <c r="T8" s="645" t="str">
        <f>Import.Apelido</f>
        <v>Calçamento da Rua Barão do Rio Branco</v>
      </c>
      <c r="U8" s="645"/>
      <c r="V8" s="645"/>
      <c r="W8" s="645"/>
      <c r="X8" s="645"/>
      <c r="Y8" s="641" t="str">
        <f>IF(TIPOORCAMENTO="Licitado",Import.empresa,Import.DescLote)</f>
        <v>Lote Único - Empreitada Preço Global</v>
      </c>
      <c r="Z8" s="641"/>
      <c r="AA8" s="641"/>
      <c r="AB8" s="641"/>
      <c r="AC8" s="641"/>
      <c r="AD8" s="641"/>
      <c r="AE8" s="223" t="str">
        <f>IF(TIPOORCAMENTO="Licitado",Import.CTEF,"")</f>
        <v/>
      </c>
    </row>
    <row r="9" spans="1:32" x14ac:dyDescent="0.2">
      <c r="E9" s="116"/>
      <c r="F9" s="595"/>
      <c r="G9" s="647"/>
    </row>
    <row r="10" spans="1:32" x14ac:dyDescent="0.2">
      <c r="E10" s="229"/>
      <c r="F10" s="595"/>
      <c r="G10" s="237">
        <v>2</v>
      </c>
      <c r="J10" s="646" t="str">
        <f ca="1">IF(MAX($A$13:$A$47)&lt;CRONO.LinhasNecessarias,"ERRO: NÚMERO DE LINHAS DO CRONOGRAMA INSUFICIENTE. CLIQUE EM ATUALIZAR LINHAS.",IF(AND(ACOMPANHAMENTO="PLE",ROUND(OFFSET($AF$57,0,-1),2)=0),"CRONOGRAMA DEVE SER PREENCHIDO POR EVENTOS",IF(ROUND(OFFSET($AF$57,0,-1),2)&lt;&gt;$Q$48,"ERRO: CRONOGRAMA NÃO FECHA 100%","")))</f>
        <v>CRONOGRAMA DEVE SER PREENCHIDO POR EVENTOS</v>
      </c>
      <c r="K10" s="646"/>
      <c r="L10" s="646"/>
      <c r="M10" s="646"/>
      <c r="N10" s="646"/>
      <c r="O10" s="646"/>
      <c r="P10" s="646"/>
      <c r="Q10" s="646"/>
      <c r="R10" s="646"/>
      <c r="S10" s="646"/>
    </row>
    <row r="11" spans="1:32" ht="12.75" customHeight="1" x14ac:dyDescent="0.2">
      <c r="F11" s="595"/>
      <c r="H11" s="238"/>
      <c r="I11" s="238"/>
      <c r="J11" s="646"/>
      <c r="K11" s="646"/>
      <c r="L11" s="646"/>
      <c r="M11" s="646"/>
      <c r="N11" s="646"/>
      <c r="O11" s="646"/>
      <c r="P11" s="646"/>
      <c r="Q11" s="646"/>
      <c r="R11" s="646"/>
      <c r="S11" s="646"/>
    </row>
    <row r="12" spans="1:32" ht="12.75" customHeight="1" x14ac:dyDescent="0.2">
      <c r="D12" s="239">
        <f ca="1">OFFSET(D12,0,-1)+1</f>
        <v>1</v>
      </c>
      <c r="F12" s="108" t="s">
        <v>219</v>
      </c>
      <c r="G12" s="649" t="s">
        <v>276</v>
      </c>
      <c r="H12" s="650" t="s">
        <v>233</v>
      </c>
      <c r="I12" s="651" t="s">
        <v>236</v>
      </c>
      <c r="J12" s="240"/>
      <c r="K12" s="240"/>
      <c r="L12" s="241"/>
      <c r="M12" s="241"/>
      <c r="N12" s="241"/>
      <c r="O12" s="241"/>
      <c r="P12" s="241"/>
      <c r="Q12" s="241"/>
      <c r="R12" s="642" t="s">
        <v>277</v>
      </c>
      <c r="S12" s="643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49"/>
      <c r="H13" s="650"/>
      <c r="I13" s="651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42"/>
      <c r="S13" s="643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DA RUA BARÃO DO RIO BRANCO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IF($E15=-1,0,IF(M$13&lt;=$L14,IF(ISERROR(MATCH(M$13,OFFSET($L14,1,0,ROW($L$47)-ROW($L14)-1),0)),ROW($L$47)-ROW($L14)-1,MATCH(M$13,OFFSET($L14,1,0,ROW($L$47)-ROW($L14)-1),0)-1),0))</f>
        <v>32</v>
      </c>
      <c r="N14" s="211">
        <f ca="1">IF($E15=-1,0,IF(N$13&lt;=$L14,IF(ISERROR(MATCH(N$13,OFFSET($L14,1,0,ROW($L$47)-ROW($L14)-1),0)),ROW($L$47)-ROW($L14)-1,MATCH(N$13,OFFSET($L14,1,0,ROW($L$47)-ROW($L14)-1),0)-1),0))</f>
        <v>0</v>
      </c>
      <c r="O14" s="211">
        <f ca="1">IF($E15=-1,0,IF(O$13&lt;=$L14,IF(ISERROR(MATCH(O$13,OFFSET($L14,1,0,ROW($L$47)-ROW($L14)-1),0)),ROW($L$47)-ROW($L14)-1,MATCH(O$13,OFFSET($L14,1,0,ROW($L$47)-ROW($L14)-1),0)-1),0))</f>
        <v>0</v>
      </c>
      <c r="P14" s="211">
        <f ca="1">IF($E15=-1,0,IF(P$13&lt;=$L14,IF(ISERROR(MATCH(P$13,OFFSET($L14,1,0,ROW($L$47)-ROW($L14)-1),0)),ROW($L$47)-ROW($L14)-1,MATCH(P$13,OFFSET($L14,1,0,ROW($L$47)-ROW($L14)-1),0)-1),0))</f>
        <v>0</v>
      </c>
      <c r="Q14" s="211">
        <f ca="1">MIN(OFFSET(L14,0,1,,L14))</f>
        <v>32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$49,"="&amp;CRONO!D$12,CÁLCULO!$AB$15:$AL$49)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$49,"&lt;="&amp;CRONO!T$12,CÁLCULO!$AB$15:$AL$49)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$49,"="&amp;CRONO!U$12,CÁLCULO!$AB$15:$AL$49)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$49,"="&amp;CRONO!V$12,CÁLCULO!$AB$15:$AL$49)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$49,"="&amp;CRONO!W$12,CÁLCULO!$AB$15:$AL$49)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$49,"="&amp;CRONO!X$12,CÁLCULO!$AB$15:$AL$49)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$49,"="&amp;CRONO!Y$12,CÁLCULO!$AB$15:$AL$49)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$49,"="&amp;CRONO!Z$12,CÁLCULO!$AB$15:$AL$49)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$49,"="&amp;CRONO!AA$12,CÁLCULO!$AB$15:$AL$49)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$49,"="&amp;CRONO!AB$12,CÁLCULO!$AB$15:$AL$49)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$49,"="&amp;CRONO!AC$12,CÁLCULO!$AB$15:$AL$49)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$49,"="&amp;CRONO!AD$12,CÁLCULO!$AB$15:$AL$49)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$49,"="&amp;CRONO!AE$12,CÁLCULO!$AB$15:$AL$49)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IF($E18=-1,0,IF(M$13&lt;=$L17,IF(ISERROR(MATCH(M$13,OFFSET($L17,1,0,ROW($L$47)-ROW($L17)-1),0)),ROW($L$47)-ROW($L17)-1,MATCH(M$13,OFFSET($L17,1,0,ROW($L$47)-ROW($L17)-1),0)-1),0))</f>
        <v>29</v>
      </c>
      <c r="N17" s="211">
        <f ca="1">IF($E18=-1,0,IF(N$13&lt;=$L17,IF(ISERROR(MATCH(N$13,OFFSET($L17,1,0,ROW($L$47)-ROW($L17)-1),0)),ROW($L$47)-ROW($L17)-1,MATCH(N$13,OFFSET($L17,1,0,ROW($L$47)-ROW($L17)-1),0)-1),0))</f>
        <v>2</v>
      </c>
      <c r="O17" s="211">
        <f ca="1">IF($E18=-1,0,IF(O$13&lt;=$L17,IF(ISERROR(MATCH(O$13,OFFSET($L17,1,0,ROW($L$47)-ROW($L17)-1),0)),ROW($L$47)-ROW($L17)-1,MATCH(O$13,OFFSET($L17,1,0,ROW($L$47)-ROW($L17)-1),0)-1),0))</f>
        <v>0</v>
      </c>
      <c r="P17" s="211">
        <f ca="1">IF($E18=-1,0,IF(P$13&lt;=$L17,IF(ISERROR(MATCH(P$13,OFFSET($L17,1,0,ROW($L$47)-ROW($L17)-1),0)),ROW($L$47)-ROW($L17)-1,MATCH(P$13,OFFSET($L17,1,0,ROW($L$47)-ROW($L17)-1),0)-1),0))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$49,"="&amp;CRONO!D$12,CÁLCULO!$AB$15:$AL$49)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$49,"&lt;="&amp;CRONO!T$12,CÁLCULO!$AB$15:$AL$49)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$49,"="&amp;CRONO!U$12,CÁLCULO!$AB$15:$AL$49)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$49,"="&amp;CRONO!V$12,CÁLCULO!$AB$15:$AL$49)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$49,"="&amp;CRONO!W$12,CÁLCULO!$AB$15:$AL$49)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$49,"="&amp;CRONO!X$12,CÁLCULO!$AB$15:$AL$49)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$49,"="&amp;CRONO!Y$12,CÁLCULO!$AB$15:$AL$49)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$49,"="&amp;CRONO!Z$12,CÁLCULO!$AB$15:$AL$49)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$49,"="&amp;CRONO!AA$12,CÁLCULO!$AB$15:$AL$49)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$49,"="&amp;CRONO!AB$12,CÁLCULO!$AB$15:$AL$49)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$49,"="&amp;CRONO!AC$12,CÁLCULO!$AB$15:$AL$49)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$49,"="&amp;CRONO!AD$12,CÁLCULO!$AB$15:$AL$49)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$49,"="&amp;CRONO!AE$12,CÁLCULO!$AB$15:$AL$49)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IF($E21=-1,0,IF(M$13&lt;=$L20,IF(ISERROR(MATCH(M$13,OFFSET($L20,1,0,ROW($L$47)-ROW($L20)-1),0)),ROW($L$47)-ROW($L20)-1,MATCH(M$13,OFFSET($L20,1,0,ROW($L$47)-ROW($L20)-1),0)-1),0))</f>
        <v>26</v>
      </c>
      <c r="N20" s="211">
        <f ca="1">IF($E21=-1,0,IF(N$13&lt;=$L20,IF(ISERROR(MATCH(N$13,OFFSET($L20,1,0,ROW($L$47)-ROW($L20)-1),0)),ROW($L$47)-ROW($L20)-1,MATCH(N$13,OFFSET($L20,1,0,ROW($L$47)-ROW($L20)-1),0)-1),0))</f>
        <v>2</v>
      </c>
      <c r="O20" s="211">
        <f ca="1">IF($E21=-1,0,IF(O$13&lt;=$L20,IF(ISERROR(MATCH(O$13,OFFSET($L20,1,0,ROW($L$47)-ROW($L20)-1),0)),ROW($L$47)-ROW($L20)-1,MATCH(O$13,OFFSET($L20,1,0,ROW($L$47)-ROW($L20)-1),0)-1),0))</f>
        <v>0</v>
      </c>
      <c r="P20" s="211">
        <f ca="1">IF($E21=-1,0,IF(P$13&lt;=$L20,IF(ISERROR(MATCH(P$13,OFFSET($L20,1,0,ROW($L$47)-ROW($L20)-1),0)),ROW($L$47)-ROW($L20)-1,MATCH(P$13,OFFSET($L20,1,0,ROW($L$47)-ROW($L20)-1),0)-1),0))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$49,"="&amp;CRONO!D$12,CÁLCULO!$AB$15:$AL$49)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$49,"&lt;="&amp;CRONO!T$12,CÁLCULO!$AB$15:$AL$49)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$49,"="&amp;CRONO!U$12,CÁLCULO!$AB$15:$AL$49)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$49,"="&amp;CRONO!V$12,CÁLCULO!$AB$15:$AL$49)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$49,"="&amp;CRONO!W$12,CÁLCULO!$AB$15:$AL$49)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$49,"="&amp;CRONO!X$12,CÁLCULO!$AB$15:$AL$49)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$49,"="&amp;CRONO!Y$12,CÁLCULO!$AB$15:$AL$49)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$49,"="&amp;CRONO!Z$12,CÁLCULO!$AB$15:$AL$49)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$49,"="&amp;CRONO!AA$12,CÁLCULO!$AB$15:$AL$49)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$49,"="&amp;CRONO!AB$12,CÁLCULO!$AB$15:$AL$49)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$49,"="&amp;CRONO!AC$12,CÁLCULO!$AB$15:$AL$49)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$49,"="&amp;CRONO!AD$12,CÁLCULO!$AB$15:$AL$49)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$49,"="&amp;CRONO!AE$12,CÁLCULO!$AB$15:$AL$49)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7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IF($E24=-1,0,IF(M$13&lt;=$L23,IF(ISERROR(MATCH(M$13,OFFSET($L23,1,0,ROW($L$47)-ROW($L23)-1),0)),ROW($L$47)-ROW($L23)-1,MATCH(M$13,OFFSET($L23,1,0,ROW($L$47)-ROW($L23)-1),0)-1),0))</f>
        <v>23</v>
      </c>
      <c r="N23" s="211">
        <f ca="1">IF($E24=-1,0,IF(N$13&lt;=$L23,IF(ISERROR(MATCH(N$13,OFFSET($L23,1,0,ROW($L$47)-ROW($L23)-1),0)),ROW($L$47)-ROW($L23)-1,MATCH(N$13,OFFSET($L23,1,0,ROW($L$47)-ROW($L23)-1),0)-1),0))</f>
        <v>2</v>
      </c>
      <c r="O23" s="211">
        <f ca="1">IF($E24=-1,0,IF(O$13&lt;=$L23,IF(ISERROR(MATCH(O$13,OFFSET($L23,1,0,ROW($L$47)-ROW($L23)-1),0)),ROW($L$47)-ROW($L23)-1,MATCH(O$13,OFFSET($L23,1,0,ROW($L$47)-ROW($L23)-1),0)-1),0))</f>
        <v>0</v>
      </c>
      <c r="P23" s="211">
        <f ca="1">IF($E24=-1,0,IF(P$13&lt;=$L23,IF(ISERROR(MATCH(P$13,OFFSET($L23,1,0,ROW($L$47)-ROW($L23)-1),0)),ROW($L$47)-ROW($L23)-1,MATCH(P$13,OFFSET($L23,1,0,ROW($L$47)-ROW($L23)-1),0)-1),0))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$49,"="&amp;CRONO!D$12,CÁLCULO!$AB$15:$AL$49)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$49,"&lt;="&amp;CRONO!T$12,CÁLCULO!$AB$15:$AL$49)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$49,"="&amp;CRONO!U$12,CÁLCULO!$AB$15:$AL$49)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$49,"="&amp;CRONO!V$12,CÁLCULO!$AB$15:$AL$49)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$49,"="&amp;CRONO!W$12,CÁLCULO!$AB$15:$AL$49)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$49,"="&amp;CRONO!X$12,CÁLCULO!$AB$15:$AL$49)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$49,"="&amp;CRONO!Y$12,CÁLCULO!$AB$15:$AL$49)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$49,"="&amp;CRONO!Z$12,CÁLCULO!$AB$15:$AL$49)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$49,"="&amp;CRONO!AA$12,CÁLCULO!$AB$15:$AL$49)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$49,"="&amp;CRONO!AB$12,CÁLCULO!$AB$15:$AL$49)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$49,"="&amp;CRONO!AC$12,CÁLCULO!$AB$15:$AL$49)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$49,"="&amp;CRONO!AD$12,CÁLCULO!$AB$15:$AL$49)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$49,"="&amp;CRONO!AE$12,CÁLCULO!$AB$15:$AL$49)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9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 xml:space="preserve">PAVIMENTAÇÃO 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IF($E27=-1,0,IF(M$13&lt;=$L26,IF(ISERROR(MATCH(M$13,OFFSET($L26,1,0,ROW($L$47)-ROW($L26)-1),0)),ROW($L$47)-ROW($L26)-1,MATCH(M$13,OFFSET($L26,1,0,ROW($L$47)-ROW($L26)-1),0)-1),0))</f>
        <v>20</v>
      </c>
      <c r="N26" s="211">
        <f ca="1">IF($E27=-1,0,IF(N$13&lt;=$L26,IF(ISERROR(MATCH(N$13,OFFSET($L26,1,0,ROW($L$47)-ROW($L26)-1),0)),ROW($L$47)-ROW($L26)-1,MATCH(N$13,OFFSET($L26,1,0,ROW($L$47)-ROW($L26)-1),0)-1),0))</f>
        <v>2</v>
      </c>
      <c r="O26" s="211">
        <f ca="1">IF($E27=-1,0,IF(O$13&lt;=$L26,IF(ISERROR(MATCH(O$13,OFFSET($L26,1,0,ROW($L$47)-ROW($L26)-1),0)),ROW($L$47)-ROW($L26)-1,MATCH(O$13,OFFSET($L26,1,0,ROW($L$47)-ROW($L26)-1),0)-1),0))</f>
        <v>0</v>
      </c>
      <c r="P26" s="211">
        <f ca="1">IF($E27=-1,0,IF(P$13&lt;=$L26,IF(ISERROR(MATCH(P$13,OFFSET($L26,1,0,ROW($L$47)-ROW($L26)-1),0)),ROW($L$47)-ROW($L26)-1,MATCH(P$13,OFFSET($L26,1,0,ROW($L$47)-ROW($L26)-1),0)-1),0))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$49,"="&amp;CRONO!D$12,CÁLCULO!$AB$15:$AL$49)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$49,"&lt;="&amp;CRONO!T$12,CÁLCULO!$AB$15:$AL$49)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$49,"="&amp;CRONO!U$12,CÁLCULO!$AB$15:$AL$49)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$49,"="&amp;CRONO!V$12,CÁLCULO!$AB$15:$AL$49)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$49,"="&amp;CRONO!W$12,CÁLCULO!$AB$15:$AL$49)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$49,"="&amp;CRONO!X$12,CÁLCULO!$AB$15:$AL$49)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$49,"="&amp;CRONO!Y$12,CÁLCULO!$AB$15:$AL$49)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$49,"="&amp;CRONO!Z$12,CÁLCULO!$AB$15:$AL$49)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$49,"="&amp;CRONO!AA$12,CÁLCULO!$AB$15:$AL$49)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$49,"="&amp;CRONO!AB$12,CÁLCULO!$AB$15:$AL$49)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$49,"="&amp;CRONO!AC$12,CÁLCULO!$AB$15:$AL$49)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$49,"="&amp;CRONO!AD$12,CÁLCULO!$AB$15:$AL$49)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$49,"="&amp;CRONO!AE$12,CÁLCULO!$AB$15:$AL$49)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19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FAIXA ELEVADA PARA TRAVESSIA DE PEDESTRE EM BLOCO DE CONCRETO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IF($E30=-1,0,IF(M$13&lt;=$L29,IF(ISERROR(MATCH(M$13,OFFSET($L29,1,0,ROW($L$47)-ROW($L29)-1),0)),ROW($L$47)-ROW($L29)-1,MATCH(M$13,OFFSET($L29,1,0,ROW($L$47)-ROW($L29)-1),0)-1),0))</f>
        <v>17</v>
      </c>
      <c r="N29" s="211">
        <f ca="1">IF($E30=-1,0,IF(N$13&lt;=$L29,IF(ISERROR(MATCH(N$13,OFFSET($L29,1,0,ROW($L$47)-ROW($L29)-1),0)),ROW($L$47)-ROW($L29)-1,MATCH(N$13,OFFSET($L29,1,0,ROW($L$47)-ROW($L29)-1),0)-1),0))</f>
        <v>2</v>
      </c>
      <c r="O29" s="211">
        <f ca="1">IF($E30=-1,0,IF(O$13&lt;=$L29,IF(ISERROR(MATCH(O$13,OFFSET($L29,1,0,ROW($L$47)-ROW($L29)-1),0)),ROW($L$47)-ROW($L29)-1,MATCH(O$13,OFFSET($L29,1,0,ROW($L$47)-ROW($L29)-1),0)-1),0))</f>
        <v>0</v>
      </c>
      <c r="P29" s="211">
        <f ca="1">IF($E30=-1,0,IF(P$13&lt;=$L29,IF(ISERROR(MATCH(P$13,OFFSET($L29,1,0,ROW($L$47)-ROW($L29)-1),0)),ROW($L$47)-ROW($L29)-1,MATCH(P$13,OFFSET($L29,1,0,ROW($L$47)-ROW($L29)-1),0)-1),0))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$49,"="&amp;CRONO!D$12,CÁLCULO!$AB$15:$AL$49)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$49,"&lt;="&amp;CRONO!T$12,CÁLCULO!$AB$15:$AL$49)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$49,"="&amp;CRONO!U$12,CÁLCULO!$AB$15:$AL$49)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$49,"="&amp;CRONO!V$12,CÁLCULO!$AB$15:$AL$49)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$49,"="&amp;CRONO!W$12,CÁLCULO!$AB$15:$AL$49)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$49,"="&amp;CRONO!X$12,CÁLCULO!$AB$15:$AL$49)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$49,"="&amp;CRONO!Y$12,CÁLCULO!$AB$15:$AL$49)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$49,"="&amp;CRONO!Z$12,CÁLCULO!$AB$15:$AL$49)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$49,"="&amp;CRONO!AA$12,CÁLCULO!$AB$15:$AL$49)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$49,"="&amp;CRONO!AB$12,CÁLCULO!$AB$15:$AL$49)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$49,"="&amp;CRONO!AC$12,CÁLCULO!$AB$15:$AL$49)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$49,"="&amp;CRONO!AD$12,CÁLCULO!$AB$15:$AL$49)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$49,"="&amp;CRONO!AE$12,CÁLCULO!$AB$15:$AL$49)/(ORÇAMENTO!$X$15-CÁLCULO.TotalAdmLocal)*CRONO!$E31,0),AE30*$R29),SUMIF(OFFSET($R31,1,0,$Q29-2),($L29+1)&amp;"$",OFFSET(AE31,1,0,$Q29-2)))</f>
        <v>0</v>
      </c>
    </row>
    <row r="32" spans="1:32" x14ac:dyDescent="0.2">
      <c r="A32" s="203">
        <f ca="1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 t="e">
        <f ca="1">IF(AND($Q32=2,ACOMPANHAMENTO="BM"),D33,D34/$R32)</f>
        <v>#DIV/0!</v>
      </c>
      <c r="E32" s="203">
        <f ca="1">IF(A32&lt;=ORÇAMENTO.MáximoListaCrono,MATCH(A32,ORÇAMENTO.ListaCrono,0),NA())</f>
        <v>22</v>
      </c>
      <c r="F32" s="203" t="str">
        <f ca="1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 t="str">
        <f ca="1">IF($E33=0,OFFSET(ORÇAMENTO!O$15,$E32,0),IF($E33&lt;&gt;-1,OFFSET(QCI!$D$13,$E33,0),""))</f>
        <v>1.6.</v>
      </c>
      <c r="I32" s="209" t="str">
        <f ca="1">IF($E33=0,OFFSET(ORÇAMENTO!R$15,$E32,0),IF($E33&lt;&gt;-1,OFFSET(QCI!$G$13,$E33,0),""))</f>
        <v>Canaleta de concreto para drenagem</v>
      </c>
      <c r="J32" s="209"/>
      <c r="K32" s="209"/>
      <c r="L32" s="210">
        <f ca="1">IF($E33=0,OFFSET(ORÇAMENTO!C$15,$E32,0),1)</f>
        <v>2</v>
      </c>
      <c r="M32" s="211">
        <f ca="1">IF($E33=-1,0,IF(M$13&lt;=$L32,IF(ISERROR(MATCH(M$13,OFFSET($L32,1,0,ROW($L$47)-ROW($L32)-1),0)),ROW($L$47)-ROW($L32)-1,MATCH(M$13,OFFSET($L32,1,0,ROW($L$47)-ROW($L32)-1),0)-1),0))</f>
        <v>14</v>
      </c>
      <c r="N32" s="211">
        <f ca="1">IF($E33=-1,0,IF(N$13&lt;=$L32,IF(ISERROR(MATCH(N$13,OFFSET($L32,1,0,ROW($L$47)-ROW($L32)-1),0)),ROW($L$47)-ROW($L32)-1,MATCH(N$13,OFFSET($L32,1,0,ROW($L$47)-ROW($L32)-1),0)-1),0))</f>
        <v>2</v>
      </c>
      <c r="O32" s="211">
        <f ca="1">IF($E33=-1,0,IF(O$13&lt;=$L32,IF(ISERROR(MATCH(O$13,OFFSET($L32,1,0,ROW($L$47)-ROW($L32)-1),0)),ROW($L$47)-ROW($L32)-1,MATCH(O$13,OFFSET($L32,1,0,ROW($L$47)-ROW($L32)-1),0)-1),0))</f>
        <v>0</v>
      </c>
      <c r="P32" s="211">
        <f ca="1">IF($E33=-1,0,IF(P$13&lt;=$L32,IF(ISERROR(MATCH(P$13,OFFSET($L32,1,0,ROW($L$47)-ROW($L32)-1),0)),ROW($L$47)-ROW($L32)-1,MATCH(P$13,OFFSET($L32,1,0,ROW($L$47)-ROW($L32)-1),0)-1),0))</f>
        <v>0</v>
      </c>
      <c r="Q32" s="211">
        <f ca="1">MIN(OFFSET(L32,0,1,,L32))</f>
        <v>2</v>
      </c>
      <c r="R32" s="212">
        <f ca="1">IF($E33=0,OFFSET(ORÇAMENTO!X$15,$E32,0),IF($E33&lt;&gt;-1,OFFSET(QCI!$O$13,$E33,0),""))</f>
        <v>0</v>
      </c>
      <c r="S32" s="213" t="s">
        <v>272</v>
      </c>
      <c r="T32" s="214" t="e">
        <f t="shared" ref="T32:AE32" ca="1" si="9">IF(AND($Q32=2,ACOMPANHAMENTO="BM"),T33,T34/$R32)</f>
        <v>#DIV/0!</v>
      </c>
      <c r="U32" s="206" t="e">
        <f t="shared" ca="1" si="9"/>
        <v>#DIV/0!</v>
      </c>
      <c r="V32" s="206" t="e">
        <f t="shared" ca="1" si="9"/>
        <v>#DIV/0!</v>
      </c>
      <c r="W32" s="206" t="e">
        <f t="shared" ca="1" si="9"/>
        <v>#DIV/0!</v>
      </c>
      <c r="X32" s="206" t="e">
        <f t="shared" ca="1" si="9"/>
        <v>#DIV/0!</v>
      </c>
      <c r="Y32" s="206" t="e">
        <f t="shared" ca="1" si="9"/>
        <v>#DIV/0!</v>
      </c>
      <c r="Z32" s="206" t="e">
        <f t="shared" ca="1" si="9"/>
        <v>#DIV/0!</v>
      </c>
      <c r="AA32" s="206" t="e">
        <f t="shared" ca="1" si="9"/>
        <v>#DIV/0!</v>
      </c>
      <c r="AB32" s="206" t="e">
        <f t="shared" ca="1" si="9"/>
        <v>#DIV/0!</v>
      </c>
      <c r="AC32" s="206" t="e">
        <f t="shared" ca="1" si="9"/>
        <v>#DIV/0!</v>
      </c>
      <c r="AD32" s="206" t="e">
        <f t="shared" ca="1" si="9"/>
        <v>#DIV/0!</v>
      </c>
      <c r="AE32" s="215" t="e">
        <f t="shared" ca="1" si="9"/>
        <v>#DIV/0!</v>
      </c>
    </row>
    <row r="33" spans="1:32" ht="12.75" customHeight="1" x14ac:dyDescent="0.2">
      <c r="D33" s="569"/>
      <c r="E33" s="203">
        <f ca="1">IF(ISERROR(E32),IF(1+COUNTIF($L$13:OFFSET(L32,-1,0),1)&lt;=MAX(QCI!$D$13:$D$15),1+COUNTIF($L$13:OFFSET(L32,-1,0),1),-1),0)</f>
        <v>0</v>
      </c>
      <c r="F33" s="203" t="str">
        <f ca="1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ca="1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70"/>
      <c r="U33" s="569"/>
      <c r="V33" s="569"/>
      <c r="W33" s="569">
        <v>0.23</v>
      </c>
      <c r="X33" s="569"/>
      <c r="Y33" s="569">
        <v>0.15</v>
      </c>
      <c r="Z33" s="569"/>
      <c r="AA33" s="569">
        <v>0.46</v>
      </c>
      <c r="AB33" s="569"/>
      <c r="AC33" s="569"/>
      <c r="AD33" s="569">
        <v>0.16</v>
      </c>
      <c r="AE33" s="571"/>
      <c r="AF33" s="533"/>
    </row>
    <row r="34" spans="1:32" ht="0.2" hidden="1" customHeight="1" x14ac:dyDescent="0.2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$49,"="&amp;CRONO!D$12,CÁLCULO!$AB$15:$AL$49)/(ORÇAMENTO!$X$15-CÁLCULO.TotalAdmLocal)*CRONO!$E34,0),D33*$R32),SUMIF(OFFSET($R34,1,0,$Q32-2),($L32+1)&amp;"$",OFFSET(D34,1,0,$Q32-2)))</f>
        <v>0</v>
      </c>
      <c r="E34" s="203">
        <f ca="1">IF(OR($Q32&lt;&gt;2,AUTOEVENTO&lt;&gt;"manual",$E33&gt;0),"",SUMIF(OFFSET(CÁLCULO!$M$15,CRONO!$E32,0,OFFSET(ORÇAMENTO!$D$15,CRONO!$E32,0)),1,OFFSET(ORÇAMENTO!$X$15,CRONO!$E32,0,OFFSET(ORÇAMENTO!$D$15,CRONO!$E32,0))))</f>
        <v>0</v>
      </c>
      <c r="G34" s="223"/>
      <c r="R34" s="224" t="str">
        <f ca="1">L32&amp;"$"</f>
        <v>2$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$49,"&lt;="&amp;CRONO!T$12,CÁLCULO!$AB$15:$AL$49)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$49,"="&amp;CRONO!U$12,CÁLCULO!$AB$15:$AL$49)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$49,"="&amp;CRONO!V$12,CÁLCULO!$AB$15:$AL$49)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$49,"="&amp;CRONO!W$12,CÁLCULO!$AB$15:$AL$49)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$49,"="&amp;CRONO!X$12,CÁLCULO!$AB$15:$AL$49)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$49,"="&amp;CRONO!Y$12,CÁLCULO!$AB$15:$AL$49)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$49,"="&amp;CRONO!Z$12,CÁLCULO!$AB$15:$AL$49)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$49,"="&amp;CRONO!AA$12,CÁLCULO!$AB$15:$AL$49)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$49,"="&amp;CRONO!AB$12,CÁLCULO!$AB$15:$AL$49)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$49,"="&amp;CRONO!AC$12,CÁLCULO!$AB$15:$AL$49)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$49,"="&amp;CRONO!AD$12,CÁLCULO!$AB$15:$AL$49)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$49,"="&amp;CRONO!AE$12,CÁLCULO!$AB$15:$AL$49)/(ORÇAMENTO!$X$15-CÁLCULO.TotalAdmLocal)*CRONO!$E34,0),AE33*$R32),SUMIF(OFFSET($R34,1,0,$Q32-2),($L32+1)&amp;"$",OFFSET(AE34,1,0,$Q32-2)))</f>
        <v>0</v>
      </c>
    </row>
    <row r="35" spans="1:32" hidden="1" x14ac:dyDescent="0.2">
      <c r="A35" s="203">
        <f ca="1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 t="e">
        <f ca="1">IF(AND($Q35=2,ACOMPANHAMENTO="BM"),D36,D37/$R35)</f>
        <v>#DIV/0!</v>
      </c>
      <c r="E35" s="203">
        <f ca="1">IF(A35&lt;=ORÇAMENTO.MáximoListaCrono,MATCH(A35,ORÇAMENTO.ListaCrono,0),NA())</f>
        <v>25</v>
      </c>
      <c r="F35" s="203" t="str">
        <f ca="1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 t="str">
        <f ca="1">IF($E36=0,OFFSET(ORÇAMENTO!O$15,$E35,0),IF($E36&lt;&gt;-1,OFFSET(QCI!$D$13,$E36,0),""))</f>
        <v>1.7.</v>
      </c>
      <c r="I35" s="209" t="str">
        <f ca="1">IF($E36=0,OFFSET(ORÇAMENTO!R$15,$E35,0),IF($E36&lt;&gt;-1,OFFSET(QCI!$G$13,$E36,0),""))</f>
        <v>PASSEIO PÚBLICO</v>
      </c>
      <c r="J35" s="209"/>
      <c r="K35" s="209"/>
      <c r="L35" s="210">
        <f ca="1">IF($E36=0,OFFSET(ORÇAMENTO!C$15,$E35,0),1)</f>
        <v>2</v>
      </c>
      <c r="M35" s="211">
        <f ca="1">IF($E36=-1,0,IF(M$13&lt;=$L35,IF(ISERROR(MATCH(M$13,OFFSET($L35,1,0,ROW($L$47)-ROW($L35)-1),0)),ROW($L$47)-ROW($L35)-1,MATCH(M$13,OFFSET($L35,1,0,ROW($L$47)-ROW($L35)-1),0)-1),0))</f>
        <v>11</v>
      </c>
      <c r="N35" s="211">
        <f ca="1">IF($E36=-1,0,IF(N$13&lt;=$L35,IF(ISERROR(MATCH(N$13,OFFSET($L35,1,0,ROW($L$47)-ROW($L35)-1),0)),ROW($L$47)-ROW($L35)-1,MATCH(N$13,OFFSET($L35,1,0,ROW($L$47)-ROW($L35)-1),0)-1),0))</f>
        <v>2</v>
      </c>
      <c r="O35" s="211">
        <f ca="1">IF($E36=-1,0,IF(O$13&lt;=$L35,IF(ISERROR(MATCH(O$13,OFFSET($L35,1,0,ROW($L$47)-ROW($L35)-1),0)),ROW($L$47)-ROW($L35)-1,MATCH(O$13,OFFSET($L35,1,0,ROW($L$47)-ROW($L35)-1),0)-1),0))</f>
        <v>0</v>
      </c>
      <c r="P35" s="211">
        <f ca="1">IF($E36=-1,0,IF(P$13&lt;=$L35,IF(ISERROR(MATCH(P$13,OFFSET($L35,1,0,ROW($L$47)-ROW($L35)-1),0)),ROW($L$47)-ROW($L35)-1,MATCH(P$13,OFFSET($L35,1,0,ROW($L$47)-ROW($L35)-1),0)-1),0))</f>
        <v>0</v>
      </c>
      <c r="Q35" s="211">
        <f ca="1">MIN(OFFSET(L35,0,1,,L35))</f>
        <v>2</v>
      </c>
      <c r="R35" s="212">
        <f ca="1">IF($E36=0,OFFSET(ORÇAMENTO!X$15,$E35,0),IF($E36&lt;&gt;-1,OFFSET(QCI!$O$13,$E36,0),""))</f>
        <v>0</v>
      </c>
      <c r="S35" s="213" t="s">
        <v>272</v>
      </c>
      <c r="T35" s="214" t="e">
        <f t="shared" ref="T35:AE35" ca="1" si="10">IF(AND($Q35=2,ACOMPANHAMENTO="BM"),T36,T37/$R35)</f>
        <v>#DIV/0!</v>
      </c>
      <c r="U35" s="206" t="e">
        <f t="shared" ca="1" si="10"/>
        <v>#DIV/0!</v>
      </c>
      <c r="V35" s="206" t="e">
        <f t="shared" ca="1" si="10"/>
        <v>#DIV/0!</v>
      </c>
      <c r="W35" s="206" t="e">
        <f t="shared" ca="1" si="10"/>
        <v>#DIV/0!</v>
      </c>
      <c r="X35" s="206" t="e">
        <f t="shared" ca="1" si="10"/>
        <v>#DIV/0!</v>
      </c>
      <c r="Y35" s="206" t="e">
        <f t="shared" ca="1" si="10"/>
        <v>#DIV/0!</v>
      </c>
      <c r="Z35" s="206" t="e">
        <f t="shared" ca="1" si="10"/>
        <v>#DIV/0!</v>
      </c>
      <c r="AA35" s="206" t="e">
        <f t="shared" ca="1" si="10"/>
        <v>#DIV/0!</v>
      </c>
      <c r="AB35" s="206" t="e">
        <f t="shared" ca="1" si="10"/>
        <v>#DIV/0!</v>
      </c>
      <c r="AC35" s="206" t="e">
        <f t="shared" ca="1" si="10"/>
        <v>#DIV/0!</v>
      </c>
      <c r="AD35" s="206" t="e">
        <f t="shared" ca="1" si="10"/>
        <v>#DIV/0!</v>
      </c>
      <c r="AE35" s="215" t="e">
        <f t="shared" ca="1" si="10"/>
        <v>#DIV/0!</v>
      </c>
    </row>
    <row r="36" spans="1:32" ht="12.75" hidden="1" customHeight="1" x14ac:dyDescent="0.2">
      <c r="D36" s="569"/>
      <c r="E36" s="203">
        <f ca="1">IF(ISERROR(E35),IF(1+COUNTIF($L$13:OFFSET(L35,-1,0),1)&lt;=MAX(QCI!$D$13:$D$15),1+COUNTIF($L$13:OFFSET(L35,-1,0),1),-1),0)</f>
        <v>0</v>
      </c>
      <c r="F36" s="203" t="str">
        <f ca="1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ca="1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70"/>
      <c r="U36" s="569"/>
      <c r="V36" s="569"/>
      <c r="W36" s="569"/>
      <c r="X36" s="569"/>
      <c r="Y36" s="569"/>
      <c r="Z36" s="569"/>
      <c r="AA36" s="569"/>
      <c r="AB36" s="569"/>
      <c r="AC36" s="569"/>
      <c r="AD36" s="569">
        <v>1</v>
      </c>
      <c r="AE36" s="571"/>
      <c r="AF36" s="533"/>
    </row>
    <row r="37" spans="1:32" ht="0.2" hidden="1" customHeight="1" x14ac:dyDescent="0.2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$49,"="&amp;CRONO!D$12,CÁLCULO!$AB$15:$AL$49)/(ORÇAMENTO!$X$15-CÁLCULO.TotalAdmLocal)*CRONO!$E37,0),D36*$R35),SUMIF(OFFSET($R37,1,0,$Q35-2),($L35+1)&amp;"$",OFFSET(D37,1,0,$Q35-2)))</f>
        <v>0</v>
      </c>
      <c r="E37" s="203">
        <f ca="1">IF(OR($Q35&lt;&gt;2,AUTOEVENTO&lt;&gt;"manual",$E36&gt;0),"",SUMIF(OFFSET(CÁLCULO!$M$15,CRONO!$E35,0,OFFSET(ORÇAMENTO!$D$15,CRONO!$E35,0)),1,OFFSET(ORÇAMENTO!$X$15,CRONO!$E35,0,OFFSET(ORÇAMENTO!$D$15,CRONO!$E35,0))))</f>
        <v>0</v>
      </c>
      <c r="G37" s="223"/>
      <c r="R37" s="224" t="str">
        <f ca="1">L35&amp;"$"</f>
        <v>2$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$49,"&lt;="&amp;CRONO!T$12,CÁLCULO!$AB$15:$AL$49)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$49,"="&amp;CRONO!U$12,CÁLCULO!$AB$15:$AL$49)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$49,"="&amp;CRONO!V$12,CÁLCULO!$AB$15:$AL$49)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$49,"="&amp;CRONO!W$12,CÁLCULO!$AB$15:$AL$49)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$49,"="&amp;CRONO!X$12,CÁLCULO!$AB$15:$AL$49)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$49,"="&amp;CRONO!Y$12,CÁLCULO!$AB$15:$AL$49)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$49,"="&amp;CRONO!Z$12,CÁLCULO!$AB$15:$AL$49)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$49,"="&amp;CRONO!AA$12,CÁLCULO!$AB$15:$AL$49)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$49,"="&amp;CRONO!AB$12,CÁLCULO!$AB$15:$AL$49)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$49,"="&amp;CRONO!AC$12,CÁLCULO!$AB$15:$AL$49)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$49,"="&amp;CRONO!AD$12,CÁLCULO!$AB$15:$AL$49)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$49,"="&amp;CRONO!AE$12,CÁLCULO!$AB$15:$AL$49)/(ORÇAMENTO!$X$15-CÁLCULO.TotalAdmLocal)*CRONO!$E37,0),AE36*$R35),SUMIF(OFFSET($R37,1,0,$Q35-2),($L35+1)&amp;"$",OFFSET(AE37,1,0,$Q35-2)))</f>
        <v>0</v>
      </c>
    </row>
    <row r="38" spans="1:32" x14ac:dyDescent="0.2">
      <c r="A38" s="203">
        <f ca="1">OFFSET(A38,-3,0)+1</f>
        <v>9</v>
      </c>
      <c r="B38" s="203">
        <f ca="1">IF($Q38&lt;&gt;2,0,IF($R38=0,1,IF(E39&gt;0,OFFSET(QCI!$M$13,SUBSTITUTE(E39,".",""),0),OFFSET(ORÇAMENTO!$AA$15,CRONO!$E38,0))/$R38))</f>
        <v>1</v>
      </c>
      <c r="C38" s="203">
        <f ca="1">IF($Q38&lt;&gt;2,0,IF($R38=0,1,IF(E39&gt;0,OFFSET(QCI!$N$13,SUBSTITUTE(E39,".",""),0),OFFSET(ORÇAMENTO!$AB$15,CRONO!$E38,0))/$R38))</f>
        <v>1</v>
      </c>
      <c r="D38" s="206" t="e">
        <f ca="1">IF(AND($Q38=2,ACOMPANHAMENTO="BM"),D39,D40/$R38)</f>
        <v>#DIV/0!</v>
      </c>
      <c r="E38" s="203">
        <f ca="1">IF(A38&lt;=ORÇAMENTO.MáximoListaCrono,MATCH(A38,ORÇAMENTO.ListaCrono,0),NA())</f>
        <v>26</v>
      </c>
      <c r="F38" s="203" t="str">
        <f ca="1">IF(AND($E39&lt;&gt;-1,$R38&gt;0),"F","")</f>
        <v/>
      </c>
      <c r="G38" s="207" t="str">
        <f ca="1">IF(OR(R38=0,R38=""),"Linha",IF(AND(OR(ACOMPANHAMENTO="PLE",$Q38&lt;&gt;2),$E39=0),"Linha",1-SUM(T38:AF38)))</f>
        <v>Linha</v>
      </c>
      <c r="H38" s="208" t="str">
        <f ca="1">IF($E39=0,OFFSET(ORÇAMENTO!O$15,$E38,0),IF($E39&lt;&gt;-1,OFFSET(QCI!$D$13,$E39,0),""))</f>
        <v>1.8.</v>
      </c>
      <c r="I38" s="209" t="str">
        <f ca="1">IF($E39=0,OFFSET(ORÇAMENTO!R$15,$E38,0),IF($E39&lt;&gt;-1,OFFSET(QCI!$G$13,$E39,0),""))</f>
        <v>Lado Direito</v>
      </c>
      <c r="J38" s="209"/>
      <c r="K38" s="209"/>
      <c r="L38" s="210">
        <f ca="1">IF($E39=0,OFFSET(ORÇAMENTO!C$15,$E38,0),1)</f>
        <v>2</v>
      </c>
      <c r="M38" s="211">
        <f ca="1">IF($E39=-1,0,IF(M$13&lt;=$L38,IF(ISERROR(MATCH(M$13,OFFSET($L38,1,0,ROW($L$47)-ROW($L38)-1),0)),ROW($L$47)-ROW($L38)-1,MATCH(M$13,OFFSET($L38,1,0,ROW($L$47)-ROW($L38)-1),0)-1),0))</f>
        <v>8</v>
      </c>
      <c r="N38" s="211">
        <f ca="1">IF($E39=-1,0,IF(N$13&lt;=$L38,IF(ISERROR(MATCH(N$13,OFFSET($L38,1,0,ROW($L$47)-ROW($L38)-1),0)),ROW($L$47)-ROW($L38)-1,MATCH(N$13,OFFSET($L38,1,0,ROW($L$47)-ROW($L38)-1),0)-1),0))</f>
        <v>2</v>
      </c>
      <c r="O38" s="211">
        <f ca="1">IF($E39=-1,0,IF(O$13&lt;=$L38,IF(ISERROR(MATCH(O$13,OFFSET($L38,1,0,ROW($L$47)-ROW($L38)-1),0)),ROW($L$47)-ROW($L38)-1,MATCH(O$13,OFFSET($L38,1,0,ROW($L$47)-ROW($L38)-1),0)-1),0))</f>
        <v>0</v>
      </c>
      <c r="P38" s="211">
        <f ca="1">IF($E39=-1,0,IF(P$13&lt;=$L38,IF(ISERROR(MATCH(P$13,OFFSET($L38,1,0,ROW($L$47)-ROW($L38)-1),0)),ROW($L$47)-ROW($L38)-1,MATCH(P$13,OFFSET($L38,1,0,ROW($L$47)-ROW($L38)-1),0)-1),0))</f>
        <v>0</v>
      </c>
      <c r="Q38" s="211">
        <f ca="1">MIN(OFFSET(L38,0,1,,L38))</f>
        <v>2</v>
      </c>
      <c r="R38" s="212">
        <f ca="1">IF($E39=0,OFFSET(ORÇAMENTO!X$15,$E38,0),IF($E39&lt;&gt;-1,OFFSET(QCI!$O$13,$E39,0),""))</f>
        <v>0</v>
      </c>
      <c r="S38" s="213" t="s">
        <v>272</v>
      </c>
      <c r="T38" s="214" t="e">
        <f t="shared" ref="T38:AE38" ca="1" si="11">IF(AND($Q38=2,ACOMPANHAMENTO="BM"),T39,T40/$R38)</f>
        <v>#DIV/0!</v>
      </c>
      <c r="U38" s="206" t="e">
        <f t="shared" ca="1" si="11"/>
        <v>#DIV/0!</v>
      </c>
      <c r="V38" s="206" t="e">
        <f t="shared" ca="1" si="11"/>
        <v>#DIV/0!</v>
      </c>
      <c r="W38" s="206" t="e">
        <f t="shared" ca="1" si="11"/>
        <v>#DIV/0!</v>
      </c>
      <c r="X38" s="206" t="e">
        <f t="shared" ca="1" si="11"/>
        <v>#DIV/0!</v>
      </c>
      <c r="Y38" s="206" t="e">
        <f t="shared" ca="1" si="11"/>
        <v>#DIV/0!</v>
      </c>
      <c r="Z38" s="206" t="e">
        <f t="shared" ca="1" si="11"/>
        <v>#DIV/0!</v>
      </c>
      <c r="AA38" s="206" t="e">
        <f t="shared" ca="1" si="11"/>
        <v>#DIV/0!</v>
      </c>
      <c r="AB38" s="206" t="e">
        <f t="shared" ca="1" si="11"/>
        <v>#DIV/0!</v>
      </c>
      <c r="AC38" s="206" t="e">
        <f t="shared" ca="1" si="11"/>
        <v>#DIV/0!</v>
      </c>
      <c r="AD38" s="206" t="e">
        <f t="shared" ca="1" si="11"/>
        <v>#DIV/0!</v>
      </c>
      <c r="AE38" s="215" t="e">
        <f t="shared" ca="1" si="11"/>
        <v>#DIV/0!</v>
      </c>
    </row>
    <row r="39" spans="1:32" ht="12.75" customHeight="1" x14ac:dyDescent="0.2">
      <c r="D39" s="569"/>
      <c r="E39" s="203">
        <f ca="1">IF(ISERROR(E38),IF(1+COUNTIF($L$13:OFFSET(L38,-1,0),1)&lt;=MAX(QCI!$D$13:$D$15),1+COUNTIF($L$13:OFFSET(L38,-1,0),1),-1),0)</f>
        <v>0</v>
      </c>
      <c r="F39" s="203" t="str">
        <f ca="1">IF(AND($E39&lt;&gt;-1,$R38&gt;0),"F","")</f>
        <v/>
      </c>
      <c r="G39" s="216" t="str">
        <f ca="1">IF(OR(R38=0,R38=""),"vazia",IF(AND(OR(ACOMPANHAMENTO="PLE",$Q38&lt;&gt;2),$E39=0),"calculada","--&gt;"))</f>
        <v>vazia</v>
      </c>
      <c r="H39" s="217"/>
      <c r="I39" s="218" t="str">
        <f ca="1">IF(AND(G38&lt;&gt;0,ISNUMBER(G38)),"PREENCHA ESTA LINHA --&gt;","")</f>
        <v/>
      </c>
      <c r="J39" s="218"/>
      <c r="K39" s="218"/>
      <c r="L39" s="219"/>
      <c r="M39" s="219"/>
      <c r="N39" s="219"/>
      <c r="O39" s="219"/>
      <c r="P39" s="219"/>
      <c r="Q39" s="219"/>
      <c r="R39" s="220"/>
      <c r="S39" s="221"/>
      <c r="T39" s="570"/>
      <c r="U39" s="569"/>
      <c r="V39" s="569"/>
      <c r="W39" s="569"/>
      <c r="X39" s="569"/>
      <c r="Y39" s="569"/>
      <c r="Z39" s="569"/>
      <c r="AA39" s="569"/>
      <c r="AB39" s="569"/>
      <c r="AC39" s="569"/>
      <c r="AD39" s="569"/>
      <c r="AE39" s="571"/>
      <c r="AF39" s="533"/>
    </row>
    <row r="40" spans="1:32" ht="0.2" hidden="1" customHeight="1" x14ac:dyDescent="0.2">
      <c r="D40" s="222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$49,"="&amp;CRONO!D$12,CÁLCULO!$AB$15:$AL$49)/(ORÇAMENTO!$X$15-CÁLCULO.TotalAdmLocal)*CRONO!$E40,0),D39*$R38),SUMIF(OFFSET($R40,1,0,$Q38-2),($L38+1)&amp;"$",OFFSET(D40,1,0,$Q38-2)))</f>
        <v>0</v>
      </c>
      <c r="E40" s="203">
        <f ca="1">IF(OR($Q38&lt;&gt;2,AUTOEVENTO&lt;&gt;"manual",$E39&gt;0),"",SUMIF(OFFSET(CÁLCULO!$M$15,CRONO!$E38,0,OFFSET(ORÇAMENTO!$D$15,CRONO!$E38,0)),1,OFFSET(ORÇAMENTO!$X$15,CRONO!$E38,0,OFFSET(ORÇAMENTO!$D$15,CRONO!$E38,0))))</f>
        <v>0</v>
      </c>
      <c r="G40" s="575"/>
      <c r="R40" s="224" t="str">
        <f ca="1">L38&amp;"$"</f>
        <v>2$</v>
      </c>
      <c r="S40" s="225"/>
      <c r="T40" s="226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$49,"&lt;="&amp;CRONO!T$12,CÁLCULO!$AB$15:$AL$49)/(ORÇAMENTO!$X$15-CÁLCULO.TotalAdmLocal)*CRONO!$E40,0),T39*$R38),SUMIF(OFFSET($R40,1,0,$Q38-2),($L38+1)&amp;"$",OFFSET(T40,1,0,$Q38-2)))</f>
        <v>0</v>
      </c>
      <c r="U40" s="222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$49,"="&amp;CRONO!U$12,CÁLCULO!$AB$15:$AL$49)/(ORÇAMENTO!$X$15-CÁLCULO.TotalAdmLocal)*CRONO!$E40,0),U39*$R38),SUMIF(OFFSET($R40,1,0,$Q38-2),($L38+1)&amp;"$",OFFSET(U40,1,0,$Q38-2)))</f>
        <v>0</v>
      </c>
      <c r="V40" s="222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$49,"="&amp;CRONO!V$12,CÁLCULO!$AB$15:$AL$49)/(ORÇAMENTO!$X$15-CÁLCULO.TotalAdmLocal)*CRONO!$E40,0),V39*$R38),SUMIF(OFFSET($R40,1,0,$Q38-2),($L38+1)&amp;"$",OFFSET(V40,1,0,$Q38-2)))</f>
        <v>0</v>
      </c>
      <c r="W40" s="222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$49,"="&amp;CRONO!W$12,CÁLCULO!$AB$15:$AL$49)/(ORÇAMENTO!$X$15-CÁLCULO.TotalAdmLocal)*CRONO!$E40,0),W39*$R38),SUMIF(OFFSET($R40,1,0,$Q38-2),($L38+1)&amp;"$",OFFSET(W40,1,0,$Q38-2)))</f>
        <v>0</v>
      </c>
      <c r="X40" s="222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$49,"="&amp;CRONO!X$12,CÁLCULO!$AB$15:$AL$49)/(ORÇAMENTO!$X$15-CÁLCULO.TotalAdmLocal)*CRONO!$E40,0),X39*$R38),SUMIF(OFFSET($R40,1,0,$Q38-2),($L38+1)&amp;"$",OFFSET(X40,1,0,$Q38-2)))</f>
        <v>0</v>
      </c>
      <c r="Y40" s="222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$49,"="&amp;CRONO!Y$12,CÁLCULO!$AB$15:$AL$49)/(ORÇAMENTO!$X$15-CÁLCULO.TotalAdmLocal)*CRONO!$E40,0),Y39*$R38),SUMIF(OFFSET($R40,1,0,$Q38-2),($L38+1)&amp;"$",OFFSET(Y40,1,0,$Q38-2)))</f>
        <v>0</v>
      </c>
      <c r="Z40" s="222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$49,"="&amp;CRONO!Z$12,CÁLCULO!$AB$15:$AL$49)/(ORÇAMENTO!$X$15-CÁLCULO.TotalAdmLocal)*CRONO!$E40,0),Z39*$R38),SUMIF(OFFSET($R40,1,0,$Q38-2),($L38+1)&amp;"$",OFFSET(Z40,1,0,$Q38-2)))</f>
        <v>0</v>
      </c>
      <c r="AA40" s="222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$49,"="&amp;CRONO!AA$12,CÁLCULO!$AB$15:$AL$49)/(ORÇAMENTO!$X$15-CÁLCULO.TotalAdmLocal)*CRONO!$E40,0),AA39*$R38),SUMIF(OFFSET($R40,1,0,$Q38-2),($L38+1)&amp;"$",OFFSET(AA40,1,0,$Q38-2)))</f>
        <v>0</v>
      </c>
      <c r="AB40" s="222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$49,"="&amp;CRONO!AB$12,CÁLCULO!$AB$15:$AL$49)/(ORÇAMENTO!$X$15-CÁLCULO.TotalAdmLocal)*CRONO!$E40,0),AB39*$R38),SUMIF(OFFSET($R40,1,0,$Q38-2),($L38+1)&amp;"$",OFFSET(AB40,1,0,$Q38-2)))</f>
        <v>0</v>
      </c>
      <c r="AC40" s="222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$49,"="&amp;CRONO!AC$12,CÁLCULO!$AB$15:$AL$49)/(ORÇAMENTO!$X$15-CÁLCULO.TotalAdmLocal)*CRONO!$E40,0),AC39*$R38),SUMIF(OFFSET($R40,1,0,$Q38-2),($L38+1)&amp;"$",OFFSET(AC40,1,0,$Q38-2)))</f>
        <v>0</v>
      </c>
      <c r="AD40" s="222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$49,"="&amp;CRONO!AD$12,CÁLCULO!$AB$15:$AL$49)/(ORÇAMENTO!$X$15-CÁLCULO.TotalAdmLocal)*CRONO!$E40,0),AD39*$R38),SUMIF(OFFSET($R40,1,0,$Q38-2),($L38+1)&amp;"$",OFFSET(AD40,1,0,$Q38-2)))</f>
        <v>0</v>
      </c>
      <c r="AE40" s="227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$49,"="&amp;CRONO!AE$12,CÁLCULO!$AB$15:$AL$49)/(ORÇAMENTO!$X$15-CÁLCULO.TotalAdmLocal)*CRONO!$E40,0),AE39*$R38),SUMIF(OFFSET($R40,1,0,$Q38-2),($L38+1)&amp;"$",OFFSET(AE40,1,0,$Q38-2)))</f>
        <v>0</v>
      </c>
    </row>
    <row r="41" spans="1:32" x14ac:dyDescent="0.2">
      <c r="A41" s="203">
        <f t="shared" ref="A41" ca="1" si="12">OFFSET(A41,-3,0)+1</f>
        <v>10</v>
      </c>
      <c r="B41" s="203">
        <f ca="1">IF($Q41&lt;&gt;2,0,IF($R41=0,1,IF(E42&gt;0,OFFSET(QCI!$M$13,SUBSTITUTE(E42,".",""),0),OFFSET(ORÇAMENTO!$AA$15,CRONO!$E41,0))/$R41))</f>
        <v>1</v>
      </c>
      <c r="C41" s="203">
        <f ca="1">IF($Q41&lt;&gt;2,0,IF($R41=0,1,IF(E42&gt;0,OFFSET(QCI!$N$13,SUBSTITUTE(E42,".",""),0),OFFSET(ORÇAMENTO!$AB$15,CRONO!$E41,0))/$R41))</f>
        <v>1</v>
      </c>
      <c r="D41" s="206" t="e">
        <f ca="1">IF(AND($Q41=2,ACOMPANHAMENTO="BM"),D42,D43/$R41)</f>
        <v>#DIV/0!</v>
      </c>
      <c r="E41" s="203">
        <f ca="1">IF(A41&lt;=ORÇAMENTO.MáximoListaCrono,MATCH(A41,ORÇAMENTO.ListaCrono,0),NA())</f>
        <v>28</v>
      </c>
      <c r="F41" s="203" t="str">
        <f t="shared" ref="F41" ca="1" si="13">IF(AND($E42&lt;&gt;-1,$R41&gt;0),"F","")</f>
        <v/>
      </c>
      <c r="G41" s="207" t="str">
        <f ca="1">IF(OR(R41=0,R41=""),"Linha",IF(AND(OR(ACOMPANHAMENTO="PLE",$Q41&lt;&gt;2),$E42=0),"Linha",1-SUM(T41:AF41)))</f>
        <v>Linha</v>
      </c>
      <c r="H41" s="208" t="str">
        <f ca="1">IF($E42=0,OFFSET(ORÇAMENTO!O$15,$E41,0),IF($E42&lt;&gt;-1,OFFSET(QCI!$D$13,$E42,0),""))</f>
        <v>1.9.</v>
      </c>
      <c r="I41" s="209" t="str">
        <f ca="1">IF($E42=0,OFFSET(ORÇAMENTO!R$15,$E41,0),IF($E42&lt;&gt;-1,OFFSET(QCI!$G$13,$E42,0),""))</f>
        <v>Lado Esquerdo</v>
      </c>
      <c r="J41" s="209"/>
      <c r="K41" s="209"/>
      <c r="L41" s="210">
        <f ca="1">IF($E42=0,OFFSET(ORÇAMENTO!C$15,$E41,0),1)</f>
        <v>2</v>
      </c>
      <c r="M41" s="211">
        <f t="shared" ref="M41" ca="1" si="14">IF($E42=-1,0,IF(M$13&lt;=$L41,IF(ISERROR(MATCH(M$13,OFFSET($L41,1,0,ROW($L$47)-ROW($L41)-1),0)),ROW($L$47)-ROW($L41)-1,MATCH(M$13,OFFSET($L41,1,0,ROW($L$47)-ROW($L41)-1),0)-1),0))</f>
        <v>5</v>
      </c>
      <c r="N41" s="211">
        <f t="shared" ref="N41" ca="1" si="15">IF($E42=-1,0,IF(N$13&lt;=$L41,IF(ISERROR(MATCH(N$13,OFFSET($L41,1,0,ROW($L$47)-ROW($L41)-1),0)),ROW($L$47)-ROW($L41)-1,MATCH(N$13,OFFSET($L41,1,0,ROW($L$47)-ROW($L41)-1),0)-1),0))</f>
        <v>2</v>
      </c>
      <c r="O41" s="211">
        <f t="shared" ref="O41" ca="1" si="16">IF($E42=-1,0,IF(O$13&lt;=$L41,IF(ISERROR(MATCH(O$13,OFFSET($L41,1,0,ROW($L$47)-ROW($L41)-1),0)),ROW($L$47)-ROW($L41)-1,MATCH(O$13,OFFSET($L41,1,0,ROW($L$47)-ROW($L41)-1),0)-1),0))</f>
        <v>0</v>
      </c>
      <c r="P41" s="211">
        <f t="shared" ref="P41" ca="1" si="17">IF($E42=-1,0,IF(P$13&lt;=$L41,IF(ISERROR(MATCH(P$13,OFFSET($L41,1,0,ROW($L$47)-ROW($L41)-1),0)),ROW($L$47)-ROW($L41)-1,MATCH(P$13,OFFSET($L41,1,0,ROW($L$47)-ROW($L41)-1),0)-1),0))</f>
        <v>0</v>
      </c>
      <c r="Q41" s="211">
        <f t="shared" ref="Q41" ca="1" si="18">MIN(OFFSET(L41,0,1,,L41))</f>
        <v>2</v>
      </c>
      <c r="R41" s="212">
        <f ca="1">IF($E42=0,OFFSET(ORÇAMENTO!X$15,$E41,0),IF($E42&lt;&gt;-1,OFFSET(QCI!$O$13,$E42,0),""))</f>
        <v>0</v>
      </c>
      <c r="S41" s="213" t="s">
        <v>272</v>
      </c>
      <c r="T41" s="214" t="e">
        <f t="shared" ref="T41:AE41" ca="1" si="19">IF(AND($Q41=2,ACOMPANHAMENTO="BM"),T42,T43/$R41)</f>
        <v>#DIV/0!</v>
      </c>
      <c r="U41" s="206" t="e">
        <f t="shared" ca="1" si="19"/>
        <v>#DIV/0!</v>
      </c>
      <c r="V41" s="206" t="e">
        <f t="shared" ca="1" si="19"/>
        <v>#DIV/0!</v>
      </c>
      <c r="W41" s="206" t="e">
        <f t="shared" ca="1" si="19"/>
        <v>#DIV/0!</v>
      </c>
      <c r="X41" s="206" t="e">
        <f t="shared" ca="1" si="19"/>
        <v>#DIV/0!</v>
      </c>
      <c r="Y41" s="206" t="e">
        <f t="shared" ca="1" si="19"/>
        <v>#DIV/0!</v>
      </c>
      <c r="Z41" s="206" t="e">
        <f t="shared" ca="1" si="19"/>
        <v>#DIV/0!</v>
      </c>
      <c r="AA41" s="206" t="e">
        <f t="shared" ca="1" si="19"/>
        <v>#DIV/0!</v>
      </c>
      <c r="AB41" s="206" t="e">
        <f t="shared" ca="1" si="19"/>
        <v>#DIV/0!</v>
      </c>
      <c r="AC41" s="206" t="e">
        <f t="shared" ca="1" si="19"/>
        <v>#DIV/0!</v>
      </c>
      <c r="AD41" s="206" t="e">
        <f t="shared" ca="1" si="19"/>
        <v>#DIV/0!</v>
      </c>
      <c r="AE41" s="215" t="e">
        <f t="shared" ca="1" si="19"/>
        <v>#DIV/0!</v>
      </c>
    </row>
    <row r="42" spans="1:32" ht="12.75" customHeight="1" x14ac:dyDescent="0.2">
      <c r="D42" s="569"/>
      <c r="E42" s="203">
        <f ca="1">IF(ISERROR(E41),IF(1+COUNTIF($L$13:OFFSET(L41,-1,0),1)&lt;=MAX(QCI!$D$13:$D$15),1+COUNTIF($L$13:OFFSET(L41,-1,0),1),-1),0)</f>
        <v>0</v>
      </c>
      <c r="F42" s="203" t="str">
        <f t="shared" ref="F42" ca="1" si="20">IF(AND($E42&lt;&gt;-1,$R41&gt;0),"F","")</f>
        <v/>
      </c>
      <c r="G42" s="216" t="str">
        <f ca="1">IF(OR(R41=0,R41=""),"vazia",IF(AND(OR(ACOMPANHAMENTO="PLE",$Q41&lt;&gt;2),$E42=0),"calculada","--&gt;"))</f>
        <v>vazia</v>
      </c>
      <c r="H42" s="217"/>
      <c r="I42" s="218" t="str">
        <f t="shared" ref="I42" ca="1" si="21">IF(AND(G41&lt;&gt;0,ISNUMBER(G41)),"PREENCHA ESTA LINHA --&gt;","")</f>
        <v/>
      </c>
      <c r="J42" s="218"/>
      <c r="K42" s="218"/>
      <c r="L42" s="219"/>
      <c r="M42" s="219"/>
      <c r="N42" s="219"/>
      <c r="O42" s="219"/>
      <c r="P42" s="219"/>
      <c r="Q42" s="219"/>
      <c r="R42" s="220"/>
      <c r="S42" s="221"/>
      <c r="T42" s="570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71"/>
      <c r="AF42" s="533"/>
    </row>
    <row r="43" spans="1:32" ht="0.2" hidden="1" customHeight="1" x14ac:dyDescent="0.2">
      <c r="D43" s="222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$49,"="&amp;CRONO!D$12,CÁLCULO!$AB$15:$AL$49)/(ORÇAMENTO!$X$15-CÁLCULO.TotalAdmLocal)*CRONO!$E43,0),D42*$R41),SUMIF(OFFSET($R43,1,0,$Q41-2),($L41+1)&amp;"$",OFFSET(D43,1,0,$Q41-2)))</f>
        <v>0</v>
      </c>
      <c r="E43" s="203">
        <f ca="1">IF(OR($Q41&lt;&gt;2,AUTOEVENTO&lt;&gt;"manual",$E42&gt;0),"",SUMIF(OFFSET(CÁLCULO!$M$15,CRONO!$E41,0,OFFSET(ORÇAMENTO!$D$15,CRONO!$E41,0)),1,OFFSET(ORÇAMENTO!$X$15,CRONO!$E41,0,OFFSET(ORÇAMENTO!$D$15,CRONO!$E41,0))))</f>
        <v>0</v>
      </c>
      <c r="G43" s="581"/>
      <c r="R43" s="224" t="str">
        <f t="shared" ref="R43" ca="1" si="22">L41&amp;"$"</f>
        <v>2$</v>
      </c>
      <c r="S43" s="225"/>
      <c r="T43" s="226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$49,"&lt;="&amp;CRONO!T$12,CÁLCULO!$AB$15:$AL$49)/(ORÇAMENTO!$X$15-CÁLCULO.TotalAdmLocal)*CRONO!$E43,0),T42*$R41),SUMIF(OFFSET($R43,1,0,$Q41-2),($L41+1)&amp;"$",OFFSET(T43,1,0,$Q41-2)))</f>
        <v>0</v>
      </c>
      <c r="U43" s="222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$49,"="&amp;CRONO!U$12,CÁLCULO!$AB$15:$AL$49)/(ORÇAMENTO!$X$15-CÁLCULO.TotalAdmLocal)*CRONO!$E43,0),U42*$R41),SUMIF(OFFSET($R43,1,0,$Q41-2),($L41+1)&amp;"$",OFFSET(U43,1,0,$Q41-2)))</f>
        <v>0</v>
      </c>
      <c r="V43" s="222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$49,"="&amp;CRONO!V$12,CÁLCULO!$AB$15:$AL$49)/(ORÇAMENTO!$X$15-CÁLCULO.TotalAdmLocal)*CRONO!$E43,0),V42*$R41),SUMIF(OFFSET($R43,1,0,$Q41-2),($L41+1)&amp;"$",OFFSET(V43,1,0,$Q41-2)))</f>
        <v>0</v>
      </c>
      <c r="W43" s="222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$49,"="&amp;CRONO!W$12,CÁLCULO!$AB$15:$AL$49)/(ORÇAMENTO!$X$15-CÁLCULO.TotalAdmLocal)*CRONO!$E43,0),W42*$R41),SUMIF(OFFSET($R43,1,0,$Q41-2),($L41+1)&amp;"$",OFFSET(W43,1,0,$Q41-2)))</f>
        <v>0</v>
      </c>
      <c r="X43" s="222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$49,"="&amp;CRONO!X$12,CÁLCULO!$AB$15:$AL$49)/(ORÇAMENTO!$X$15-CÁLCULO.TotalAdmLocal)*CRONO!$E43,0),X42*$R41),SUMIF(OFFSET($R43,1,0,$Q41-2),($L41+1)&amp;"$",OFFSET(X43,1,0,$Q41-2)))</f>
        <v>0</v>
      </c>
      <c r="Y43" s="222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$49,"="&amp;CRONO!Y$12,CÁLCULO!$AB$15:$AL$49)/(ORÇAMENTO!$X$15-CÁLCULO.TotalAdmLocal)*CRONO!$E43,0),Y42*$R41),SUMIF(OFFSET($R43,1,0,$Q41-2),($L41+1)&amp;"$",OFFSET(Y43,1,0,$Q41-2)))</f>
        <v>0</v>
      </c>
      <c r="Z43" s="222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$49,"="&amp;CRONO!Z$12,CÁLCULO!$AB$15:$AL$49)/(ORÇAMENTO!$X$15-CÁLCULO.TotalAdmLocal)*CRONO!$E43,0),Z42*$R41),SUMIF(OFFSET($R43,1,0,$Q41-2),($L41+1)&amp;"$",OFFSET(Z43,1,0,$Q41-2)))</f>
        <v>0</v>
      </c>
      <c r="AA43" s="222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$49,"="&amp;CRONO!AA$12,CÁLCULO!$AB$15:$AL$49)/(ORÇAMENTO!$X$15-CÁLCULO.TotalAdmLocal)*CRONO!$E43,0),AA42*$R41),SUMIF(OFFSET($R43,1,0,$Q41-2),($L41+1)&amp;"$",OFFSET(AA43,1,0,$Q41-2)))</f>
        <v>0</v>
      </c>
      <c r="AB43" s="222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$49,"="&amp;CRONO!AB$12,CÁLCULO!$AB$15:$AL$49)/(ORÇAMENTO!$X$15-CÁLCULO.TotalAdmLocal)*CRONO!$E43,0),AB42*$R41),SUMIF(OFFSET($R43,1,0,$Q41-2),($L41+1)&amp;"$",OFFSET(AB43,1,0,$Q41-2)))</f>
        <v>0</v>
      </c>
      <c r="AC43" s="222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$49,"="&amp;CRONO!AC$12,CÁLCULO!$AB$15:$AL$49)/(ORÇAMENTO!$X$15-CÁLCULO.TotalAdmLocal)*CRONO!$E43,0),AC42*$R41),SUMIF(OFFSET($R43,1,0,$Q41-2),($L41+1)&amp;"$",OFFSET(AC43,1,0,$Q41-2)))</f>
        <v>0</v>
      </c>
      <c r="AD43" s="222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$49,"="&amp;CRONO!AD$12,CÁLCULO!$AB$15:$AL$49)/(ORÇAMENTO!$X$15-CÁLCULO.TotalAdmLocal)*CRONO!$E43,0),AD42*$R41),SUMIF(OFFSET($R43,1,0,$Q41-2),($L41+1)&amp;"$",OFFSET(AD43,1,0,$Q41-2)))</f>
        <v>0</v>
      </c>
      <c r="AE43" s="227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$49,"="&amp;CRONO!AE$12,CÁLCULO!$AB$15:$AL$49)/(ORÇAMENTO!$X$15-CÁLCULO.TotalAdmLocal)*CRONO!$E43,0),AE42*$R41),SUMIF(OFFSET($R43,1,0,$Q41-2),($L41+1)&amp;"$",OFFSET(AE43,1,0,$Q41-2)))</f>
        <v>0</v>
      </c>
    </row>
    <row r="44" spans="1:32" x14ac:dyDescent="0.2">
      <c r="A44" s="203">
        <f t="shared" ref="A44" ca="1" si="23">OFFSET(A44,-3,0)+1</f>
        <v>11</v>
      </c>
      <c r="B44" s="203">
        <f ca="1">IF($Q44&lt;&gt;2,0,IF($R44=0,1,IF(E45&gt;0,OFFSET(QCI!$M$13,SUBSTITUTE(E45,".",""),0),OFFSET(ORÇAMENTO!$AA$15,CRONO!$E44,0))/$R44))</f>
        <v>1</v>
      </c>
      <c r="C44" s="203">
        <f ca="1">IF($Q44&lt;&gt;2,0,IF($R44=0,1,IF(E45&gt;0,OFFSET(QCI!$N$13,SUBSTITUTE(E45,".",""),0),OFFSET(ORÇAMENTO!$AB$15,CRONO!$E44,0))/$R44))</f>
        <v>1</v>
      </c>
      <c r="D44" s="206" t="e">
        <f ca="1">IF(AND($Q44=2,ACOMPANHAMENTO="BM"),D45,D46/$R44)</f>
        <v>#DIV/0!</v>
      </c>
      <c r="E44" s="203">
        <f ca="1">IF(A44&lt;=ORÇAMENTO.MáximoListaCrono,MATCH(A44,ORÇAMENTO.ListaCrono,0),NA())</f>
        <v>30</v>
      </c>
      <c r="F44" s="203" t="str">
        <f t="shared" ref="F44" ca="1" si="24">IF(AND($E45&lt;&gt;-1,$R44&gt;0),"F","")</f>
        <v/>
      </c>
      <c r="G44" s="207" t="str">
        <f ca="1">IF(OR(R44=0,R44=""),"Linha",IF(AND(OR(ACOMPANHAMENTO="PLE",$Q44&lt;&gt;2),$E45=0),"Linha",1-SUM(T44:AF44)))</f>
        <v>Linha</v>
      </c>
      <c r="H44" s="208" t="str">
        <f ca="1">IF($E45=0,OFFSET(ORÇAMENTO!O$15,$E44,0),IF($E45&lt;&gt;-1,OFFSET(QCI!$D$13,$E45,0),""))</f>
        <v>1.10.</v>
      </c>
      <c r="I44" s="209" t="str">
        <f ca="1">IF($E45=0,OFFSET(ORÇAMENTO!R$15,$E44,0),IF($E45&lt;&gt;-1,OFFSET(QCI!$G$13,$E45,0),""))</f>
        <v>SINALIZAÇÃO VERTICAL</v>
      </c>
      <c r="J44" s="209"/>
      <c r="K44" s="209"/>
      <c r="L44" s="210">
        <f ca="1">IF($E45=0,OFFSET(ORÇAMENTO!C$15,$E44,0),1)</f>
        <v>2</v>
      </c>
      <c r="M44" s="211">
        <f t="shared" ref="M44" ca="1" si="25">IF($E45=-1,0,IF(M$13&lt;=$L44,IF(ISERROR(MATCH(M$13,OFFSET($L44,1,0,ROW($L$47)-ROW($L44)-1),0)),ROW($L$47)-ROW($L44)-1,MATCH(M$13,OFFSET($L44,1,0,ROW($L$47)-ROW($L44)-1),0)-1),0))</f>
        <v>2</v>
      </c>
      <c r="N44" s="211">
        <f t="shared" ref="N44" ca="1" si="26">IF($E45=-1,0,IF(N$13&lt;=$L44,IF(ISERROR(MATCH(N$13,OFFSET($L44,1,0,ROW($L$47)-ROW($L44)-1),0)),ROW($L$47)-ROW($L44)-1,MATCH(N$13,OFFSET($L44,1,0,ROW($L$47)-ROW($L44)-1),0)-1),0))</f>
        <v>2</v>
      </c>
      <c r="O44" s="211">
        <f t="shared" ref="O44" ca="1" si="27">IF($E45=-1,0,IF(O$13&lt;=$L44,IF(ISERROR(MATCH(O$13,OFFSET($L44,1,0,ROW($L$47)-ROW($L44)-1),0)),ROW($L$47)-ROW($L44)-1,MATCH(O$13,OFFSET($L44,1,0,ROW($L$47)-ROW($L44)-1),0)-1),0))</f>
        <v>0</v>
      </c>
      <c r="P44" s="211">
        <f t="shared" ref="P44" ca="1" si="28">IF($E45=-1,0,IF(P$13&lt;=$L44,IF(ISERROR(MATCH(P$13,OFFSET($L44,1,0,ROW($L$47)-ROW($L44)-1),0)),ROW($L$47)-ROW($L44)-1,MATCH(P$13,OFFSET($L44,1,0,ROW($L$47)-ROW($L44)-1),0)-1),0))</f>
        <v>0</v>
      </c>
      <c r="Q44" s="211">
        <f t="shared" ref="Q44" ca="1" si="29">MIN(OFFSET(L44,0,1,,L44))</f>
        <v>2</v>
      </c>
      <c r="R44" s="212">
        <f ca="1">IF($E45=0,OFFSET(ORÇAMENTO!X$15,$E44,0),IF($E45&lt;&gt;-1,OFFSET(QCI!$O$13,$E45,0),""))</f>
        <v>0</v>
      </c>
      <c r="S44" s="213" t="s">
        <v>272</v>
      </c>
      <c r="T44" s="214" t="e">
        <f t="shared" ref="T44:AE44" ca="1" si="30">IF(AND($Q44=2,ACOMPANHAMENTO="BM"),T45,T46/$R44)</f>
        <v>#DIV/0!</v>
      </c>
      <c r="U44" s="206" t="e">
        <f t="shared" ca="1" si="30"/>
        <v>#DIV/0!</v>
      </c>
      <c r="V44" s="206" t="e">
        <f t="shared" ca="1" si="30"/>
        <v>#DIV/0!</v>
      </c>
      <c r="W44" s="206" t="e">
        <f t="shared" ca="1" si="30"/>
        <v>#DIV/0!</v>
      </c>
      <c r="X44" s="206" t="e">
        <f t="shared" ca="1" si="30"/>
        <v>#DIV/0!</v>
      </c>
      <c r="Y44" s="206" t="e">
        <f t="shared" ca="1" si="30"/>
        <v>#DIV/0!</v>
      </c>
      <c r="Z44" s="206" t="e">
        <f t="shared" ca="1" si="30"/>
        <v>#DIV/0!</v>
      </c>
      <c r="AA44" s="206" t="e">
        <f t="shared" ca="1" si="30"/>
        <v>#DIV/0!</v>
      </c>
      <c r="AB44" s="206" t="e">
        <f t="shared" ca="1" si="30"/>
        <v>#DIV/0!</v>
      </c>
      <c r="AC44" s="206" t="e">
        <f t="shared" ca="1" si="30"/>
        <v>#DIV/0!</v>
      </c>
      <c r="AD44" s="206" t="e">
        <f t="shared" ca="1" si="30"/>
        <v>#DIV/0!</v>
      </c>
      <c r="AE44" s="215" t="e">
        <f t="shared" ca="1" si="30"/>
        <v>#DIV/0!</v>
      </c>
    </row>
    <row r="45" spans="1:32" ht="12.75" customHeight="1" x14ac:dyDescent="0.2">
      <c r="D45" s="569"/>
      <c r="E45" s="203">
        <f ca="1">IF(ISERROR(E44),IF(1+COUNTIF($L$13:OFFSET(L44,-1,0),1)&lt;=MAX(QCI!$D$13:$D$15),1+COUNTIF($L$13:OFFSET(L44,-1,0),1),-1),0)</f>
        <v>0</v>
      </c>
      <c r="F45" s="203" t="str">
        <f t="shared" ref="F45" ca="1" si="31">IF(AND($E45&lt;&gt;-1,$R44&gt;0),"F","")</f>
        <v/>
      </c>
      <c r="G45" s="216" t="str">
        <f ca="1">IF(OR(R44=0,R44=""),"vazia",IF(AND(OR(ACOMPANHAMENTO="PLE",$Q44&lt;&gt;2),$E45=0),"calculada","--&gt;"))</f>
        <v>vazia</v>
      </c>
      <c r="H45" s="217"/>
      <c r="I45" s="218" t="str">
        <f t="shared" ref="I45" ca="1" si="32">IF(AND(G44&lt;&gt;0,ISNUMBER(G44)),"PREENCHA ESTA LINHA --&gt;","")</f>
        <v/>
      </c>
      <c r="J45" s="218"/>
      <c r="K45" s="218"/>
      <c r="L45" s="219"/>
      <c r="M45" s="219"/>
      <c r="N45" s="219"/>
      <c r="O45" s="219"/>
      <c r="P45" s="219"/>
      <c r="Q45" s="219"/>
      <c r="R45" s="220"/>
      <c r="S45" s="221"/>
      <c r="T45" s="570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71"/>
      <c r="AF45" s="533"/>
    </row>
    <row r="46" spans="1:32" ht="0.2" hidden="1" customHeight="1" x14ac:dyDescent="0.2">
      <c r="D46" s="222">
        <f ca="1">IF($Q44=2,IF(AND(ACOMPANHAMENTO="PLE",ISNUMBER($E44)),SUMIF((OFFSET(CÁLCULO!$AM$15:$AW$15,$E44,0,OFFSET(ORÇAMENTO!$D$15,CRONO!$E44,0))),"="&amp;CRONO!D$12,OFFSET(CÁLCULO!$AB$15:$AL$15,$E44,0,OFFSET(ORÇAMENTO!$D$15,CRONO!$E44,0)))+IF(AND($E46&lt;&gt;"",$E46&lt;&gt;0),SUMIF(CÁLCULO!$AM$15:$AW$49,"="&amp;CRONO!D$12,CÁLCULO!$AB$15:$AL$49)/(ORÇAMENTO!$X$15-CÁLCULO.TotalAdmLocal)*CRONO!$E46,0),D45*$R44),SUMIF(OFFSET($R46,1,0,$Q44-2),($L44+1)&amp;"$",OFFSET(D46,1,0,$Q44-2)))</f>
        <v>0</v>
      </c>
      <c r="E46" s="203">
        <f ca="1">IF(OR($Q44&lt;&gt;2,AUTOEVENTO&lt;&gt;"manual",$E45&gt;0),"",SUMIF(OFFSET(CÁLCULO!$M$15,CRONO!$E44,0,OFFSET(ORÇAMENTO!$D$15,CRONO!$E44,0)),1,OFFSET(ORÇAMENTO!$X$15,CRONO!$E44,0,OFFSET(ORÇAMENTO!$D$15,CRONO!$E44,0))))</f>
        <v>0</v>
      </c>
      <c r="G46" s="581"/>
      <c r="R46" s="224" t="str">
        <f t="shared" ref="R46" ca="1" si="33">L44&amp;"$"</f>
        <v>2$</v>
      </c>
      <c r="S46" s="225"/>
      <c r="T46" s="226">
        <f ca="1">IF($Q44=2,IF(AND(ACOMPANHAMENTO="PLE",ISNUMBER($E44)),SUMIF((OFFSET(CÁLCULO!$AM$15:$AW$15,$E44,0,OFFSET(ORÇAMENTO!$D$15,CRONO!$E44,0))),"&lt;="&amp;CRONO!T$12,OFFSET(CÁLCULO!$AB$15:$AL$15,$E44,0,OFFSET(ORÇAMENTO!$D$15,CRONO!$E44,0)))+IF(AND($E46&lt;&gt;"",$E46&lt;&gt;0),SUMIF(CÁLCULO!$AM$15:$AW$49,"&lt;="&amp;CRONO!T$12,CÁLCULO!$AB$15:$AL$49)/(ORÇAMENTO!$X$15-CÁLCULO.TotalAdmLocal)*CRONO!$E46,0),T45*$R44),SUMIF(OFFSET($R46,1,0,$Q44-2),($L44+1)&amp;"$",OFFSET(T46,1,0,$Q44-2)))</f>
        <v>0</v>
      </c>
      <c r="U46" s="222">
        <f ca="1">IF($Q44=2,IF(AND(ACOMPANHAMENTO="PLE",ISNUMBER($E44)),SUMIF((OFFSET(CÁLCULO!$AM$15:$AW$15,$E44,0,OFFSET(ORÇAMENTO!$D$15,CRONO!$E44,0))),"="&amp;CRONO!U$12,OFFSET(CÁLCULO!$AB$15:$AL$15,$E44,0,OFFSET(ORÇAMENTO!$D$15,CRONO!$E44,0)))+IF(AND($E46&lt;&gt;"",$E46&lt;&gt;0),SUMIF(CÁLCULO!$AM$15:$AW$49,"="&amp;CRONO!U$12,CÁLCULO!$AB$15:$AL$49)/(ORÇAMENTO!$X$15-CÁLCULO.TotalAdmLocal)*CRONO!$E46,0),U45*$R44),SUMIF(OFFSET($R46,1,0,$Q44-2),($L44+1)&amp;"$",OFFSET(U46,1,0,$Q44-2)))</f>
        <v>0</v>
      </c>
      <c r="V46" s="222">
        <f ca="1">IF($Q44=2,IF(AND(ACOMPANHAMENTO="PLE",ISNUMBER($E44)),SUMIF((OFFSET(CÁLCULO!$AM$15:$AW$15,$E44,0,OFFSET(ORÇAMENTO!$D$15,CRONO!$E44,0))),"="&amp;CRONO!V$12,OFFSET(CÁLCULO!$AB$15:$AL$15,$E44,0,OFFSET(ORÇAMENTO!$D$15,CRONO!$E44,0)))+IF(AND($E46&lt;&gt;"",$E46&lt;&gt;0),SUMIF(CÁLCULO!$AM$15:$AW$49,"="&amp;CRONO!V$12,CÁLCULO!$AB$15:$AL$49)/(ORÇAMENTO!$X$15-CÁLCULO.TotalAdmLocal)*CRONO!$E46,0),V45*$R44),SUMIF(OFFSET($R46,1,0,$Q44-2),($L44+1)&amp;"$",OFFSET(V46,1,0,$Q44-2)))</f>
        <v>0</v>
      </c>
      <c r="W46" s="222">
        <f ca="1">IF($Q44=2,IF(AND(ACOMPANHAMENTO="PLE",ISNUMBER($E44)),SUMIF((OFFSET(CÁLCULO!$AM$15:$AW$15,$E44,0,OFFSET(ORÇAMENTO!$D$15,CRONO!$E44,0))),"="&amp;CRONO!W$12,OFFSET(CÁLCULO!$AB$15:$AL$15,$E44,0,OFFSET(ORÇAMENTO!$D$15,CRONO!$E44,0)))+IF(AND($E46&lt;&gt;"",$E46&lt;&gt;0),SUMIF(CÁLCULO!$AM$15:$AW$49,"="&amp;CRONO!W$12,CÁLCULO!$AB$15:$AL$49)/(ORÇAMENTO!$X$15-CÁLCULO.TotalAdmLocal)*CRONO!$E46,0),W45*$R44),SUMIF(OFFSET($R46,1,0,$Q44-2),($L44+1)&amp;"$",OFFSET(W46,1,0,$Q44-2)))</f>
        <v>0</v>
      </c>
      <c r="X46" s="222">
        <f ca="1">IF($Q44=2,IF(AND(ACOMPANHAMENTO="PLE",ISNUMBER($E44)),SUMIF((OFFSET(CÁLCULO!$AM$15:$AW$15,$E44,0,OFFSET(ORÇAMENTO!$D$15,CRONO!$E44,0))),"="&amp;CRONO!X$12,OFFSET(CÁLCULO!$AB$15:$AL$15,$E44,0,OFFSET(ORÇAMENTO!$D$15,CRONO!$E44,0)))+IF(AND($E46&lt;&gt;"",$E46&lt;&gt;0),SUMIF(CÁLCULO!$AM$15:$AW$49,"="&amp;CRONO!X$12,CÁLCULO!$AB$15:$AL$49)/(ORÇAMENTO!$X$15-CÁLCULO.TotalAdmLocal)*CRONO!$E46,0),X45*$R44),SUMIF(OFFSET($R46,1,0,$Q44-2),($L44+1)&amp;"$",OFFSET(X46,1,0,$Q44-2)))</f>
        <v>0</v>
      </c>
      <c r="Y46" s="222">
        <f ca="1">IF($Q44=2,IF(AND(ACOMPANHAMENTO="PLE",ISNUMBER($E44)),SUMIF((OFFSET(CÁLCULO!$AM$15:$AW$15,$E44,0,OFFSET(ORÇAMENTO!$D$15,CRONO!$E44,0))),"="&amp;CRONO!Y$12,OFFSET(CÁLCULO!$AB$15:$AL$15,$E44,0,OFFSET(ORÇAMENTO!$D$15,CRONO!$E44,0)))+IF(AND($E46&lt;&gt;"",$E46&lt;&gt;0),SUMIF(CÁLCULO!$AM$15:$AW$49,"="&amp;CRONO!Y$12,CÁLCULO!$AB$15:$AL$49)/(ORÇAMENTO!$X$15-CÁLCULO.TotalAdmLocal)*CRONO!$E46,0),Y45*$R44),SUMIF(OFFSET($R46,1,0,$Q44-2),($L44+1)&amp;"$",OFFSET(Y46,1,0,$Q44-2)))</f>
        <v>0</v>
      </c>
      <c r="Z46" s="222">
        <f ca="1">IF($Q44=2,IF(AND(ACOMPANHAMENTO="PLE",ISNUMBER($E44)),SUMIF((OFFSET(CÁLCULO!$AM$15:$AW$15,$E44,0,OFFSET(ORÇAMENTO!$D$15,CRONO!$E44,0))),"="&amp;CRONO!Z$12,OFFSET(CÁLCULO!$AB$15:$AL$15,$E44,0,OFFSET(ORÇAMENTO!$D$15,CRONO!$E44,0)))+IF(AND($E46&lt;&gt;"",$E46&lt;&gt;0),SUMIF(CÁLCULO!$AM$15:$AW$49,"="&amp;CRONO!Z$12,CÁLCULO!$AB$15:$AL$49)/(ORÇAMENTO!$X$15-CÁLCULO.TotalAdmLocal)*CRONO!$E46,0),Z45*$R44),SUMIF(OFFSET($R46,1,0,$Q44-2),($L44+1)&amp;"$",OFFSET(Z46,1,0,$Q44-2)))</f>
        <v>0</v>
      </c>
      <c r="AA46" s="222">
        <f ca="1">IF($Q44=2,IF(AND(ACOMPANHAMENTO="PLE",ISNUMBER($E44)),SUMIF((OFFSET(CÁLCULO!$AM$15:$AW$15,$E44,0,OFFSET(ORÇAMENTO!$D$15,CRONO!$E44,0))),"="&amp;CRONO!AA$12,OFFSET(CÁLCULO!$AB$15:$AL$15,$E44,0,OFFSET(ORÇAMENTO!$D$15,CRONO!$E44,0)))+IF(AND($E46&lt;&gt;"",$E46&lt;&gt;0),SUMIF(CÁLCULO!$AM$15:$AW$49,"="&amp;CRONO!AA$12,CÁLCULO!$AB$15:$AL$49)/(ORÇAMENTO!$X$15-CÁLCULO.TotalAdmLocal)*CRONO!$E46,0),AA45*$R44),SUMIF(OFFSET($R46,1,0,$Q44-2),($L44+1)&amp;"$",OFFSET(AA46,1,0,$Q44-2)))</f>
        <v>0</v>
      </c>
      <c r="AB46" s="222">
        <f ca="1">IF($Q44=2,IF(AND(ACOMPANHAMENTO="PLE",ISNUMBER($E44)),SUMIF((OFFSET(CÁLCULO!$AM$15:$AW$15,$E44,0,OFFSET(ORÇAMENTO!$D$15,CRONO!$E44,0))),"="&amp;CRONO!AB$12,OFFSET(CÁLCULO!$AB$15:$AL$15,$E44,0,OFFSET(ORÇAMENTO!$D$15,CRONO!$E44,0)))+IF(AND($E46&lt;&gt;"",$E46&lt;&gt;0),SUMIF(CÁLCULO!$AM$15:$AW$49,"="&amp;CRONO!AB$12,CÁLCULO!$AB$15:$AL$49)/(ORÇAMENTO!$X$15-CÁLCULO.TotalAdmLocal)*CRONO!$E46,0),AB45*$R44),SUMIF(OFFSET($R46,1,0,$Q44-2),($L44+1)&amp;"$",OFFSET(AB46,1,0,$Q44-2)))</f>
        <v>0</v>
      </c>
      <c r="AC46" s="222">
        <f ca="1">IF($Q44=2,IF(AND(ACOMPANHAMENTO="PLE",ISNUMBER($E44)),SUMIF((OFFSET(CÁLCULO!$AM$15:$AW$15,$E44,0,OFFSET(ORÇAMENTO!$D$15,CRONO!$E44,0))),"="&amp;CRONO!AC$12,OFFSET(CÁLCULO!$AB$15:$AL$15,$E44,0,OFFSET(ORÇAMENTO!$D$15,CRONO!$E44,0)))+IF(AND($E46&lt;&gt;"",$E46&lt;&gt;0),SUMIF(CÁLCULO!$AM$15:$AW$49,"="&amp;CRONO!AC$12,CÁLCULO!$AB$15:$AL$49)/(ORÇAMENTO!$X$15-CÁLCULO.TotalAdmLocal)*CRONO!$E46,0),AC45*$R44),SUMIF(OFFSET($R46,1,0,$Q44-2),($L44+1)&amp;"$",OFFSET(AC46,1,0,$Q44-2)))</f>
        <v>0</v>
      </c>
      <c r="AD46" s="222">
        <f ca="1">IF($Q44=2,IF(AND(ACOMPANHAMENTO="PLE",ISNUMBER($E44)),SUMIF((OFFSET(CÁLCULO!$AM$15:$AW$15,$E44,0,OFFSET(ORÇAMENTO!$D$15,CRONO!$E44,0))),"="&amp;CRONO!AD$12,OFFSET(CÁLCULO!$AB$15:$AL$15,$E44,0,OFFSET(ORÇAMENTO!$D$15,CRONO!$E44,0)))+IF(AND($E46&lt;&gt;"",$E46&lt;&gt;0),SUMIF(CÁLCULO!$AM$15:$AW$49,"="&amp;CRONO!AD$12,CÁLCULO!$AB$15:$AL$49)/(ORÇAMENTO!$X$15-CÁLCULO.TotalAdmLocal)*CRONO!$E46,0),AD45*$R44),SUMIF(OFFSET($R46,1,0,$Q44-2),($L44+1)&amp;"$",OFFSET(AD46,1,0,$Q44-2)))</f>
        <v>0</v>
      </c>
      <c r="AE46" s="227">
        <f ca="1">IF($Q44=2,IF(AND(ACOMPANHAMENTO="PLE",ISNUMBER($E44)),SUMIF((OFFSET(CÁLCULO!$AM$15:$AW$15,$E44,0,OFFSET(ORÇAMENTO!$D$15,CRONO!$E44,0))),"="&amp;CRONO!AE$12,OFFSET(CÁLCULO!$AB$15:$AL$15,$E44,0,OFFSET(ORÇAMENTO!$D$15,CRONO!$E44,0)))+IF(AND($E46&lt;&gt;"",$E46&lt;&gt;0),SUMIF(CÁLCULO!$AM$15:$AW$49,"="&amp;CRONO!AE$12,CÁLCULO!$AB$15:$AL$49)/(ORÇAMENTO!$X$15-CÁLCULO.TotalAdmLocal)*CRONO!$E46,0),AE45*$R44),SUMIF(OFFSET($R46,1,0,$Q44-2),($L44+1)&amp;"$",OFFSET(AE46,1,0,$Q44-2)))</f>
        <v>0</v>
      </c>
    </row>
    <row r="47" spans="1:32" ht="5.0999999999999996" customHeight="1" x14ac:dyDescent="0.2">
      <c r="D47" s="502"/>
      <c r="F47" s="203" t="s">
        <v>248</v>
      </c>
      <c r="G47" s="504"/>
      <c r="H47" s="505"/>
      <c r="I47" s="506"/>
      <c r="J47" s="506"/>
      <c r="K47" s="506"/>
      <c r="L47" s="507" t="s">
        <v>283</v>
      </c>
      <c r="M47" s="507"/>
      <c r="N47" s="507"/>
      <c r="O47" s="507"/>
      <c r="P47" s="507"/>
      <c r="Q47" s="507"/>
      <c r="R47" s="508"/>
      <c r="S47" s="508"/>
      <c r="T47" s="506"/>
      <c r="U47" s="506"/>
      <c r="V47" s="506"/>
      <c r="W47" s="506"/>
      <c r="X47" s="506"/>
      <c r="Y47" s="506"/>
      <c r="Z47" s="506"/>
      <c r="AA47" s="506"/>
      <c r="AB47" s="506"/>
      <c r="AC47" s="506"/>
      <c r="AD47" s="506"/>
      <c r="AE47" s="509"/>
      <c r="AF47" s="503"/>
    </row>
    <row r="48" spans="1:32" ht="12.75" customHeight="1" x14ac:dyDescent="0.2">
      <c r="D48" s="251" t="e">
        <f ca="1">D52/$Q$48</f>
        <v>#DIV/0!</v>
      </c>
      <c r="F48" s="203" t="s">
        <v>248</v>
      </c>
      <c r="H48" s="648" t="str">
        <f ca="1">"Total:    R$ "&amp;TEXT(Q48,"#.##0,00")</f>
        <v>Total:    R$ 0,00</v>
      </c>
      <c r="I48" s="648"/>
      <c r="J48" s="648"/>
      <c r="K48" s="252"/>
      <c r="Q48" s="253">
        <f ca="1">SUMIF(L12:L47,1,R12:R47)</f>
        <v>0</v>
      </c>
      <c r="R48" s="254"/>
      <c r="S48" s="255" t="s">
        <v>284</v>
      </c>
      <c r="T48" s="256" t="e">
        <f t="shared" ref="T48:AE48" ca="1" si="34">ROUND(T52,2)/$Q$48</f>
        <v>#DIV/0!</v>
      </c>
      <c r="U48" s="257" t="e">
        <f t="shared" ca="1" si="34"/>
        <v>#DIV/0!</v>
      </c>
      <c r="V48" s="257" t="e">
        <f t="shared" ca="1" si="34"/>
        <v>#DIV/0!</v>
      </c>
      <c r="W48" s="257" t="e">
        <f t="shared" ca="1" si="34"/>
        <v>#DIV/0!</v>
      </c>
      <c r="X48" s="257" t="e">
        <f t="shared" ca="1" si="34"/>
        <v>#DIV/0!</v>
      </c>
      <c r="Y48" s="257" t="e">
        <f t="shared" ca="1" si="34"/>
        <v>#DIV/0!</v>
      </c>
      <c r="Z48" s="257" t="e">
        <f t="shared" ca="1" si="34"/>
        <v>#DIV/0!</v>
      </c>
      <c r="AA48" s="257" t="e">
        <f t="shared" ca="1" si="34"/>
        <v>#DIV/0!</v>
      </c>
      <c r="AB48" s="257" t="e">
        <f t="shared" ca="1" si="34"/>
        <v>#DIV/0!</v>
      </c>
      <c r="AC48" s="257" t="e">
        <f t="shared" ca="1" si="34"/>
        <v>#DIV/0!</v>
      </c>
      <c r="AD48" s="257" t="e">
        <f t="shared" ca="1" si="34"/>
        <v>#DIV/0!</v>
      </c>
      <c r="AE48" s="258" t="e">
        <f t="shared" ca="1" si="34"/>
        <v>#DIV/0!</v>
      </c>
    </row>
    <row r="49" spans="4:32" ht="15" customHeight="1" x14ac:dyDescent="0.2">
      <c r="D49" s="259">
        <f ca="1">ROUND(D54,2)-ROUND(C54,2)</f>
        <v>0</v>
      </c>
      <c r="F49" s="203" t="s">
        <v>248</v>
      </c>
      <c r="H49" s="648"/>
      <c r="I49" s="648"/>
      <c r="J49" s="648"/>
      <c r="K49" s="260"/>
      <c r="Q49" s="253"/>
      <c r="R49" s="261"/>
      <c r="S49" s="262" t="str">
        <f>IF(import.recurso="FGTS","Financiamento:","Repasse:")</f>
        <v>Repasse:</v>
      </c>
      <c r="T49" s="263">
        <f ca="1">ROUND(T54,2)</f>
        <v>0</v>
      </c>
      <c r="U49" s="259">
        <f t="shared" ref="U49:AE49" ca="1" si="35">ROUND(U54,2)-ROUND(T54,2)</f>
        <v>0</v>
      </c>
      <c r="V49" s="259">
        <f t="shared" ca="1" si="35"/>
        <v>0</v>
      </c>
      <c r="W49" s="259">
        <f t="shared" ca="1" si="35"/>
        <v>0</v>
      </c>
      <c r="X49" s="259">
        <f t="shared" ca="1" si="35"/>
        <v>0</v>
      </c>
      <c r="Y49" s="259">
        <f t="shared" ca="1" si="35"/>
        <v>0</v>
      </c>
      <c r="Z49" s="259">
        <f t="shared" ca="1" si="35"/>
        <v>0</v>
      </c>
      <c r="AA49" s="259">
        <f t="shared" ca="1" si="35"/>
        <v>0</v>
      </c>
      <c r="AB49" s="259">
        <f t="shared" ca="1" si="35"/>
        <v>0</v>
      </c>
      <c r="AC49" s="259">
        <f t="shared" ca="1" si="35"/>
        <v>0</v>
      </c>
      <c r="AD49" s="259">
        <f t="shared" ca="1" si="35"/>
        <v>0</v>
      </c>
      <c r="AE49" s="264">
        <f t="shared" ca="1" si="35"/>
        <v>0</v>
      </c>
    </row>
    <row r="50" spans="4:32" ht="12.75" customHeight="1" x14ac:dyDescent="0.2">
      <c r="D50" s="259">
        <f ca="1">ROUND(D55,2)-ROUND(C55,2)</f>
        <v>0</v>
      </c>
      <c r="F50" s="203" t="s">
        <v>248</v>
      </c>
      <c r="H50" s="265"/>
      <c r="K50" s="266" t="s">
        <v>285</v>
      </c>
      <c r="Q50" s="253"/>
      <c r="R50" s="267"/>
      <c r="S50" s="268" t="s">
        <v>286</v>
      </c>
      <c r="T50" s="269">
        <f ca="1">ROUND(T55,2)</f>
        <v>0</v>
      </c>
      <c r="U50" s="270">
        <f t="shared" ref="U50:AE50" ca="1" si="36">ROUND(U55,2)-ROUND(T55,2)</f>
        <v>0</v>
      </c>
      <c r="V50" s="270">
        <f t="shared" ca="1" si="36"/>
        <v>0</v>
      </c>
      <c r="W50" s="270">
        <f t="shared" ca="1" si="36"/>
        <v>0</v>
      </c>
      <c r="X50" s="270">
        <f t="shared" ca="1" si="36"/>
        <v>0</v>
      </c>
      <c r="Y50" s="270">
        <f t="shared" ca="1" si="36"/>
        <v>0</v>
      </c>
      <c r="Z50" s="270">
        <f t="shared" ca="1" si="36"/>
        <v>0</v>
      </c>
      <c r="AA50" s="270">
        <f t="shared" ca="1" si="36"/>
        <v>0</v>
      </c>
      <c r="AB50" s="270">
        <f t="shared" ca="1" si="36"/>
        <v>0</v>
      </c>
      <c r="AC50" s="270">
        <f t="shared" ca="1" si="36"/>
        <v>0</v>
      </c>
      <c r="AD50" s="270">
        <f t="shared" ca="1" si="36"/>
        <v>0</v>
      </c>
      <c r="AE50" s="271">
        <f t="shared" ca="1" si="36"/>
        <v>0</v>
      </c>
    </row>
    <row r="51" spans="4:32" x14ac:dyDescent="0.2">
      <c r="D51" s="272">
        <f ca="1">ROUND(D56,2)-ROUND(C56,2)</f>
        <v>0</v>
      </c>
      <c r="F51" s="203" t="s">
        <v>248</v>
      </c>
      <c r="H51" s="265"/>
      <c r="K51" s="266"/>
      <c r="Q51" s="253"/>
      <c r="R51" s="273"/>
      <c r="S51" s="274" t="s">
        <v>287</v>
      </c>
      <c r="T51" s="275">
        <f ca="1">ROUND(T56,2)</f>
        <v>0</v>
      </c>
      <c r="U51" s="272">
        <f t="shared" ref="U51:AE51" ca="1" si="37">ROUND(U56,2)-ROUND(T56,2)</f>
        <v>0</v>
      </c>
      <c r="V51" s="272">
        <f t="shared" ca="1" si="37"/>
        <v>0</v>
      </c>
      <c r="W51" s="272">
        <f t="shared" ca="1" si="37"/>
        <v>0</v>
      </c>
      <c r="X51" s="272">
        <f t="shared" ca="1" si="37"/>
        <v>0</v>
      </c>
      <c r="Y51" s="272">
        <f t="shared" ca="1" si="37"/>
        <v>0</v>
      </c>
      <c r="Z51" s="272">
        <f t="shared" ca="1" si="37"/>
        <v>0</v>
      </c>
      <c r="AA51" s="272">
        <f t="shared" ca="1" si="37"/>
        <v>0</v>
      </c>
      <c r="AB51" s="272">
        <f t="shared" ca="1" si="37"/>
        <v>0</v>
      </c>
      <c r="AC51" s="272">
        <f t="shared" ca="1" si="37"/>
        <v>0</v>
      </c>
      <c r="AD51" s="272">
        <f t="shared" ca="1" si="37"/>
        <v>0</v>
      </c>
      <c r="AE51" s="276">
        <f t="shared" ca="1" si="37"/>
        <v>0</v>
      </c>
    </row>
    <row r="52" spans="4:32" x14ac:dyDescent="0.2">
      <c r="D52" s="277">
        <f ca="1">ROUND(D57,2)-ROUND(C57,2)</f>
        <v>0</v>
      </c>
      <c r="F52" s="203" t="s">
        <v>248</v>
      </c>
      <c r="K52" s="278"/>
      <c r="R52" s="279"/>
      <c r="S52" s="280" t="s">
        <v>288</v>
      </c>
      <c r="T52" s="281">
        <f ca="1">ROUND(T57,2)</f>
        <v>0</v>
      </c>
      <c r="U52" s="282">
        <f t="shared" ref="U52:AE52" ca="1" si="38">ROUND(U57,2)-ROUND(T57,2)</f>
        <v>0</v>
      </c>
      <c r="V52" s="282">
        <f t="shared" ca="1" si="38"/>
        <v>0</v>
      </c>
      <c r="W52" s="282">
        <f t="shared" ca="1" si="38"/>
        <v>0</v>
      </c>
      <c r="X52" s="282">
        <f t="shared" ca="1" si="38"/>
        <v>0</v>
      </c>
      <c r="Y52" s="282">
        <f t="shared" ca="1" si="38"/>
        <v>0</v>
      </c>
      <c r="Z52" s="282">
        <f t="shared" ca="1" si="38"/>
        <v>0</v>
      </c>
      <c r="AA52" s="282">
        <f t="shared" ca="1" si="38"/>
        <v>0</v>
      </c>
      <c r="AB52" s="282">
        <f t="shared" ca="1" si="38"/>
        <v>0</v>
      </c>
      <c r="AC52" s="282">
        <f t="shared" ca="1" si="38"/>
        <v>0</v>
      </c>
      <c r="AD52" s="282">
        <f t="shared" ca="1" si="38"/>
        <v>0</v>
      </c>
      <c r="AE52" s="283">
        <f t="shared" ca="1" si="38"/>
        <v>0</v>
      </c>
    </row>
    <row r="53" spans="4:32" x14ac:dyDescent="0.2">
      <c r="D53" s="251" t="e">
        <f ca="1">D57/$Q$48</f>
        <v>#DIV/0!</v>
      </c>
      <c r="F53" s="203" t="s">
        <v>248</v>
      </c>
      <c r="K53" s="252"/>
      <c r="R53" s="254"/>
      <c r="S53" s="255" t="s">
        <v>284</v>
      </c>
      <c r="T53" s="256" t="e">
        <f ca="1">ROUND(T57,2)/$Q$48</f>
        <v>#DIV/0!</v>
      </c>
      <c r="U53" s="257" t="e">
        <f t="shared" ref="U53:AE53" ca="1" si="39">ROUND(U57,2)/$Q$48</f>
        <v>#DIV/0!</v>
      </c>
      <c r="V53" s="257" t="e">
        <f t="shared" ca="1" si="39"/>
        <v>#DIV/0!</v>
      </c>
      <c r="W53" s="257" t="e">
        <f t="shared" ca="1" si="39"/>
        <v>#DIV/0!</v>
      </c>
      <c r="X53" s="257" t="e">
        <f t="shared" ca="1" si="39"/>
        <v>#DIV/0!</v>
      </c>
      <c r="Y53" s="257" t="e">
        <f t="shared" ca="1" si="39"/>
        <v>#DIV/0!</v>
      </c>
      <c r="Z53" s="257" t="e">
        <f t="shared" ca="1" si="39"/>
        <v>#DIV/0!</v>
      </c>
      <c r="AA53" s="257" t="e">
        <f t="shared" ca="1" si="39"/>
        <v>#DIV/0!</v>
      </c>
      <c r="AB53" s="257" t="e">
        <f t="shared" ca="1" si="39"/>
        <v>#DIV/0!</v>
      </c>
      <c r="AC53" s="257" t="e">
        <f t="shared" ca="1" si="39"/>
        <v>#DIV/0!</v>
      </c>
      <c r="AD53" s="257" t="e">
        <f t="shared" ca="1" si="39"/>
        <v>#DIV/0!</v>
      </c>
      <c r="AE53" s="258" t="e">
        <f t="shared" ca="1" si="39"/>
        <v>#DIV/0!</v>
      </c>
    </row>
    <row r="54" spans="4:32" x14ac:dyDescent="0.2">
      <c r="D54" s="259">
        <f ca="1">ROUND(D57-D56-D55,2)</f>
        <v>0</v>
      </c>
      <c r="F54" s="203" t="s">
        <v>248</v>
      </c>
      <c r="K54" s="260"/>
      <c r="R54" s="261"/>
      <c r="S54" s="262" t="str">
        <f>IF(import.recurso="FGTS","Financiamento:","Repasse:")</f>
        <v>Repasse:</v>
      </c>
      <c r="T54" s="263">
        <f ca="1">ROUND(T57-T56-T55,2)</f>
        <v>0</v>
      </c>
      <c r="U54" s="259">
        <f t="shared" ref="U54:AE54" ca="1" si="40">ROUND(U57-U56-U55,2)</f>
        <v>0</v>
      </c>
      <c r="V54" s="259">
        <f t="shared" ca="1" si="40"/>
        <v>0</v>
      </c>
      <c r="W54" s="259">
        <f t="shared" ca="1" si="40"/>
        <v>0</v>
      </c>
      <c r="X54" s="259">
        <f t="shared" ca="1" si="40"/>
        <v>0</v>
      </c>
      <c r="Y54" s="259">
        <f t="shared" ca="1" si="40"/>
        <v>0</v>
      </c>
      <c r="Z54" s="259">
        <f t="shared" ca="1" si="40"/>
        <v>0</v>
      </c>
      <c r="AA54" s="259">
        <f t="shared" ca="1" si="40"/>
        <v>0</v>
      </c>
      <c r="AB54" s="259">
        <f t="shared" ca="1" si="40"/>
        <v>0</v>
      </c>
      <c r="AC54" s="259">
        <f t="shared" ca="1" si="40"/>
        <v>0</v>
      </c>
      <c r="AD54" s="259">
        <f t="shared" ca="1" si="40"/>
        <v>0</v>
      </c>
      <c r="AE54" s="264">
        <f t="shared" ca="1" si="40"/>
        <v>0</v>
      </c>
      <c r="AF54" s="204">
        <f ca="1">AE54+SUMPRODUCT((OFFSET($B$13,1,0):OFFSET($B$47,-3,0))*IF(ISNUMBER(OFFSET(AF$11,5,0):OFFSET(AF$47,-1,0)),OFFSET(AF$11,5,0):OFFSET(AF$47,-1,0),0))</f>
        <v>0</v>
      </c>
    </row>
    <row r="55" spans="4:32" x14ac:dyDescent="0.2">
      <c r="D55" s="259">
        <f t="array" aca="1" ref="D55" ca="1">C55+SUM((OFFSET($B$13,1,0):OFFSET($B$47,-3,0))*IF(ISNUMBER(OFFSET(D$11,5,0):OFFSET(D$47,-1,0)),OFFSET(D$11,5,0):OFFSET(D$47,-1,0),0))</f>
        <v>0</v>
      </c>
      <c r="F55" s="203" t="s">
        <v>248</v>
      </c>
      <c r="K55" s="266" t="s">
        <v>289</v>
      </c>
      <c r="R55" s="267"/>
      <c r="S55" s="268" t="s">
        <v>286</v>
      </c>
      <c r="T55" s="269">
        <f t="array" aca="1" ref="T55" ca="1">SUM((OFFSET($B$13,1,0):OFFSET($B$47,-3,0))*IF(ISNUMBER(OFFSET(T$11,5,0):OFFSET(T$47,-1,0)),OFFSET(T$11,5,0):OFFSET(T$47,-1,0),0))</f>
        <v>0</v>
      </c>
      <c r="U55" s="270">
        <f t="array" aca="1" ref="U55" ca="1">T55+SUM((OFFSET($B$13,1,0):OFFSET($B$47,-3,0))*IF(ISNUMBER(OFFSET(U$11,5,0):OFFSET(U$47,-1,0)),OFFSET(U$11,5,0):OFFSET(U$47,-1,0),0))</f>
        <v>0</v>
      </c>
      <c r="V55" s="270">
        <f t="array" aca="1" ref="V55" ca="1">U55+SUM((OFFSET($B$13,1,0):OFFSET($B$47,-3,0))*IF(ISNUMBER(OFFSET(V$11,5,0):OFFSET(V$47,-1,0)),OFFSET(V$11,5,0):OFFSET(V$47,-1,0),0))</f>
        <v>0</v>
      </c>
      <c r="W55" s="270">
        <f t="array" aca="1" ref="W55" ca="1">V55+SUM((OFFSET($B$13,1,0):OFFSET($B$47,-3,0))*IF(ISNUMBER(OFFSET(W$11,5,0):OFFSET(W$47,-1,0)),OFFSET(W$11,5,0):OFFSET(W$47,-1,0),0))</f>
        <v>0</v>
      </c>
      <c r="X55" s="270">
        <f t="array" aca="1" ref="X55" ca="1">W55+SUM((OFFSET($B$13,1,0):OFFSET($B$47,-3,0))*IF(ISNUMBER(OFFSET(X$11,5,0):OFFSET(X$47,-1,0)),OFFSET(X$11,5,0):OFFSET(X$47,-1,0),0))</f>
        <v>0</v>
      </c>
      <c r="Y55" s="270">
        <f t="array" aca="1" ref="Y55" ca="1">X55+SUM((OFFSET($B$13,1,0):OFFSET($B$47,-3,0))*IF(ISNUMBER(OFFSET(Y$11,5,0):OFFSET(Y$47,-1,0)),OFFSET(Y$11,5,0):OFFSET(Y$47,-1,0),0))</f>
        <v>0</v>
      </c>
      <c r="Z55" s="270">
        <f t="array" aca="1" ref="Z55" ca="1">Y55+SUM((OFFSET($B$13,1,0):OFFSET($B$47,-3,0))*IF(ISNUMBER(OFFSET(Z$11,5,0):OFFSET(Z$47,-1,0)),OFFSET(Z$11,5,0):OFFSET(Z$47,-1,0),0))</f>
        <v>0</v>
      </c>
      <c r="AA55" s="270">
        <f t="array" aca="1" ref="AA55" ca="1">Z55+SUM((OFFSET($B$13,1,0):OFFSET($B$47,-3,0))*IF(ISNUMBER(OFFSET(AA$11,5,0):OFFSET(AA$47,-1,0)),OFFSET(AA$11,5,0):OFFSET(AA$47,-1,0),0))</f>
        <v>0</v>
      </c>
      <c r="AB55" s="270">
        <f t="array" aca="1" ref="AB55" ca="1">AA55+SUM((OFFSET($B$13,1,0):OFFSET($B$47,-3,0))*IF(ISNUMBER(OFFSET(AB$11,5,0):OFFSET(AB$47,-1,0)),OFFSET(AB$11,5,0):OFFSET(AB$47,-1,0),0))</f>
        <v>0</v>
      </c>
      <c r="AC55" s="270">
        <f t="array" aca="1" ref="AC55" ca="1">AB55+SUM((OFFSET($B$13,1,0):OFFSET($B$47,-3,0))*IF(ISNUMBER(OFFSET(AC$11,5,0):OFFSET(AC$47,-1,0)),OFFSET(AC$11,5,0):OFFSET(AC$47,-1,0),0))</f>
        <v>0</v>
      </c>
      <c r="AD55" s="270">
        <f t="array" aca="1" ref="AD55" ca="1">AC55+SUM((OFFSET($B$13,1,0):OFFSET($B$47,-3,0))*IF(ISNUMBER(OFFSET(AD$11,5,0):OFFSET(AD$47,-1,0)),OFFSET(AD$11,5,0):OFFSET(AD$47,-1,0),0))</f>
        <v>0</v>
      </c>
      <c r="AE55" s="271">
        <f t="array" aca="1" ref="AE55" ca="1">AD55+SUM((OFFSET($B$13,1,0):OFFSET($B$47,-3,0))*IF(ISNUMBER(OFFSET(AE$11,5,0):OFFSET(AE$47,-1,0)),OFFSET(AE$11,5,0):OFFSET(AE$47,-1,0),0))</f>
        <v>0</v>
      </c>
      <c r="AF55" s="204">
        <f ca="1">AE55+SUMPRODUCT((OFFSET($C$13,1,0):OFFSET($C$47,-3,0))*IF(ISNUMBER(OFFSET(AF$11,5,0):OFFSET(AF$47,-1,0)),OFFSET(AF$11,5,0):OFFSET(AF$47,-1,0),0))</f>
        <v>0</v>
      </c>
    </row>
    <row r="56" spans="4:32" x14ac:dyDescent="0.2">
      <c r="D56" s="272">
        <f t="array" aca="1" ref="D56" ca="1">C56+SUM((OFFSET($C$13,1,0):OFFSET($C$47,-3,0))*IF(ISNUMBER(OFFSET(D$11,5,0):OFFSET(D$47,-1,0)),OFFSET(D$11,5,0):OFFSET(D$47,-1,0),0))</f>
        <v>0</v>
      </c>
      <c r="F56" s="203" t="s">
        <v>248</v>
      </c>
      <c r="K56" s="266"/>
      <c r="R56" s="273"/>
      <c r="S56" s="274" t="s">
        <v>287</v>
      </c>
      <c r="T56" s="275">
        <f t="array" aca="1" ref="T56" ca="1">SUM((OFFSET($C$13,1,0):OFFSET($C$47,-3,0))*IF(ISNUMBER(OFFSET(T$11,5,0):OFFSET(T$47,-1,0)),OFFSET(T$11,5,0):OFFSET(T$47,-1,0),0))</f>
        <v>0</v>
      </c>
      <c r="U56" s="272">
        <f t="array" aca="1" ref="U56" ca="1">T56+SUM((OFFSET($C$13,1,0):OFFSET($C$47,-3,0))*IF(ISNUMBER(OFFSET(U$11,5,0):OFFSET(U$47,-1,0)),OFFSET(U$11,5,0):OFFSET(U$47,-1,0),0))</f>
        <v>0</v>
      </c>
      <c r="V56" s="272">
        <f t="array" aca="1" ref="V56" ca="1">U56+SUM((OFFSET($C$13,1,0):OFFSET($C$47,-3,0))*IF(ISNUMBER(OFFSET(V$11,5,0):OFFSET(V$47,-1,0)),OFFSET(V$11,5,0):OFFSET(V$47,-1,0),0))</f>
        <v>0</v>
      </c>
      <c r="W56" s="272">
        <f t="array" aca="1" ref="W56" ca="1">V56+SUM((OFFSET($C$13,1,0):OFFSET($C$47,-3,0))*IF(ISNUMBER(OFFSET(W$11,5,0):OFFSET(W$47,-1,0)),OFFSET(W$11,5,0):OFFSET(W$47,-1,0),0))</f>
        <v>0</v>
      </c>
      <c r="X56" s="272">
        <f t="array" aca="1" ref="X56" ca="1">W56+SUM((OFFSET($C$13,1,0):OFFSET($C$47,-3,0))*IF(ISNUMBER(OFFSET(X$11,5,0):OFFSET(X$47,-1,0)),OFFSET(X$11,5,0):OFFSET(X$47,-1,0),0))</f>
        <v>0</v>
      </c>
      <c r="Y56" s="272">
        <f t="array" aca="1" ref="Y56" ca="1">X56+SUM((OFFSET($C$13,1,0):OFFSET($C$47,-3,0))*IF(ISNUMBER(OFFSET(Y$11,5,0):OFFSET(Y$47,-1,0)),OFFSET(Y$11,5,0):OFFSET(Y$47,-1,0),0))</f>
        <v>0</v>
      </c>
      <c r="Z56" s="272">
        <f t="array" aca="1" ref="Z56" ca="1">Y56+SUM((OFFSET($C$13,1,0):OFFSET($C$47,-3,0))*IF(ISNUMBER(OFFSET(Z$11,5,0):OFFSET(Z$47,-1,0)),OFFSET(Z$11,5,0):OFFSET(Z$47,-1,0),0))</f>
        <v>0</v>
      </c>
      <c r="AA56" s="272">
        <f t="array" aca="1" ref="AA56" ca="1">Z56+SUM((OFFSET($C$13,1,0):OFFSET($C$47,-3,0))*IF(ISNUMBER(OFFSET(AA$11,5,0):OFFSET(AA$47,-1,0)),OFFSET(AA$11,5,0):OFFSET(AA$47,-1,0),0))</f>
        <v>0</v>
      </c>
      <c r="AB56" s="272">
        <f t="array" aca="1" ref="AB56" ca="1">AA56+SUM((OFFSET($C$13,1,0):OFFSET($C$47,-3,0))*IF(ISNUMBER(OFFSET(AB$11,5,0):OFFSET(AB$47,-1,0)),OFFSET(AB$11,5,0):OFFSET(AB$47,-1,0),0))</f>
        <v>0</v>
      </c>
      <c r="AC56" s="272">
        <f t="array" aca="1" ref="AC56" ca="1">AB56+SUM((OFFSET($C$13,1,0):OFFSET($C$47,-3,0))*IF(ISNUMBER(OFFSET(AC$11,5,0):OFFSET(AC$47,-1,0)),OFFSET(AC$11,5,0):OFFSET(AC$47,-1,0),0))</f>
        <v>0</v>
      </c>
      <c r="AD56" s="272">
        <f t="array" aca="1" ref="AD56" ca="1">AC56+SUM((OFFSET($C$13,1,0):OFFSET($C$47,-3,0))*IF(ISNUMBER(OFFSET(AD$11,5,0):OFFSET(AD$47,-1,0)),OFFSET(AD$11,5,0):OFFSET(AD$47,-1,0),0))</f>
        <v>0</v>
      </c>
      <c r="AE56" s="276">
        <f t="array" aca="1" ref="AE56" ca="1">AD56+SUM((OFFSET($C$13,1,0):OFFSET($C$47,-3,0))*IF(ISNUMBER(OFFSET(AE$11,5,0):OFFSET(AE$47,-1,0)),OFFSET(AE$11,5,0):OFFSET(AE$47,-1,0),0))</f>
        <v>0</v>
      </c>
      <c r="AF56" s="204">
        <f ca="1">ROUND(AF57-AF54-AF55,2)</f>
        <v>0</v>
      </c>
    </row>
    <row r="57" spans="4:32" x14ac:dyDescent="0.2">
      <c r="D57" s="277">
        <f ca="1">C57+SUMIF($R$12:$R$47,"1$",D12:D47)</f>
        <v>0</v>
      </c>
      <c r="F57" s="203" t="s">
        <v>248</v>
      </c>
      <c r="K57" s="278"/>
      <c r="R57" s="279"/>
      <c r="S57" s="280" t="s">
        <v>288</v>
      </c>
      <c r="T57" s="281">
        <f ca="1">SUMIF($R$12:$R$47,"1$",T12:T47)</f>
        <v>0</v>
      </c>
      <c r="U57" s="282">
        <f t="shared" ref="U57:AF57" ca="1" si="41">T57+SUMIF($R$12:$R$47,"1$",U12:U47)</f>
        <v>0</v>
      </c>
      <c r="V57" s="282">
        <f t="shared" ca="1" si="41"/>
        <v>0</v>
      </c>
      <c r="W57" s="282">
        <f t="shared" ca="1" si="41"/>
        <v>0</v>
      </c>
      <c r="X57" s="282">
        <f t="shared" ca="1" si="41"/>
        <v>0</v>
      </c>
      <c r="Y57" s="282">
        <f t="shared" ca="1" si="41"/>
        <v>0</v>
      </c>
      <c r="Z57" s="282">
        <f t="shared" ca="1" si="41"/>
        <v>0</v>
      </c>
      <c r="AA57" s="282">
        <f t="shared" ca="1" si="41"/>
        <v>0</v>
      </c>
      <c r="AB57" s="282">
        <f t="shared" ca="1" si="41"/>
        <v>0</v>
      </c>
      <c r="AC57" s="282">
        <f t="shared" ca="1" si="41"/>
        <v>0</v>
      </c>
      <c r="AD57" s="282">
        <f t="shared" ca="1" si="41"/>
        <v>0</v>
      </c>
      <c r="AE57" s="283">
        <f t="shared" ca="1" si="41"/>
        <v>0</v>
      </c>
      <c r="AF57" s="204">
        <f t="shared" ca="1" si="41"/>
        <v>0</v>
      </c>
    </row>
    <row r="58" spans="4:32" x14ac:dyDescent="0.2">
      <c r="F58" s="203" t="s">
        <v>248</v>
      </c>
    </row>
    <row r="59" spans="4:32" ht="32.25" customHeight="1" x14ac:dyDescent="0.2">
      <c r="F59" s="203" t="s">
        <v>248</v>
      </c>
      <c r="H59" s="630" t="str">
        <f>Import.Município</f>
        <v>Caçapava do Sul/RS</v>
      </c>
      <c r="I59" s="630"/>
      <c r="J59" s="630"/>
      <c r="K59" s="630"/>
      <c r="L59" s="630"/>
      <c r="M59" s="630"/>
      <c r="N59" s="630"/>
      <c r="O59" s="630"/>
      <c r="P59" s="630"/>
      <c r="Q59" s="630"/>
      <c r="R59" s="630"/>
      <c r="Z59" s="553"/>
      <c r="AA59" s="553"/>
      <c r="AB59" s="553"/>
      <c r="AC59" s="553"/>
      <c r="AD59" s="555"/>
      <c r="AE59" s="555"/>
    </row>
    <row r="60" spans="4:32" x14ac:dyDescent="0.2">
      <c r="F60" s="203" t="s">
        <v>248</v>
      </c>
      <c r="H60" s="10" t="s">
        <v>190</v>
      </c>
      <c r="I60"/>
      <c r="J60"/>
      <c r="K60"/>
      <c r="Z60" s="194" t="s">
        <v>192</v>
      </c>
      <c r="AA60" s="194"/>
      <c r="AB60" s="194"/>
      <c r="AC60" s="194"/>
      <c r="AD60" s="203"/>
      <c r="AE60" s="203"/>
    </row>
    <row r="61" spans="4:32" x14ac:dyDescent="0.2">
      <c r="F61" s="203" t="s">
        <v>248</v>
      </c>
      <c r="H61"/>
      <c r="I61"/>
      <c r="J61"/>
      <c r="K61"/>
      <c r="Z61" s="447" t="str">
        <f t="array" aca="1" ref="Z61:Z63" ca="1">OFFSET(Import.RespOrçamento,0,-1) &amp; " " &amp; Import.RespOrçamento</f>
        <v>Nome: Schaiane da Silva Lopes</v>
      </c>
      <c r="AB61"/>
      <c r="AC61" s="80"/>
      <c r="AD61" s="203"/>
      <c r="AE61" s="203"/>
    </row>
    <row r="62" spans="4:32" x14ac:dyDescent="0.2">
      <c r="F62" s="203" t="s">
        <v>248</v>
      </c>
      <c r="H62" s="640">
        <f ca="1">DADOS!$F$25</f>
        <v>45518</v>
      </c>
      <c r="I62" s="640"/>
      <c r="J62" s="640"/>
      <c r="K62" s="193"/>
      <c r="L62" s="284"/>
      <c r="M62" s="284"/>
      <c r="N62" s="284"/>
      <c r="O62" s="284"/>
      <c r="P62" s="284"/>
      <c r="Q62" s="284"/>
      <c r="R62" s="285"/>
      <c r="Z62" s="447" t="str">
        <f ca="1"/>
        <v>CREA/CAU: RS142294-4</v>
      </c>
      <c r="AB62" s="80"/>
      <c r="AC62" s="80"/>
      <c r="AD62" s="203"/>
      <c r="AE62" s="203"/>
    </row>
    <row r="63" spans="4:32" x14ac:dyDescent="0.2">
      <c r="F63" s="203" t="s">
        <v>248</v>
      </c>
      <c r="H63" s="10" t="s">
        <v>191</v>
      </c>
      <c r="I63"/>
      <c r="J63"/>
      <c r="K63"/>
      <c r="Z63" s="447" t="str">
        <f ca="1"/>
        <v>ART/RRT: 12377498</v>
      </c>
      <c r="AB63" s="80"/>
      <c r="AC63" s="80"/>
      <c r="AD63" s="203"/>
      <c r="AE63" s="203"/>
    </row>
  </sheetData>
  <sheetProtection password="BD1F" sheet="1" objects="1" scenarios="1" autoFilter="0"/>
  <autoFilter ref="F13:F63">
    <filterColumn colId="0">
      <filters>
        <filter val="F"/>
      </filters>
    </filterColumn>
  </autoFilter>
  <mergeCells count="17">
    <mergeCell ref="F8:F11"/>
    <mergeCell ref="H8:I8"/>
    <mergeCell ref="G7:G9"/>
    <mergeCell ref="H48:J49"/>
    <mergeCell ref="G12:G13"/>
    <mergeCell ref="H12:H13"/>
    <mergeCell ref="I12:I13"/>
    <mergeCell ref="H62:J62"/>
    <mergeCell ref="AD4:AE4"/>
    <mergeCell ref="AD5:AE5"/>
    <mergeCell ref="Y8:AD8"/>
    <mergeCell ref="R12:R13"/>
    <mergeCell ref="S12:S13"/>
    <mergeCell ref="K8:S8"/>
    <mergeCell ref="T8:X8"/>
    <mergeCell ref="J10:S11"/>
    <mergeCell ref="H59:R59"/>
  </mergeCells>
  <phoneticPr fontId="38" type="noConversion"/>
  <conditionalFormatting sqref="T12:T13">
    <cfRule type="expression" dxfId="164" priority="1775" stopIfTrue="1">
      <formula>NOT(ISNUMBER(S$12))</formula>
    </cfRule>
  </conditionalFormatting>
  <conditionalFormatting sqref="D2 T2:AF2">
    <cfRule type="expression" dxfId="163" priority="1776" stopIfTrue="1">
      <formula>AND(ISNUMBER($G1),$G1&lt;&gt;0)</formula>
    </cfRule>
  </conditionalFormatting>
  <conditionalFormatting sqref="D48:D52 T49:AE49 T51:AE51">
    <cfRule type="expression" dxfId="162" priority="1781" stopIfTrue="1">
      <formula>D$48=0</formula>
    </cfRule>
  </conditionalFormatting>
  <conditionalFormatting sqref="D53:D57">
    <cfRule type="expression" dxfId="161" priority="1782" stopIfTrue="1">
      <formula>C$53=1</formula>
    </cfRule>
  </conditionalFormatting>
  <conditionalFormatting sqref="U53:AE53 U55:AE55 U57:AE57">
    <cfRule type="expression" dxfId="160" priority="1783" stopIfTrue="1">
      <formula>OFFSET(U$53,0,-1)&gt;=1</formula>
    </cfRule>
  </conditionalFormatting>
  <conditionalFormatting sqref="U54:AE54 U56:AE56">
    <cfRule type="expression" dxfId="159" priority="1784" stopIfTrue="1">
      <formula>OFFSET(U$53,0,-1)&gt;=1</formula>
    </cfRule>
  </conditionalFormatting>
  <conditionalFormatting sqref="T48:AE48 T50:AE50 T52:AE52">
    <cfRule type="expression" dxfId="158" priority="1785" stopIfTrue="1">
      <formula>T$48=0</formula>
    </cfRule>
  </conditionalFormatting>
  <conditionalFormatting sqref="AE7:AE8">
    <cfRule type="expression" dxfId="157" priority="1786" stopIfTrue="1">
      <formula>OR(TIPOORCAMENTO&lt;&gt;"Licitado",QCI.ExisteManual)</formula>
    </cfRule>
  </conditionalFormatting>
  <conditionalFormatting sqref="D1 T1:AE1">
    <cfRule type="expression" dxfId="156" priority="1787" stopIfTrue="1">
      <formula>D1&lt;&gt;0</formula>
    </cfRule>
  </conditionalFormatting>
  <conditionalFormatting sqref="Y7:AD8">
    <cfRule type="expression" dxfId="155" priority="1774" stopIfTrue="1">
      <formula>QCI.ExisteManual</formula>
    </cfRule>
  </conditionalFormatting>
  <conditionalFormatting sqref="D15 D18 D21 T15:AF15 T18:AF18 T21:AF21">
    <cfRule type="expression" dxfId="154" priority="37" stopIfTrue="1">
      <formula>AND(ISNUMBER($G14),$G14&lt;&gt;0)</formula>
    </cfRule>
  </conditionalFormatting>
  <conditionalFormatting sqref="D14 D17 D20 T14:AE14 T17:AE17 T20:AE20">
    <cfRule type="expression" dxfId="153" priority="42" stopIfTrue="1">
      <formula>D14&lt;&gt;0</formula>
    </cfRule>
  </conditionalFormatting>
  <conditionalFormatting sqref="D24 T24:AF24">
    <cfRule type="expression" dxfId="152" priority="31" stopIfTrue="1">
      <formula>AND(ISNUMBER($G23),$G23&lt;&gt;0)</formula>
    </cfRule>
  </conditionalFormatting>
  <conditionalFormatting sqref="D23 T23:AE23">
    <cfRule type="expression" dxfId="151" priority="36" stopIfTrue="1">
      <formula>D23&lt;&gt;0</formula>
    </cfRule>
  </conditionalFormatting>
  <conditionalFormatting sqref="D27 T27:AF27">
    <cfRule type="expression" dxfId="150" priority="11" stopIfTrue="1">
      <formula>AND(ISNUMBER($G26),$G26&lt;&gt;0)</formula>
    </cfRule>
  </conditionalFormatting>
  <conditionalFormatting sqref="D26 T26:AE26">
    <cfRule type="expression" dxfId="149" priority="12" stopIfTrue="1">
      <formula>D26&lt;&gt;0</formula>
    </cfRule>
  </conditionalFormatting>
  <conditionalFormatting sqref="D30 T30:AF30">
    <cfRule type="expression" dxfId="148" priority="9" stopIfTrue="1">
      <formula>AND(ISNUMBER($G29),$G29&lt;&gt;0)</formula>
    </cfRule>
  </conditionalFormatting>
  <conditionalFormatting sqref="D29 T29:AE29">
    <cfRule type="expression" dxfId="147" priority="10" stopIfTrue="1">
      <formula>D29&lt;&gt;0</formula>
    </cfRule>
  </conditionalFormatting>
  <conditionalFormatting sqref="D33 T33:AF33">
    <cfRule type="expression" dxfId="146" priority="7" stopIfTrue="1">
      <formula>AND(ISNUMBER($G32),$G32&lt;&gt;0)</formula>
    </cfRule>
  </conditionalFormatting>
  <conditionalFormatting sqref="D32 T32:AE32">
    <cfRule type="expression" dxfId="145" priority="8" stopIfTrue="1">
      <formula>D32&lt;&gt;0</formula>
    </cfRule>
  </conditionalFormatting>
  <conditionalFormatting sqref="D36 T36:AF36">
    <cfRule type="expression" dxfId="144" priority="5" stopIfTrue="1">
      <formula>AND(ISNUMBER($G35),$G35&lt;&gt;0)</formula>
    </cfRule>
  </conditionalFormatting>
  <conditionalFormatting sqref="D35 T35:AE35">
    <cfRule type="expression" dxfId="143" priority="6" stopIfTrue="1">
      <formula>D35&lt;&gt;0</formula>
    </cfRule>
  </conditionalFormatting>
  <conditionalFormatting sqref="D39 T39:AF39">
    <cfRule type="expression" dxfId="142" priority="3" stopIfTrue="1">
      <formula>AND(ISNUMBER($G38),$G38&lt;&gt;0)</formula>
    </cfRule>
  </conditionalFormatting>
  <conditionalFormatting sqref="D38 T38:AE38">
    <cfRule type="expression" dxfId="141" priority="4" stopIfTrue="1">
      <formula>D38&lt;&gt;0</formula>
    </cfRule>
  </conditionalFormatting>
  <conditionalFormatting sqref="D42 D45 T42:AF42 T45:AF45">
    <cfRule type="expression" dxfId="140" priority="1" stopIfTrue="1">
      <formula>AND(ISNUMBER($G41),$G41&lt;&gt;0)</formula>
    </cfRule>
  </conditionalFormatting>
  <conditionalFormatting sqref="D41 D44 T41:AE41 T44:AE44">
    <cfRule type="expression" dxfId="139" priority="2" stopIfTrue="1">
      <formula>D41&lt;&gt;0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 D32 T32:AE32 D35 T35:AE35 D38 T38:AE38 D41 D44 T41:AE41 T44:AE44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 D33 T33:AF33 D36 T36:AF36 D39 T39:AF39 D42 D45 T42:AF42 T45:AF45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2"/>
  <sheetViews>
    <sheetView showGridLines="0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U34" sqref="U34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IF(AUTOEVENTO="Manual",IF(OFFSET(EVENTOS!$F$14,CRONOPLE!$B1,0)&gt;0,"F",""),IF(CRONOPLE!B1&lt;=MAX(CÁLCULO!$M$15:$M$49),"F",""))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IF(AUTOEVENTO="Manual",IF($B1&lt;&gt;1,OFFSET(EVENTOS!$D$14,$B1,0),0),IF(B1&lt;=MAX(CÁLCULO!$M$15:$M$49),VLOOKUP($B1,CÁLCULO!$M$15:$N$49,2,FALSE),0))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CRONO",IF(MAX($B$14:$B$22)&lt;MAX(CÁLCULO!$M$15:$M$49),"ERRO: NÚMERO DE EVENTOS INSUFICIENTE, CLIQUE EM ATUALIZAR LINHAS",IF(ROUND(OFFSET(CRONO!$AF$57,0,-1),2)&lt;&gt;CRONO!$Q$48,"ERRO: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TRECHO 01 (Primeiros 31,10m)</v>
      </c>
      <c r="I11" s="292" t="str">
        <f ca="1">IF(I$12&gt;CÁLCULO.NúmeroDeFrentes,"",OFFSET(CÁLCULO!$P$12,0,I$12))</f>
        <v>TRECHO 02 (últimos 31,10m)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52" t="s">
        <v>268</v>
      </c>
      <c r="C12" s="652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52"/>
      <c r="C13" s="652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IF(AUTOEVENTO="Manual",IF(OFFSET(EVENTOS!$F$14,CRONOPLE!$B16,0)&gt;0,"F",""),IF(CRONOPLE!B16&lt;=MAX(CÁLCULO!$M$15:$M$49),"F",""))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IF(AUTOEVENTO="Manual",IF($B16&lt;&gt;1,OFFSET(EVENTOS!$D$14,$B16,0),0),IF(B16&lt;=MAX(CÁLCULO!$M$15:$M$49),VLOOKUP($B16,CÁLCULO!$M$15:$N$49,2,FALSE),0))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IF(AUTOEVENTO="Manual",IF(OFFSET(EVENTOS!$F$14,CRONOPLE!$B17,0)&gt;0,"F",""),IF(CRONOPLE!B17&lt;=MAX(CÁLCULO!$M$15:$M$49),"F",""))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IF(AUTOEVENTO="Manual",IF($B17&lt;&gt;1,OFFSET(EVENTOS!$D$14,$B17,0),0),IF(B17&lt;=MAX(CÁLCULO!$M$15:$M$49),VLOOKUP($B17,CÁLCULO!$M$15:$N$49,2,FALSE),0))</f>
        <v xml:space="preserve">Terraplanagem </v>
      </c>
      <c r="E17" s="288"/>
      <c r="G17" s="288"/>
      <c r="H17" s="288">
        <v>2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IF(AUTOEVENTO="Manual",IF(OFFSET(EVENTOS!$F$14,CRONOPLE!$B18,0)&gt;0,"F",""),IF(CRONOPLE!B18&lt;=MAX(CÁLCULO!$M$15:$M$49),"F",""))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IF(AUTOEVENTO="Manual",IF($B18&lt;&gt;1,OFFSET(EVENTOS!$D$14,$B18,0),0),IF(B18&lt;=MAX(CÁLCULO!$M$15:$M$49),VLOOKUP($B18,CÁLCULO!$M$15:$N$49,2,FALSE),0))</f>
        <v>Pavimantação - Pista</v>
      </c>
      <c r="E18" s="288"/>
      <c r="G18" s="288"/>
      <c r="H18" s="288">
        <v>3</v>
      </c>
      <c r="I18" s="288">
        <v>4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77" customFormat="1" x14ac:dyDescent="0.2">
      <c r="A19" s="7" t="str">
        <f ca="1">IF(AUTOEVENTO="Manual",IF(OFFSET(EVENTOS!$F$14,CRONOPLE!$B19,0)&gt;0,"F",""),IF(CRONOPLE!B19&lt;=MAX(CÁLCULO!$M$15:$M$49),"F",""))</f>
        <v/>
      </c>
      <c r="B19" s="286">
        <f ca="1">OFFSET(B19,-1,0)+1</f>
        <v>5</v>
      </c>
      <c r="C19" s="574" t="str">
        <f ca="1">IF(AUTOEVENTO="Manual",IF($B19&lt;&gt;1,OFFSET(EVENTOS!$D$14,$B19,0),0),IF(B19&lt;=MAX(CÁLCULO!$M$15:$M$49),VLOOKUP($B19,CÁLCULO!$M$15:$N$49,2,FALSE),0))</f>
        <v>Passeio Público</v>
      </c>
      <c r="E19" s="288"/>
      <c r="G19" s="288"/>
      <c r="H19" s="288">
        <v>3</v>
      </c>
      <c r="I19" s="288">
        <v>4</v>
      </c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s="573" customFormat="1" x14ac:dyDescent="0.2">
      <c r="A20" s="7" t="str">
        <f ca="1">IF(AUTOEVENTO="Manual",IF(OFFSET(EVENTOS!$F$14,CRONOPLE!$B20,0)&gt;0,"F",""),IF(CRONOPLE!B20&lt;=MAX(CÁLCULO!$M$15:$M$49),"F",""))</f>
        <v/>
      </c>
      <c r="B20" s="286">
        <f t="shared" ref="B20" ca="1" si="1">OFFSET(B20,-1,0)+1</f>
        <v>6</v>
      </c>
      <c r="C20" s="572" t="str">
        <f ca="1">IF(AUTOEVENTO="Manual",IF($B20&lt;&gt;1,OFFSET(EVENTOS!$D$14,$B20,0),0),IF(B20&lt;=MAX(CÁLCULO!$M$15:$M$49),VLOOKUP($B20,CÁLCULO!$M$15:$N$49,2,FALSE),0))</f>
        <v xml:space="preserve">Sinalização Vertical </v>
      </c>
      <c r="E20" s="288"/>
      <c r="G20" s="288"/>
      <c r="H20" s="288">
        <v>4</v>
      </c>
      <c r="I20" s="288">
        <v>4</v>
      </c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</row>
    <row r="21" spans="1:31" s="583" customFormat="1" x14ac:dyDescent="0.2">
      <c r="A21" s="7" t="str">
        <f ca="1">IF(AUTOEVENTO="Manual",IF(OFFSET(EVENTOS!$F$14,CRONOPLE!$B21,0)&gt;0,"F",""),IF(CRONOPLE!B21&lt;=MAX(CÁLCULO!$M$15:$M$49),"F",""))</f>
        <v/>
      </c>
      <c r="B21" s="286">
        <f ca="1">OFFSET(B21,-1,0)+1</f>
        <v>7</v>
      </c>
      <c r="C21" s="580" t="str">
        <f ca="1">IF(AUTOEVENTO="Manual",IF($B21&lt;&gt;1,OFFSET(EVENTOS!$D$14,$B21,0),0),IF(B21&lt;=MAX(CÁLCULO!$M$15:$M$49),VLOOKUP($B21,CÁLCULO!$M$15:$N$49,2,FALSE),0))</f>
        <v>Faixa de travessia de pedestre</v>
      </c>
      <c r="E21" s="288"/>
      <c r="G21" s="288"/>
      <c r="H21" s="288"/>
      <c r="I21" s="288">
        <v>4</v>
      </c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</row>
    <row r="22" spans="1:31" ht="5.0999999999999996" customHeight="1" x14ac:dyDescent="0.2">
      <c r="B22" s="510"/>
      <c r="C22" s="511"/>
      <c r="E22" s="302"/>
      <c r="F22" s="302"/>
      <c r="G22" s="510"/>
      <c r="H22" s="512"/>
      <c r="I22" s="512"/>
      <c r="J22" s="512"/>
      <c r="K22" s="512"/>
      <c r="L22" s="512"/>
      <c r="M22" s="512"/>
      <c r="N22" s="512"/>
      <c r="O22" s="512"/>
      <c r="P22" s="512"/>
      <c r="Q22" s="512"/>
      <c r="R22" s="512"/>
      <c r="S22" s="512"/>
      <c r="T22" s="512"/>
      <c r="U22" s="512"/>
      <c r="V22" s="512"/>
      <c r="W22" s="512"/>
      <c r="X22" s="512"/>
      <c r="Y22" s="512"/>
      <c r="Z22" s="512"/>
      <c r="AA22" s="512"/>
      <c r="AB22" s="512"/>
      <c r="AC22" s="512"/>
      <c r="AD22" s="512"/>
      <c r="AE22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20 G20:AE20">
    <cfRule type="expression" dxfId="138" priority="103" stopIfTrue="1">
      <formula>IF(OR(E$12&gt;CÁLCULO.NúmeroDeFrentes,ACOMPANHAMENTO="BM"),TRUE,CRONOPLE.ValorDoEvento=0)</formula>
    </cfRule>
  </conditionalFormatting>
  <conditionalFormatting sqref="E16:E17 G16:AE17">
    <cfRule type="expression" dxfId="137" priority="6" stopIfTrue="1">
      <formula>IF(OR(E$12&gt;CÁLCULO.NúmeroDeFrentes,ACOMPANHAMENTO="BM"),TRUE,CRONOPLE.ValorDoEvento=0)</formula>
    </cfRule>
  </conditionalFormatting>
  <conditionalFormatting sqref="E18 G18:AE18">
    <cfRule type="expression" dxfId="136" priority="4" stopIfTrue="1">
      <formula>IF(OR(E$12&gt;CÁLCULO.NúmeroDeFrentes,ACOMPANHAMENTO="BM"),TRUE,CRONOPLE.ValorDoEvento=0)</formula>
    </cfRule>
  </conditionalFormatting>
  <conditionalFormatting sqref="E19 G19:AE19">
    <cfRule type="expression" dxfId="135" priority="2" stopIfTrue="1">
      <formula>IF(OR(E$12&gt;CÁLCULO.NúmeroDeFrentes,ACOMPANHAMENTO="BM"),TRUE,CRONOPLE.ValorDoEvento=0)</formula>
    </cfRule>
  </conditionalFormatting>
  <conditionalFormatting sqref="E21 G21:AE21">
    <cfRule type="expression" dxfId="134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21 G16:AE21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2024-06-27T13:57:29Z</cp:lastPrinted>
  <dcterms:created xsi:type="dcterms:W3CDTF">1997-01-10T22:22:50Z</dcterms:created>
  <dcterms:modified xsi:type="dcterms:W3CDTF">2024-08-14T16:39:13Z</dcterms:modified>
</cp:coreProperties>
</file>