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3.xml" ContentType="application/vnd.openxmlformats-officedocument.spreadsheetml.comments+xml"/>
  <Override PartName="/xl/webextensions/taskpanes.xml" ContentType="application/xml"/>
  <Override PartName="/xl/theme/theme1.xml" ContentType="application/vnd.openxmlformats-officedocument.theme+xml"/>
  <Override PartName="/xl/ctrlProps/ctrlProps3.xml" ContentType="application/vnd.ms-excel.controlproperties+xml"/>
  <Override PartName="/xl/ctrlProps/ctrlProps12.xml" ContentType="application/vnd.ms-excel.controlproperties+xml"/>
  <Override PartName="/xl/ctrlProps/ctrlProps4.xml" ContentType="application/vnd.ms-excel.controlproperties+xml"/>
  <Override PartName="/xl/ctrlProps/ctrlProps8.xml" ContentType="application/vnd.ms-excel.controlproperties+xml"/>
  <Override PartName="/xl/ctrlProps/ctrlProps20.xml" ContentType="application/vnd.ms-excel.controlproperties+xml"/>
  <Override PartName="/xl/ctrlProps/ctrlProps9.xml" ContentType="application/vnd.ms-excel.controlproperties+xml"/>
  <Override PartName="/xl/ctrlProps/ctrlProps10.xml" ContentType="application/vnd.ms-excel.controlproperties+xml"/>
  <Override PartName="/xl/ctrlProps/ctrlProps11.xml" ContentType="application/vnd.ms-excel.control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19.xml" ContentType="application/vnd.openxmlformats-officedocument.drawing+xml"/>
  <Override PartName="/xl/drawings/vmlDrawing1.vml" ContentType="application/vnd.openxmlformats-officedocument.vmlDrawing"/>
  <Override PartName="/xl/drawings/drawing5.xml" ContentType="application/vnd.openxmlformats-officedocument.drawing+xml"/>
  <Override PartName="/xl/drawings/vmlDrawing2.vml" ContentType="application/vnd.openxmlformats-officedocument.vmlDrawing"/>
  <Override PartName="/xl/drawings/drawing6.xml" ContentType="application/vnd.openxmlformats-officedocument.drawing+xml"/>
  <Override PartName="/xl/drawings/vmlDrawing3.vml" ContentType="application/vnd.openxmlformats-officedocument.vmlDrawing"/>
  <Override PartName="/xl/drawings/drawing7.xml" ContentType="application/vnd.openxmlformats-officedocument.drawing+xml"/>
  <Override PartName="/xl/drawings/vmlDrawing4.vml" ContentType="application/vnd.openxmlformats-officedocument.vmlDrawing"/>
  <Override PartName="/xl/drawings/drawing13.xml" ContentType="application/vnd.openxmlformats-officedocument.drawing+xml"/>
  <Override PartName="/xl/drawings/vmlDrawing5.vml" ContentType="application/vnd.openxmlformats-officedocument.vmlDrawing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vmlDrawing6.vml" ContentType="application/vnd.openxmlformats-officedocument.vmlDrawing"/>
  <Override PartName="/xl/drawings/drawing18.xml" ContentType="application/vnd.openxmlformats-officedocument.drawing+xml"/>
  <Override PartName="/xl/drawings/vmlDrawing7.vml" ContentType="application/vnd.openxmlformats-officedocument.vmlDrawing"/>
  <Override PartName="/xl/drawings/drawing21.xml" ContentType="application/vnd.openxmlformats-officedocument.drawing+xml"/>
  <Override PartName="/xl/drawings/vmlDrawing8.vml" ContentType="application/vnd.openxmlformats-officedocument.vmlDrawing"/>
  <Override PartName="/xl/drawings/drawing2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19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13.xml.rels" ContentType="application/vnd.openxmlformats-package.relationships+xml"/>
  <Override PartName="/xl/drawings/_rels/drawing7.xml.rels" ContentType="application/vnd.openxmlformats-package.relationships+xml"/>
  <Override PartName="/xl/drawings/_rels/drawing14.xml.rels" ContentType="application/vnd.openxmlformats-package.relationships+xml"/>
  <Override PartName="/xl/drawings/_rels/drawing15.xml.rels" ContentType="application/vnd.openxmlformats-package.relationships+xml"/>
  <Override PartName="/xl/drawings/_rels/drawing16.xml.rels" ContentType="application/vnd.openxmlformats-package.relationships+xml"/>
  <Override PartName="/xl/drawings/_rels/drawing17.xml.rels" ContentType="application/vnd.openxmlformats-package.relationships+xml"/>
  <Override PartName="/xl/drawings/_rels/drawing18.xml.rels" ContentType="application/vnd.openxmlformats-package.relationships+xml"/>
  <Override PartName="/xl/drawings/_rels/drawing21.xml.rels" ContentType="application/vnd.openxmlformats-package.relationships+xml"/>
  <Override PartName="/xl/drawings/_rels/drawing22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media/image2.wmf" ContentType="image/x-wmf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10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11/relationships/webextensiontaskpanes" Target="xl/webextensions/taskpanes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NOVO" sheetId="1" state="visible" r:id="rId3"/>
    <sheet name="MENU" sheetId="2" state="visible" r:id="rId4"/>
    <sheet name="DADOS" sheetId="3" state="visible" r:id="rId5"/>
    <sheet name="BDI" sheetId="4" state="visible" r:id="rId6"/>
    <sheet name="ORÇAMENTO" sheetId="5" state="visible" r:id="rId7"/>
    <sheet name="EVENTOS" sheetId="6" state="hidden" r:id="rId8"/>
    <sheet name="CÁLCULO" sheetId="7" state="visible" r:id="rId9"/>
    <sheet name="CRONOPLE" sheetId="8" state="hidden" r:id="rId10"/>
    <sheet name="CRONO" sheetId="9" state="visible" r:id="rId11"/>
    <sheet name="QCI" sheetId="10" state="visible" r:id="rId12"/>
    <sheet name="PLE" sheetId="11" state="hidden" r:id="rId13"/>
    <sheet name="BM" sheetId="12" state="hidden" r:id="rId14"/>
    <sheet name="RRE" sheetId="13" state="hidden" r:id="rId15"/>
    <sheet name="OFÍCIO" sheetId="14" state="hidden" r:id="rId16"/>
    <sheet name="PO-PLE" sheetId="15" state="hidden" r:id="rId17"/>
    <sheet name="CFF-PLE" sheetId="16" state="hidden" r:id="rId18"/>
    <sheet name="PO-BM" sheetId="17" state="hidden" r:id="rId19"/>
    <sheet name="CFF-BM" sheetId="18" state="hidden" r:id="rId20"/>
  </sheets>
  <definedNames>
    <definedName function="false" hidden="false" localSheetId="3" name="_xlnm.Print_Area" vbProcedure="false">BDI!$J$4:$S$52</definedName>
    <definedName function="false" hidden="false" localSheetId="3" name="_xlnm.Print_Titles" vbProcedure="false">BDI!$4:$13</definedName>
    <definedName function="false" hidden="true" localSheetId="3" name="_xlnm._FilterDatabase" vbProcedure="false">BDI!$I$11:$I$132</definedName>
    <definedName function="false" hidden="false" localSheetId="11" name="_xlnm.Print_Area" vbProcedure="false">BM!$D$1:$O$55</definedName>
    <definedName function="false" hidden="false" localSheetId="11" name="_xlnm.Print_Titles" vbProcedure="false">BM!$1:$15</definedName>
    <definedName function="false" hidden="true" localSheetId="11" name="_xlnm._FilterDatabase" vbProcedure="false">BM!$C$15:$C$40</definedName>
    <definedName function="false" hidden="false" localSheetId="6" name="_xlnm.Print_Area" vbProcedure="false">CÁLCULO!$E$6:$AA$48</definedName>
    <definedName function="false" hidden="false" localSheetId="6" name="_xlnm.Print_Titles" vbProcedure="false">CÁLCULO!$E:$H,CÁLCULO!$6:$15</definedName>
    <definedName function="false" hidden="true" localSheetId="6" name="_xlnm._FilterDatabase" vbProcedure="false">CÁLCULO!$C$15:$C$40</definedName>
    <definedName function="false" hidden="false" localSheetId="8" name="_xlnm.Print_Area" vbProcedure="false">CRONO!$I$7:$AG$61</definedName>
    <definedName function="false" hidden="false" localSheetId="8" name="_xlnm.Print_Titles" vbProcedure="false">CRONO!$I:$T,CRONO!$7:$13</definedName>
    <definedName function="false" hidden="true" localSheetId="8" name="_xlnm._FilterDatabase" vbProcedure="false">CRONO!$G$13:$G$61</definedName>
    <definedName function="false" hidden="true" localSheetId="7" name="_xlnm._FilterDatabase" vbProcedure="false">CRONOPLE!$A$13:$A$36</definedName>
    <definedName function="false" hidden="false" localSheetId="5" name="_xlnm.Print_Area" vbProcedure="false">EVENTOS!$C$2:$Z$29</definedName>
    <definedName function="false" hidden="true" localSheetId="5" name="_xlnm._FilterDatabase" vbProcedure="false">EVENTOS!$A$13:$A$29</definedName>
    <definedName function="false" hidden="false" localSheetId="1" name="_xlnm.Print_Area" vbProcedure="false">MENU!$A$1:$I$25</definedName>
    <definedName function="false" hidden="false" localSheetId="13" name="_xlnm.Print_Area" vbProcedure="false">OFÍCIO!$A$1:$G$56</definedName>
    <definedName function="false" hidden="false" localSheetId="4" name="_xlnm.Print_Area" vbProcedure="false">ORÇAMENTO!$O$6:$X$57</definedName>
    <definedName function="false" hidden="false" localSheetId="4" name="_xlnm.Print_Titles" vbProcedure="false">ORÇAMENTO!$13:$15</definedName>
    <definedName function="false" hidden="true" localSheetId="4" name="_xlnm._FilterDatabase" vbProcedure="false">ORÇAMENTO!$L$15:$L$40</definedName>
    <definedName function="false" hidden="false" localSheetId="10" name="_xlnm.Print_Area" vbProcedure="false">PLE!$B$3:$AG$39</definedName>
    <definedName function="false" hidden="false" localSheetId="10" name="_xlnm.Print_Titles" vbProcedure="false">PLE!$B:$E,PLE!$1:$13</definedName>
    <definedName function="false" hidden="true" localSheetId="10" name="_xlnm._FilterDatabase" vbProcedure="false">PLE!$A$13:$A$38</definedName>
    <definedName function="false" hidden="false" localSheetId="9" name="_xlnm.Print_Area" vbProcedure="false">QCI!$D$1:$O$29</definedName>
    <definedName function="false" hidden="false" localSheetId="9" name="_xlnm.Print_Titles" vbProcedure="false">QCI!$1:$13</definedName>
    <definedName function="false" hidden="true" localSheetId="9" name="_xlnm._FilterDatabase" vbProcedure="false">QCI!$C$13:$C$17</definedName>
    <definedName function="false" hidden="false" localSheetId="12" name="_xlnm.Print_Area" vbProcedure="false">RRE!$E$1:$P$41</definedName>
    <definedName function="false" hidden="false" localSheetId="12" name="_xlnm.Print_Titles" vbProcedure="false">RRE!$1:$13</definedName>
    <definedName function="false" hidden="true" localSheetId="12" name="_xlnm._FilterDatabase" vbProcedure="false">RRE!$D$13:$D$22</definedName>
    <definedName function="false" hidden="false" name="ACOMPANHAMENTO" vbProcedure="false">MENU!$J$4</definedName>
    <definedName function="false" hidden="false" name="AdmLocal" vbProcedure="false">CÁLCULO!$A$11</definedName>
    <definedName function="false" hidden="false" name="AUTOEVENTO" vbProcedure="false">CÁLCULO!$A$12</definedName>
    <definedName function="false" hidden="false" name="BDI.ColAux" vbProcedure="false">BDI!$A:$G</definedName>
    <definedName function="false" hidden="false" name="BDI.Erro" vbProcedure="false">BDI!$U$7</definedName>
    <definedName function="false" hidden="false" name="BDI.Filtro" vbProcedure="false">BDI!$I$11:$I$132</definedName>
    <definedName function="false" hidden="false" name="BDI.Opcao" vbProcedure="false">DADOS!$C$18</definedName>
    <definedName function="false" hidden="false" name="BDI.TipoObra" vbProcedure="false">BDI!$A$138:$A$146</definedName>
    <definedName function="false" hidden="false" name="BDI_1.Título" vbProcedure="false">BDI!$J$14</definedName>
    <definedName function="false" hidden="false" name="BDI_2.Título" vbProcedure="false">BDI!$J$54</definedName>
    <definedName function="false" hidden="false" name="BDI_3.Título" vbProcedure="false">BDI!$J$94</definedName>
    <definedName function="false" hidden="false" name="BM.AFAcumulado" vbProcedure="false">BM!$R1</definedName>
    <definedName function="false" hidden="false" name="BM.AFAnterior" vbProcedure="false">BM!$Q1</definedName>
    <definedName function="false" hidden="false" name="BM.CaixaColunas" vbProcedure="false">BM!$Q:$AA</definedName>
    <definedName function="false" hidden="false" name="BM.Erro" vbProcedure="false">BM!$F$10</definedName>
    <definedName function="false" hidden="false" name="BM.Filtro" vbProcedure="false">BM!$C$15:$C$40</definedName>
    <definedName function="false" hidden="false" name="BM.firstrow" vbProcedure="false">BM!$15:$15</definedName>
    <definedName function="false" hidden="false" name="BM.FormulaMed" vbProcedure="false">BM!$AO$7</definedName>
    <definedName function="false" hidden="false" name="BM.lastrow" vbProcedure="false">BM!$40:$40</definedName>
    <definedName function="false" hidden="false" name="BM.LinhaPadrão" vbProcedure="false">BM!$14:$14</definedName>
    <definedName function="false" hidden="false" name="BM.MaxMed" vbProcedure="false">IF(RegimeExecucao="Global",1,BM!$G1)</definedName>
    <definedName function="false" hidden="false" name="RegimeExecucao" vbProcedure="false">IF(OR(Import.RegimeExecução="",Import.RegimeExecução="Empreitada por Preço Global",Import.RegimeExecução="Empreitada Integral"),"Global","Unitário")</definedName>
    <definedName function="false" hidden="false" name="Import.RegimeExecução" vbProcedure="false">OFFSET(DADOS!$D$40,0,-1)</definedName>
    <definedName function="false" hidden="false" name="BM.MCAIXA.Filter" vbProcedure="false">BM!$C$15:$Z$40</definedName>
    <definedName function="false" hidden="false" name="BM.MEDAcumulado" vbProcedure="false">IF(COUNTIF(BM!$AB$13:$AM$13,BM.medicao)&gt;0,SUM(OFFSET(BM!$AB1,0,0,1,MATCH(BM.medicao,BM!$AB$13:$AM$13,0))),0)</definedName>
    <definedName function="false" hidden="false" name="BM.medicao" vbProcedure="false">OFFSET(BM!$O$7,1,0)</definedName>
    <definedName function="false" hidden="false" name="BM.MEDAnterior" vbProcedure="false">IF(COUNTIF(BM!$AB$13:$AM$13,BM.medicao-1)&gt;0,SUM(OFFSET(BM!$AB1,0,0,1,MATCH(BM.medicao-1,BM!$AB$13:$AM$13,0))),0)</definedName>
    <definedName function="false" hidden="false" name="BM.MinMed" vbProcedure="false">IF(RegimeExecucao="Global",-1,-BM!$G1)</definedName>
    <definedName function="false" hidden="false" name="BM.TomadorColunas" vbProcedure="false">BM!$AB:$AN</definedName>
    <definedName function="false" hidden="false" name="BM.Título" vbProcedure="false">BM!$E$1</definedName>
    <definedName function="false" hidden="false" name="Brasao" vbProcedure="false">OFÍCIO!$B$1</definedName>
    <definedName function="false" hidden="false" name="CAIXA.Modo" vbProcedure="false">BM!$A$3</definedName>
    <definedName function="false" hidden="false" name="CRONO.ColAux" vbProcedure="false">CRONO!$M:$R</definedName>
    <definedName function="false" hidden="false" name="CRONO.ColunaPadrão" vbProcedure="false">CRONO!$E:$E</definedName>
    <definedName function="false" hidden="false" name="CRONO.Erro" vbProcedure="false">CRONO!$K$10</definedName>
    <definedName function="false" hidden="false" name="CRONO.Filtro" vbProcedure="false">CRONO!$G$13:$G$61</definedName>
    <definedName function="false" hidden="false" name="CRONO.FirstCol" vbProcedure="false">CRONO!$T:$T</definedName>
    <definedName function="false" hidden="false" name="CRONO.firstrow" vbProcedure="false">CRONO!$13:$13</definedName>
    <definedName function="false" hidden="false" name="CRONO.Frenterow" vbProcedure="false">CRONO!$12:$12</definedName>
    <definedName function="false" hidden="false" name="CRONO.LastCol" vbProcedure="false">CRONO!$AG:$AG</definedName>
    <definedName function="false" hidden="false" name="CRONO.lastrow" vbProcedure="false">CRONO!$44:$44</definedName>
    <definedName function="false" hidden="false" name="CRONO.lastrow2" vbProcedure="false">CRONO!$56:$56</definedName>
    <definedName function="false" hidden="false" name="CRONO.LinhaPadrão" vbProcedure="false">CRONO!$1:$3</definedName>
    <definedName function="false" hidden="false" name="CRONO.LinhasNecessarias" vbProcedure="false">COUNTIF(QCI!$B$13:$B$16,"Manual")+COUNTIF(QCI!$B$13:$B$16,"SemiAuto")+COUNT(ORÇAMENTO.ListaCrono)</definedName>
    <definedName function="false" hidden="false" name="ORÇAMENTO.ListaCrono" vbProcedure="false">OFFSET(ORÇAMENTO!$AD$15,1,0):OFFSET(ORÇAMENTO!$AD$40,-1,0)</definedName>
    <definedName function="false" hidden="false" name="CRONO.margemrow" vbProcedure="false">CRONO!$61:$61</definedName>
    <definedName function="false" hidden="false" name="CRONO.MaxParc" vbProcedure="false">CRONO!$H1048576+CRONO!A1</definedName>
    <definedName function="false" hidden="false" name="CRONO.NivelExibicao" vbProcedure="false">CRONO!$H$10</definedName>
    <definedName function="false" hidden="false" name="CRONO.Parcela1" vbProcedure="false">CRONO!$U$12:$U$13</definedName>
    <definedName function="false" hidden="false" name="CRONO.ParcelaFinal" vbProcedure="false">MATCH(100%,CRONO!$U$50:$AG$50,0)</definedName>
    <definedName function="false" hidden="false" name="CRONO.Título" vbProcedure="false">CRONO!$S$4</definedName>
    <definedName function="false" hidden="false" name="CRONOPLE.ColunaPadrão" vbProcedure="false">CRONOPLE!$E:$E</definedName>
    <definedName function="false" hidden="false" name="CRONOPLE.Erro" vbProcedure="false">CRONOPLE!$B$6</definedName>
    <definedName function="false" hidden="false" name="CRONOPLE.Filtro" vbProcedure="false">CRONOPLE!$A$13:$A$36</definedName>
    <definedName function="false" hidden="false" name="CRONOPLE.FirstCol" vbProcedure="false">CRONOPLE!$F:$F</definedName>
    <definedName function="false" hidden="false" name="CRONOPLE.firstrow" vbProcedure="false">CRONOPLE!$15:$15</definedName>
    <definedName function="false" hidden="false" name="CRONOPLE.Frenterow" vbProcedure="false">CRONOPLE!$11:$11</definedName>
    <definedName function="false" hidden="false" name="CRONOPLE.LastCol" vbProcedure="false">CRONOPLE!$AF:$AF</definedName>
    <definedName function="false" hidden="false" name="CRONOPLE.lastrow" vbProcedure="false">CRONOPLE!$22:$22</definedName>
    <definedName function="false" hidden="false" name="CRONOPLE.lastrow2" vbProcedure="false">CRONOPLE!$31:$31</definedName>
    <definedName function="false" hidden="false" name="CRONOPLE.LinhaPadrão" vbProcedure="false">CRONOPLE!$1:$1</definedName>
    <definedName function="false" hidden="false" name="CRONOPLE.margemrow" vbProcedure="false">CRONOPLE!$38:$38</definedName>
    <definedName function="false" hidden="false" name="CRONOPLE.Título" vbProcedure="false">CRONOPLE!$G$2</definedName>
    <definedName function="false" hidden="false" name="CRONOPLE.ValorDoEvento" vbProcedure="false">SUMIF(CÁLCULO!$M$15:$M$40,CRONOPLE!$B1,OFFSET(CÁLCULO!$AA$15:$AA$40,0,CRONOPLE!A$12))</definedName>
    <definedName function="false" hidden="false" name="CÁLCULO.AgrupEventos" vbProcedure="false">CÁLCULO!$K1</definedName>
    <definedName function="false" hidden="false" name="CÁLCULO.ColunaPadrão" vbProcedure="false">CÁLCULO!$O:$O</definedName>
    <definedName function="false" hidden="false" name="CÁLCULO.Erro" vbProcedure="false">CÁLCULO!$F$11</definedName>
    <definedName function="false" hidden="false" name="CÁLCULO.Filtro" vbProcedure="false">CÁLCULO!$C$15:$C$40</definedName>
    <definedName function="false" hidden="false" name="CÁLCULO.firstcol" vbProcedure="false">CÁLCULO!$P:$P</definedName>
    <definedName function="false" hidden="false" name="CÁLCULO.firstrow" vbProcedure="false">CÁLCULO!$15:$15</definedName>
    <definedName function="false" hidden="false" name="CÁLCULO.Frenterow" vbProcedure="false">CÁLCULO!$12:$12</definedName>
    <definedName function="false" hidden="false" name="CÁLCULO.FrentesPreenchidas" vbProcedure="false">CÁLCULO!$M$1</definedName>
    <definedName function="false" hidden="false" name="CÁLCULO.lastcol" vbProcedure="false">CÁLCULO!$AA:$AA</definedName>
    <definedName function="false" hidden="false" name="CÁLCULO.lastrow" vbProcedure="false">CÁLCULO!$40:$40</definedName>
    <definedName function="false" hidden="false" name="CÁLCULO.LinhaPadrão" vbProcedure="false">CÁLCULO!$14:$14</definedName>
    <definedName function="false" hidden="false" name="CÁLCULO.margemrow" vbProcedure="false">CÁLCULO!$48:$48</definedName>
    <definedName function="false" hidden="false" name="CÁLCULO.MATRIZ1.ColunaPadrão" vbProcedure="false">CÁLCULO!$AC:$AC</definedName>
    <definedName function="false" hidden="false" name="CÁLCULO.MATRIZ1.firstcol" vbProcedure="false">CÁLCULO!$AA:$AA</definedName>
    <definedName function="false" hidden="false" name="CÁLCULO.MATRIZ1.lastcol" vbProcedure="false">CÁLCULO!$AL:$AL</definedName>
    <definedName function="false" hidden="false" name="CÁLCULO.MATRIZ1.lastrow" vbProcedure="false">CÁLCULO!$40:$40</definedName>
    <definedName function="false" hidden="false" name="CÁLCULO.MATRIZ2.ColunaPadrão" vbProcedure="false">CÁLCULO!$AN:$AN</definedName>
    <definedName function="false" hidden="false" name="CÁLCULO.MATRIZ2.firstcol" vbProcedure="false">CÁLCULO!$AL:$AL</definedName>
    <definedName function="false" hidden="false" name="CÁLCULO.MATRIZ2.lastcol" vbProcedure="false">CÁLCULO!$AW:$AW</definedName>
    <definedName function="false" hidden="false" name="CÁLCULO.MATRIZ2.lastrow" vbProcedure="false">CÁLCULO!$40:$40</definedName>
    <definedName function="false" hidden="false" name="CÁLCULO.MATRIZ3.ColunaPadrão" vbProcedure="false">CÁLCULO!$AY:$AY</definedName>
    <definedName function="false" hidden="false" name="CÁLCULO.MATRIZ3.firstcol" vbProcedure="false">CÁLCULO!$AW:$AW</definedName>
    <definedName function="false" hidden="false" name="CÁLCULO.MATRIZ3.lastcol" vbProcedure="false">CÁLCULO!$BH:$BH</definedName>
    <definedName function="false" hidden="false" name="CÁLCULO.MATRIZ3.lastrow" vbProcedure="false">CÁLCULO!$40:$40</definedName>
    <definedName function="false" hidden="false" name="CÁLCULO.nEvento" vbProcedure="false">CÁLCULO!$M$12</definedName>
    <definedName function="false" hidden="false" name="CÁLCULO.NúmeroDeEventos" vbProcedure="false">IF(AUTOEVENTO&lt;&gt;"manual",MAX(CÁLCULO!$M$15:$M$40),MAX(OFFSET(EVENTOS!$C$1:$C$22,1,0)))</definedName>
    <definedName function="false" hidden="false" name="CÁLCULO.NúmeroDeFrentes" vbProcedure="false">COLUMN(CÁLCULO!$AA$15)-COLUMN(CÁLCULO!$Q$15)</definedName>
    <definedName function="false" hidden="false" name="CÁLCULO.TotalAdmLocal" vbProcedure="false">IF(AUTOEVENTO="manual",SUMIF(CÁLCULO!$M$15:$M$40,1,ORÇAMENTO!$X$15:$X$40),0)</definedName>
    <definedName function="false" hidden="false" name="CÁLCULO.Título" vbProcedure="false">CÁLCULO!$F$6</definedName>
    <definedName function="false" hidden="false" name="DADOS.ColAux" vbProcedure="false">DADOS!$G:$AR</definedName>
    <definedName function="false" hidden="false" name="DADOS.Erro" vbProcedure="false">DADOS!$D$1</definedName>
    <definedName function="false" hidden="false" name="DESONERACAO" vbProcedure="false">IF(OR(Import.Desoneracao="DESONERADO",Import.Desoneracao="SIM"),"SIM","NÃO")</definedName>
    <definedName function="false" hidden="false" name="Import.Desoneracao" vbProcedure="false">OFFSET(DADOS!$D$18,0,-1)</definedName>
    <definedName function="false" hidden="false" name="EVENTOS.ColunaPadrão" vbProcedure="false">EVENTOS!$E:$E</definedName>
    <definedName function="false" hidden="false" name="EVENTOS.Erro" vbProcedure="false">EVENTOS!$F$6</definedName>
    <definedName function="false" hidden="false" name="EVENTOS.Filtro" vbProcedure="false">EVENTOS!$A$13:$A$29</definedName>
    <definedName function="false" hidden="false" name="EVENTOS.firstcol" vbProcedure="false">EVENTOS!$G:$G</definedName>
    <definedName function="false" hidden="false" name="EVENTOS.firstrow" vbProcedure="false">EVENTOS!$15:$15</definedName>
    <definedName function="false" hidden="false" name="EVENTOS.FrenteRow" vbProcedure="false">EVENTOS!$10:$10</definedName>
    <definedName function="false" hidden="false" name="EVENTOS.LastCol" vbProcedure="false">EVENTOS!$Z:$Z</definedName>
    <definedName function="false" hidden="false" name="EVENTOS.lastrow" vbProcedure="false">EVENTOS!$22:$22</definedName>
    <definedName function="false" hidden="false" name="EVENTOS.LinhaPadrão" vbProcedure="false">EVENTOS!$1:$1</definedName>
    <definedName function="false" hidden="false" name="EVENTOS.Lista" vbProcedure="false">EVENTOS!$C$15:OFFSET(EVENTOS!$C$22,-1,0)</definedName>
    <definedName function="false" hidden="false" name="EVENTOS.ListaValidacao" vbProcedure="false">EVENTOS!$B$15:OFFSET(EVENTOS!$B$22,-1,0)</definedName>
    <definedName function="false" hidden="false" name="EVENTOS.Manual.Preenchidos" vbProcedure="false">EVENTOS!$C$10</definedName>
    <definedName function="false" hidden="false" name="EVENTOS.MargemRow" vbProcedure="false">EVENTOS!$29:$29</definedName>
    <definedName function="false" hidden="false" name="EVENTOS.Título" vbProcedure="false">EVENTOS!$F$2</definedName>
    <definedName function="false" hidden="false" name="Excel_BuiltIn_Database" vbProcedure="false">TEXT(Import.DataBase,"mm-aaaa")</definedName>
    <definedName function="false" hidden="false" name="Import.DataBase" vbProcedure="false">OFFSET(DADOS!$D$19,0,-1)</definedName>
    <definedName function="false" hidden="false" name="Import.Apelido" vbProcedure="false">DADOS!$C$16</definedName>
    <definedName function="false" hidden="false" name="Import.BDI.Det1" vbProcedure="false">BDI!$S$21:$S$26</definedName>
    <definedName function="false" hidden="false" name="Import.BDI.Det2" vbProcedure="false">BDI!$S$61:$S$66</definedName>
    <definedName function="false" hidden="false" name="Import.BDI.Det3" vbProcedure="false">BDI!$S$101:$S$106</definedName>
    <definedName function="false" hidden="false" name="Import.BDI.ISS" vbProcedure="false">BDI!$R$10:$S$11</definedName>
    <definedName function="false" hidden="false" name="Import.BDI.Obs1" vbProcedure="false">BDI!$J$43</definedName>
    <definedName function="false" hidden="false" name="Import.BDI.Obs2" vbProcedure="false">BDI!$J$83</definedName>
    <definedName function="false" hidden="false" name="Import.BDI.Obs3" vbProcedure="false">BDI!$J$123</definedName>
    <definedName function="false" hidden="false" name="Import.BDI.Tipo1" vbProcedure="false">BDI!$J$17</definedName>
    <definedName function="false" hidden="false" name="Import.BDI.Tipo2" vbProcedure="false">BDI!$J$57</definedName>
    <definedName function="false" hidden="false" name="Import.BDI.Tipo3" vbProcedure="false">BDI!$J$97</definedName>
    <definedName function="false" hidden="false" name="Import.BM.Datas" vbProcedure="false">BM!$AB$12:$AM$12</definedName>
    <definedName function="false" hidden="false" name="Import.BM.Obs" vbProcedure="false">BM!$D$43</definedName>
    <definedName function="false" hidden="false" name="Import.BMAFAcumulado" vbProcedure="false">OFFSET(BM!$R$15,1,0):OFFSET(BM!$R$40,-1,0)</definedName>
    <definedName function="false" hidden="false" name="Import.BMArred" vbProcedure="false">BM!$A$9</definedName>
    <definedName function="false" hidden="false" name="Import.CNPJ" vbProcedure="false">DADOS!$C$39</definedName>
    <definedName function="false" hidden="false" name="Import.Contrapartida" vbProcedure="false">DADOS!$C$10</definedName>
    <definedName function="false" hidden="false" name="Import.CPMaxPerc" vbProcedure="false">DADOS!$C$13</definedName>
    <definedName function="false" hidden="false" name="Import.CPMinAbsoluta" vbProcedure="false">DADOS!$C$12</definedName>
    <definedName function="false" hidden="false" name="Import.CPMinPerc" vbProcedure="false">DADOS!$C$11</definedName>
    <definedName function="false" hidden="false" name="Import.CR" vbProcedure="false">DADOS!$C$7</definedName>
    <definedName function="false" hidden="false" name="Import.CRONOPLE" vbProcedure="false">OFFSET(CRONOPLE!$F$15,1,1):OFFSET(CRONOPLE!$AF$22,-1,-1)</definedName>
    <definedName function="false" hidden="false" name="Import.CTEF" vbProcedure="false">DADOS!$C$37</definedName>
    <definedName function="false" hidden="false" name="Import.CustoUnitário" vbProcedure="false">OFFSET(ORÇAMENTO!$U$15,1,0):OFFSET(ORÇAMENTO!$U$40,-1,0)</definedName>
    <definedName function="false" hidden="false" name="Import.Código" vbProcedure="false">OFFSET(ORÇAMENTO!$Q$15,1,0):OFFSET(ORÇAMENTO!$Q$40,-1,0)</definedName>
    <definedName function="false" hidden="false" name="Import.DataBaseLicit" vbProcedure="false">OFFSET(DADOS!$D$41,0,-1)</definedName>
    <definedName function="false" hidden="false" name="Import.DataEmissaoLicit" vbProcedure="false">DADOS!$C$36</definedName>
    <definedName function="false" hidden="false" name="Import.DataFechaRRE" vbProcedure="false">DADOS!$C$48</definedName>
    <definedName function="false" hidden="false" name="Import.DataInicioObra" vbProcedure="false">DADOS!$C$47</definedName>
    <definedName function="false" hidden="false" name="Import.DataPreenchimento" vbProcedure="false">OFFSET(DADOS!$D$25,0,-1)</definedName>
    <definedName function="false" hidden="false" name="Import.DescLote" vbProcedure="false">DADOS!$C$17</definedName>
    <definedName function="false" hidden="false" name="Import.Descrição" vbProcedure="false">OFFSET(ORÇAMENTO!$R$15,1,0):OFFSET(ORÇAMENTO!$R$40,-1,0)</definedName>
    <definedName function="false" hidden="false" name="Import.empresa" vbProcedure="false">DADOS!$C$38</definedName>
    <definedName function="false" hidden="false" name="Import.EventoAdmLocal" vbProcedure="false">CRONOPLE!$B$8</definedName>
    <definedName function="false" hidden="false" name="Import.Eventos.Nomes" vbProcedure="false">OFFSET(EVENTOS!$D$15,1,0):OFFSET(EVENTOS!$D$22,-1,0)</definedName>
    <definedName function="false" hidden="false" name="Import.Eventos.Nível" vbProcedure="false">EVENTOS!$C$8</definedName>
    <definedName function="false" hidden="false" name="Import.Fonte" vbProcedure="false">OFFSET(ORÇAMENTO!$P$15,1,0):OFFSET(ORÇAMENTO!$P$40,-1,0)</definedName>
    <definedName function="false" hidden="false" name="Import.FrenteDeObra" vbProcedure="false">CÁLCULO!$Q$12:OFFSET(CÁLCULO!$AA$12,0,-1)</definedName>
    <definedName function="false" hidden="false" name="Import.MacrosserviçoAdmLocal" vbProcedure="false">CRONO!$H$55</definedName>
    <definedName function="false" hidden="false" name="Import.Município" vbProcedure="false">DADOS!$C$6</definedName>
    <definedName function="false" hidden="false" name="Import.Nível" vbProcedure="false">OFFSET(ORÇAMENTO!$M$15,1,0):OFFSET(ORÇAMENTO!$M$40,-1,0)</definedName>
    <definedName function="false" hidden="false" name="Import.Ofício.Dest" vbProcedure="false">OFÍCIO!$B$11</definedName>
    <definedName function="false" hidden="false" name="Import.Ofício.GIGOV" vbProcedure="false">OFÍCIO!$C$11</definedName>
    <definedName function="false" hidden="false" name="Import.Ofício.Num" vbProcedure="false">OFÍCIO!$C$6</definedName>
    <definedName function="false" hidden="false" name="Import.OpcaoBDI" vbProcedure="false">OFFSET(ORÇAMENTO!$V$15,1,0):OFFSET(ORÇAMENTO!$V$40,-1,0)</definedName>
    <definedName function="false" hidden="false" name="Import.ORÇAMENTO.DivRecurso" vbProcedure="false">OFFSET(ORÇAMENTO!$Y$15,1,0):OFFSET(ORÇAMENTO!$Y$40,-1,0)</definedName>
    <definedName function="false" hidden="false" name="Import.ORÇAMENTO.Obs" vbProcedure="false">ORÇAMENTO!$O$46</definedName>
    <definedName function="false" hidden="false" name="Import.PLE" vbProcedure="false">OFFSET(PLE!$G$15,1,1):OFFSET(PLE!$AG$22,-1,-1)</definedName>
    <definedName function="false" hidden="false" name="Import.PLE.Datas" vbProcedure="false">PLE!$I$25:$AF$25</definedName>
    <definedName function="false" hidden="false" name="Import.PLQ" vbProcedure="false">OFFSET(CÁLCULO!$P$15,1,1):OFFSET(CÁLCULO!$AA$40,-1,-1)</definedName>
    <definedName function="false" hidden="false" name="Import.PLQ.MemCalc" vbProcedure="false">OFFSET(CÁLCULO!$I$15,1,0):OFFSET(CÁLCULO!$I$40,-1,0)</definedName>
    <definedName function="false" hidden="false" name="Import.PLQ.nAgrupEvent" vbProcedure="false">OFFSET(CÁLCULO!$K$15,1,0):OFFSET(CÁLCULO!$K$40,-1,0)</definedName>
    <definedName function="false" hidden="false" name="Import.POArred" vbProcedure="false">ORÇAMENTO!$AF$7:$AF$11</definedName>
    <definedName function="false" hidden="false" name="IMport.Prefeito" vbProcedure="false">DADOS!$C$28:$C$29</definedName>
    <definedName function="false" hidden="false" name="Import.Proponente" vbProcedure="false">DADOS!$C$5</definedName>
    <definedName function="false" hidden="false" name="Import.QCI.Divisao" vbProcedure="false">OFFSET(QCI!$V$13,1,0):OFFSET(QCI!$V$16,-1,0)</definedName>
    <definedName function="false" hidden="false" name="Import.QCI.ItemInv" vbProcedure="false">OFFSET(QCI!$E$13,1,0):OFFSET(QCI!$E$16,-1,0)</definedName>
    <definedName function="false" hidden="false" name="Import.QCI.Obs" vbProcedure="false">QCI!$D$20</definedName>
    <definedName function="false" hidden="false" name="Import.QCI.Qtde" vbProcedure="false">OFFSET(QCI!$I$13,1,0):OFFSET(QCI!$I$16,-1,0)</definedName>
    <definedName function="false" hidden="false" name="Import.QCI.Situacao" vbProcedure="false">OFFSET(QCI!$H$13,1,0):OFFSET(QCI!$H$16,-1,0)</definedName>
    <definedName function="false" hidden="false" name="Import.QCI.SubItemInv" vbProcedure="false">OFFSET(QCI!$F$13,1,0):OFFSET(QCI!$F$16,-1,0)</definedName>
    <definedName function="false" hidden="false" name="Import.QCICP" vbProcedure="false">OFFSET(QCI!$W$13,1,0):OFFSET(QCI!$W$16,-1,0)</definedName>
    <definedName function="false" hidden="false" name="Import.QCIDesc" vbProcedure="false">OFFSET(QCI!$R$13,1,0):OFFSET(QCI!$R$16,-1,0)</definedName>
    <definedName function="false" hidden="false" name="Import.QCIInv" vbProcedure="false">OFFSET(QCI!$U$13,1,0):OFFSET(QCI!$U$16,-1,0)</definedName>
    <definedName function="false" hidden="false" name="Import.QCILote" vbProcedure="false">OFFSET(QCI!$T$13,1,0):OFFSET(QCI!$T$16,-1,0)</definedName>
    <definedName function="false" hidden="false" name="Import.QCIOutros" vbProcedure="false">OFFSET(QCI!$X$13,1,0):OFFSET(QCI!$X$16,-1,0)</definedName>
    <definedName function="false" hidden="false" name="Import.Quantidade" vbProcedure="false">OFFSET(ORÇAMENTO!$AJ$15,1,0):OFFSET(ORÇAMENTO!$AJ$40,-1,0)</definedName>
    <definedName function="false" hidden="false" name="import.recurso" vbProcedure="false">DADOS!$C$4</definedName>
    <definedName function="false" hidden="false" name="Import.Repasse" vbProcedure="false">DADOS!$C$9</definedName>
    <definedName function="false" hidden="false" name="Import.RespFiscalização" vbProcedure="false">DADOS!$C$51:$C$54</definedName>
    <definedName function="false" hidden="false" name="Import.RespOrçamento" vbProcedure="false">DADOS!$C$22:$C$24</definedName>
    <definedName function="false" hidden="false" name="Import.RRE.Financeiro" vbProcedure="false">RRE!$M$39:$O$41</definedName>
    <definedName function="false" hidden="false" name="Import.RRE.Obs" vbProcedure="false">RRE!$E$23</definedName>
    <definedName function="false" hidden="false" name="Import.RRE.Social" vbProcedure="false">RRE!$F$39:$G$41</definedName>
    <definedName function="false" hidden="false" name="Import.SICONV" vbProcedure="false">DADOS!$C$8</definedName>
    <definedName function="false" hidden="false" name="Import.TipoArredondamento" vbProcedure="false">DADOS!$C$31</definedName>
    <definedName function="false" hidden="false" name="Import.TransfereGOV" vbProcedure="false">DADOS!$C$8</definedName>
    <definedName function="false" hidden="false" name="Import.Unidade" vbProcedure="false">OFFSET(ORÇAMENTO!$S$15,1,0):OFFSET(ORÇAMENTO!$S$40,-1,0)</definedName>
    <definedName function="false" hidden="false" name="Import.UnitarioLicitado" vbProcedure="false">OFFSET(ORÇAMENTO!$AL$15,1,0):OFFSET(ORÇAMENTO!$AL$40,-1,0)</definedName>
    <definedName function="false" hidden="false" name="ListaTgov.Unidades" vbProcedure="false">DADOS!$AQ$3:$AQ$220</definedName>
    <definedName function="false" hidden="false" name="MENU.Acompanhamento" vbProcedure="false">MENU!$O$4</definedName>
    <definedName function="false" hidden="false" name="Menu.b.bdi" vbProcedure="false">MENU!$C$10</definedName>
    <definedName function="false" hidden="false" name="Menu.b.bm" vbProcedure="false">MENU!$G$22</definedName>
    <definedName function="false" hidden="false" name="Menu.b.branco" vbProcedure="false">MENU!$G$12</definedName>
    <definedName function="false" hidden="false" name="Menu.b.cronolicit" vbProcedure="false">MENU!$G$18</definedName>
    <definedName function="false" hidden="false" name="Menu.b.cronoprop" vbProcedure="false">MENU!$E$12</definedName>
    <definedName function="false" hidden="false" name="Menu.b.dados" vbProcedure="false">MENU!$E$6</definedName>
    <definedName function="false" hidden="false" name="Menu.b.novo" vbProcedure="false">MENU!$G$6</definedName>
    <definedName function="false" hidden="false" name="Menu.b.oficio" vbProcedure="false">MENU!$E$24</definedName>
    <definedName function="false" hidden="false" name="Menu.b.orçlicit" vbProcedure="false">MENU!$C$18</definedName>
    <definedName function="false" hidden="false" name="Menu.b.orçprop" vbProcedure="false">MENU!$E$10</definedName>
    <definedName function="false" hidden="false" name="Menu.b.PLE" vbProcedure="false">MENU!$C$22</definedName>
    <definedName function="false" hidden="false" name="Menu.b.PLQ" vbProcedure="false">MENU!$G$10</definedName>
    <definedName function="false" hidden="false" name="Menu.b.QCIlicit" vbProcedure="false">MENU!$E$18</definedName>
    <definedName function="false" hidden="false" name="Menu.b.qciprop" vbProcedure="false">MENU!$C$12</definedName>
    <definedName function="false" hidden="false" name="Menu.b.RRE" vbProcedure="false">MENU!$E$22</definedName>
    <definedName function="false" hidden="false" name="MENU.CRONO" vbProcedure="false">OFFSET(CRONO!$U$11,1,0)</definedName>
    <definedName function="false" hidden="false" name="MENU.Import.Form.PLQ" vbProcedure="false">MENU!$K$2</definedName>
    <definedName function="false" hidden="false" name="MENU.Import.Form.PreçoUnit" vbProcedure="false">MENU!$K$1</definedName>
    <definedName function="false" hidden="false" name="MENU.TipoOrçamento" vbProcedure="false">MENU!$O$3</definedName>
    <definedName function="false" hidden="false" name="Menu.tit.acompanhamento" vbProcedure="false">MENU!$B$20</definedName>
    <definedName function="false" hidden="false" name="Menu.tit.licitacao" vbProcedure="false">MENU!$B$16</definedName>
    <definedName function="false" hidden="false" name="Menu.tit.proposta" vbProcedure="false">MENU!$B$8</definedName>
    <definedName function="false" hidden="false" name="NumEventos" vbProcedure="false">COUNT(OFFSET(eventos,0,0,,1))</definedName>
    <definedName function="false" hidden="false" name="Objeto" vbProcedure="false">MENU!$J$1</definedName>
    <definedName function="false" hidden="false" name="OFÍCIO.Erro" vbProcedure="false">OFÍCIO!$C$5</definedName>
    <definedName function="false" hidden="false" name="ORÇAMENTO.BancoRef" vbProcedure="false">ORÇAMENTO!$F$8</definedName>
    <definedName function="false" hidden="false" name="ORÇAMENTO.CodBarra" vbProcedure="false">IF(ORÇAMENTO.Fonte="Sinapi",SUBSTITUTE(SUBSTITUTE(ORÇAMENTO.Codigo,"/00","/"),"/0","/"),ORÇAMENTO.Codigo)</definedName>
    <definedName function="false" hidden="false" name="ORÇAMENTO.Fonte" vbProcedure="false">ORÇAMENTO!$P1</definedName>
    <definedName function="false" hidden="false" name="ORÇAMENTO.Codigo" vbProcedure="false">ORÇAMENTO!$Q1</definedName>
    <definedName function="false" hidden="false" name="ORÇAMENTO.ColAux1" vbProcedure="false">ORÇAMENTO!$Z:$AB</definedName>
    <definedName function="false" hidden="false" name="ORÇAMENTO.ColAux2" vbProcedure="false">ORÇAMENTO!$AD:$AF</definedName>
    <definedName function="false" hidden="false" name="ORÇAMENTO.ColunaLicit" vbProcedure="false">ORÇAMENTO!$AL$15</definedName>
    <definedName function="false" hidden="false" name="ORÇAMENTO.CopyFormat1" vbProcedure="false">ORÇAMENTO!$P$14:$S$14</definedName>
    <definedName function="false" hidden="false" name="ORÇAMENTO.CopyFormat2" vbProcedure="false">ORÇAMENTO!$U$14:$V$14</definedName>
    <definedName function="false" hidden="false" name="ORÇAMENTO.CustoUnitario" vbProcedure="false">ROUND(ORÇAMENTO!$U1,15-13*ORÇAMENTO!$AF$8)</definedName>
    <definedName function="false" hidden="false" name="ORÇAMENTO.Descricao" vbProcedure="false">ORÇAMENTO!$R1</definedName>
    <definedName function="false" hidden="false" name="ORÇAMENTO.Erro" vbProcedure="false">ORÇAMENTO!$O$12</definedName>
    <definedName function="false" hidden="false" name="ORÇAMENTO.Filtro" vbProcedure="false">ORÇAMENTO!$L$15:$L$40</definedName>
    <definedName function="false" hidden="false" name="ORÇAMENTO.firstrow" vbProcedure="false">ORÇAMENTO!$15:$15</definedName>
    <definedName function="false" hidden="false" name="ORÇAMENTO.lastrow" vbProcedure="false">ORÇAMENTO!$40:$40</definedName>
    <definedName function="false" hidden="false" name="ORÇAMENTO.LinhaPadrão" vbProcedure="false">ORÇAMENTO!$14:$14</definedName>
    <definedName function="false" hidden="false" name="ORÇAMENTO.MáximoListaCrono" vbProcedure="false">MAX(ORÇAMENTO.ListaCrono)</definedName>
    <definedName function="false" hidden="false" name="ORÇAMENTO.Nivel" vbProcedure="false">ORÇAMENTO!$M1</definedName>
    <definedName function="false" hidden="false" name="ORÇAMENTO.OpcaoBDI" vbProcedure="false">ORÇAMENTO!$V1</definedName>
    <definedName function="false" hidden="false" name="ORÇAMENTO.PasteFormat1" vbProcedure="false">OFFSET(ORÇAMENTO!$P$15,1,0):OFFSET(ORÇAMENTO!$S$40,-1,0)</definedName>
    <definedName function="false" hidden="false" name="ORÇAMENTO.PasteFormat2" vbProcedure="false">OFFSET(ORÇAMENTO!$U$15,1,0):OFFSET(ORÇAMENTO!$V$40,-1,0)</definedName>
    <definedName function="false" hidden="false" name="ORÇAMENTO.PrecoUnitarioLicitado" vbProcedure="false">ORÇAMENTO!$AL1</definedName>
    <definedName function="false" hidden="false" name="ORÇAMENTO.QuantBM" vbProcedure="false">ORÇAMENTO!$AJ1</definedName>
    <definedName function="false" hidden="false" name="ORÇAMENTO.RangeQuant" vbProcedure="false">OFFSET(ORÇAMENTO!$T$15,1,0):OFFSET(ORÇAMENTO!$T$40,-1,0)</definedName>
    <definedName function="false" hidden="false" name="ORÇAMENTO.SumCPMANUAL" vbProcedure="false">SUMIF(ORÇAMENTO!$Z$15:$Z$40,"CP",ORÇAMENTO!$AA$15:$AA$40)</definedName>
    <definedName function="false" hidden="false" name="ORÇAMENTO.SumINVMANUAL" vbProcedure="false">SUMIF(ORÇAMENTO!$Z$15:$Z$40,"RP",ORÇAMENTO!$X$15:$X$40)+SUMIF(ORÇAMENTO!$Z$15:$Z$40,"CP",ORÇAMENTO!$X$15:$X$40)+SUMIF(ORÇAMENTO!$Z$15:$Z$40,"OU",ORÇAMENTO!$X$15:$X$40)</definedName>
    <definedName function="false" hidden="false" name="ORÇAMENTO.SumOUTROSMANUAL" vbProcedure="false">SUMIF(ORÇAMENTO!$Z$15:$Z$40,"OU",ORÇAMENTO!$AB$15:$AB$40)</definedName>
    <definedName function="false" hidden="false" name="ORÇAMENTO.SumREPASSEMANUAL" vbProcedure="false">ORÇAMENTO.SumINVMANUAL-ORÇAMENTO.SumCPMANUAL-ORÇAMENTO.SumOUTROSMANUAL</definedName>
    <definedName function="false" hidden="false" name="ORÇAMENTO.Título" vbProcedure="false">ORÇAMENTO!$R$1</definedName>
    <definedName function="false" hidden="false" name="ORÇAMENTO.Unidade" vbProcedure="false">ORÇAMENTO!$S1</definedName>
    <definedName function="false" hidden="false" name="PLE.ColunaPadrão" vbProcedure="false">PLE!$F:$F</definedName>
    <definedName function="false" hidden="false" name="PLE.Erro" vbProcedure="false">PLE!$C$11</definedName>
    <definedName function="false" hidden="false" name="PLE.Filtro" vbProcedure="false">PLE!$A$13:$A$38</definedName>
    <definedName function="false" hidden="false" name="PLE.FirstCol" vbProcedure="false">PLE!$G:$G</definedName>
    <definedName function="false" hidden="false" name="PLE.firstrow" vbProcedure="false">PLE!$15:$15</definedName>
    <definedName function="false" hidden="false" name="PLE.FrenteRow" vbProcedure="false">PLE!$11:$11</definedName>
    <definedName function="false" hidden="false" name="PLE.LastCol" vbProcedure="false">PLE!$AG:$AG</definedName>
    <definedName function="false" hidden="false" name="PLE.lastrow" vbProcedure="false">PLE!$22:$22</definedName>
    <definedName function="false" hidden="false" name="PLE.LinhaPadrão" vbProcedure="false">PLE!$1:$1</definedName>
    <definedName function="false" hidden="false" name="PLE.margemrow" vbProcedure="false">PLE!$39:$39</definedName>
    <definedName function="false" hidden="false" name="PLE.Medicao" vbProcedure="false">PLE!$J$9</definedName>
    <definedName function="false" hidden="false" name="PLE.MEDIÇÕES.firstrow" vbProcedure="false">PLE!$23:$23</definedName>
    <definedName function="false" hidden="false" name="PLE.MEDIÇÕES.lastrow" vbProcedure="false">PLE!$33:$33</definedName>
    <definedName function="false" hidden="false" name="PLE.MEDIÇÕES.LinhaPadrão" vbProcedure="false">PLE!$23:$30</definedName>
    <definedName function="false" hidden="false" name="PLE.Título" vbProcedure="false">PLE!$H$3</definedName>
    <definedName function="false" hidden="false" name="PLE.ValorDoEvento" vbProcedure="false">SUMIF(CÁLCULO!$M$15:$M$40,PLE!$B1,OFFSET(CÁLCULO!$AA$15:$AA$40,0,PLE!A$12))</definedName>
    <definedName function="false" hidden="false" name="PO.ValoresBDI" vbProcedure="false">OFFSET(ORÇAMENTO!$AH$15,1,0):OFFSET(ORÇAMENTO!$AH$40,-1,0)</definedName>
    <definedName function="false" hidden="false" name="QCI.ColAux" vbProcedure="false">QCI!$Z:$AE</definedName>
    <definedName function="false" hidden="false" name="QCI.CPManual" vbProcedure="false">ROUND(QCI!$W1,2)</definedName>
    <definedName function="false" hidden="false" name="QCI.DescManual" vbProcedure="false">QCI!$R1</definedName>
    <definedName function="false" hidden="false" name="QCI.Divisao" vbProcedure="false">QCI!$V1</definedName>
    <definedName function="false" hidden="false" name="QCI.Erro" vbProcedure="false">QCI!$G$9</definedName>
    <definedName function="false" hidden="false" name="QCI.ExisteManual" vbProcedure="false">(COUNTIF(QCI!$B$13:$B$16,"Manual")+COUNTIF(QCI!$B$13:$B$16,"SemiAuto"))&gt;0</definedName>
    <definedName function="false" hidden="false" name="QCI.Filtro" vbProcedure="false">QCI!$C$13:$C$17</definedName>
    <definedName function="false" hidden="false" name="QCI.firstrow" vbProcedure="false">QCI!$13:$13</definedName>
    <definedName function="false" hidden="false" name="QCI.InvManual" vbProcedure="false">ROUND(QCI!$U1,2)</definedName>
    <definedName function="false" hidden="false" name="QCI.ItemInvestimento" vbProcedure="false">OFFSET(DADOS!$G$2,1,0,COUNTA(DADOS!$G:$G)-1,1)</definedName>
    <definedName function="false" hidden="false" name="QCI.lastrow" vbProcedure="false">QCI!$16:$16</definedName>
    <definedName function="false" hidden="false" name="QCI.LinhaPadrão" vbProcedure="false">QCI!$12:$12</definedName>
    <definedName function="false" hidden="false" name="QCI.LoteManual" vbProcedure="false">QCI!$T1</definedName>
    <definedName function="false" hidden="false" name="QCI.MaxCPManual" vbProcedure="false">QCI!$O1-QCI!$X1</definedName>
    <definedName function="false" hidden="false" name="QCI.MaxOUManual" vbProcedure="false">QCI!$O1-QCI!$W1</definedName>
    <definedName function="false" hidden="false" name="QCI.OutrosManual" vbProcedure="false">ROUND(QCI!$X1,2)</definedName>
    <definedName function="false" hidden="false" name="QCI.RepasseManual" vbProcedure="false">QCI!$U1</definedName>
    <definedName function="false" hidden="false" name="QCI.SubItemInvestimento" vbProcedure="false">OFFSET(DADOS!$A$2,1,MATCH(QCI!$E1,DADOS!$2:$2,0)-1,INDEX(DADOS!$2:$2,MATCH(QCI!$E1,DADOS!$2:$2,0)+1))</definedName>
    <definedName function="false" hidden="false" name="QCI.SumCPMANUAL" vbProcedure="false">SUMIF(QCI!$B$13:$B$16,"Manual",QCI!$AA$13:$AA$16)</definedName>
    <definedName function="false" hidden="false" name="QCI.SumINVMANUAL" vbProcedure="false">SUMIF(QCI!$B$13:$B$16,"Manual",QCI!$O$13:$O$16)</definedName>
    <definedName function="false" hidden="false" name="QCI.SumOUTROSMANUAL" vbProcedure="false">SUMIF(QCI!$B$13:$B$16,"Manual",QCI!$AB$13:$AB$16)</definedName>
    <definedName function="false" hidden="false" name="QCI.SumREPASSEMANUAL" vbProcedure="false">QCI.SumINVMANUAL-QCI.CPManual-QCI.OutrosManual</definedName>
    <definedName function="false" hidden="false" name="QCI.TotalCP" vbProcedure="false">QCI!$M$16</definedName>
    <definedName function="false" hidden="false" name="QCI.Título" vbProcedure="false">QCI!$F$1</definedName>
    <definedName function="false" hidden="false" name="REFERENCIA.Descricao" vbProcedure="false">IF(ISNUMBER(ORÇAMENTO!$AF1),OFFSET(INDIRECT(ORÇAMENTO.BancoRef),ORÇAMENTO!$AF1-1,3,1),ORÇAMENTO!$AF1)</definedName>
    <definedName function="false" hidden="false" name="REFERENCIA.Desonerado" vbProcedure="false">IF(ISNUMBER(ORÇAMENTO!$AF1),VALUE(OFFSET(INDIRECT(ORÇAMENTO.BancoRef),ORÇAMENTO!$AF1-1,5,1)),0)</definedName>
    <definedName function="false" hidden="false" name="REFERENCIA.NaoDesonerado" vbProcedure="false">IF(ISNUMBER(ORÇAMENTO!$AF1),VALUE(OFFSET(INDIRECT(ORÇAMENTO.BancoRef),ORÇAMENTO!$AF1-1,6,1)),0)</definedName>
    <definedName function="false" hidden="false" name="REFERENCIA.Unidade" vbProcedure="false">IF(ISNUMBER(ORÇAMENTO!$AF1),OFFSET(INDIRECT(ORÇAMENTO.BancoRef),ORÇAMENTO!$AF1-1,4,1),"-")</definedName>
    <definedName function="false" hidden="false" name="RRE.ColAux1" vbProcedure="false">RRE!$Q:$V</definedName>
    <definedName function="false" hidden="false" name="RRE.ColAux2" vbProcedure="false">RRE!$AC:$AO</definedName>
    <definedName function="false" hidden="false" name="RRE.CPDiferente" vbProcedure="false">RRE!$Y$18:$Z$19</definedName>
    <definedName function="false" hidden="false" name="RRE.Filtro" vbProcedure="false">RRE!$D$13:$D$20</definedName>
    <definedName function="false" hidden="false" name="RRE.firstrow" vbProcedure="false">RRE!$13:$13</definedName>
    <definedName function="false" hidden="false" name="RRE.lastrow" vbProcedure="false">RRE!$16:$16</definedName>
    <definedName function="false" hidden="false" name="RRE.LinhaPadrão" vbProcedure="false">RRE!$12:$12</definedName>
    <definedName function="false" hidden="false" name="RRE.MaxCPAcum" vbProcedure="false">RRE!$AD$18</definedName>
    <definedName function="false" hidden="false" name="RRE.MaxCPAnt" vbProcedure="false">RRE!$AC$18</definedName>
    <definedName function="false" hidden="false" name="RRE.MaxOUAcum" vbProcedure="false">RRE!$AD$19</definedName>
    <definedName function="false" hidden="false" name="RRE.MaxOUAnt" vbProcedure="false">RRE!$AC$19</definedName>
    <definedName function="false" hidden="false" name="RRE.Numero" vbProcedure="false">OFFSET(RRE!$O$7,0,1)</definedName>
    <definedName function="false" hidden="false" name="RRE.Título" vbProcedure="false">RRE!$F$1</definedName>
    <definedName function="false" hidden="false" name="RRE.VIMeta" vbProcedure="false">RRE!$L1</definedName>
    <definedName function="false" hidden="false" name="SENHAGT" vbProcedure="false">"PM3CAIXA"</definedName>
    <definedName function="false" hidden="false" name="SomaAgrup" vbProcedure="false">SUMIF(OFFSET(ORÇAMENTO!$C1,1,0,ORÇAMENTO!$D1),"S",OFFSET(ORÇAMENTO!A1,1,0,ORÇAMENTO!$D1))</definedName>
    <definedName function="false" hidden="false" name="SomaAgrupBM" vbProcedure="false">SUMIF(OFFSET(BM!$A1,1,0,BM!$B1),"S",OFFSET(BM!A1,1,0,BM!$B1))</definedName>
    <definedName function="false" hidden="false" name="TIPOORCAMENTO" vbProcedure="false">IF(VALUE(MENU!$O$3)=2,"Licitado","Proposto")</definedName>
    <definedName function="false" hidden="false" name="Versao" vbProcedure="false">MENU!$J$2</definedName>
    <definedName function="false" hidden="false" name="VTOTAL1" vbProcedure="false">ROUND(ORÇAMENTO!$T1*ORÇAMENTO!$W1,15-13*ORÇAMENTO!$AF$11)</definedName>
    <definedName function="false" hidden="false" name="VTOTALBM" vbProcedure="false">IF(BM!$I1=0,0,CHOOSE(MATCH(RegimeExecucao,{"Global","Unitário"},0),ROUND(ROUND(BM!XFB1,15-13*BM!$A$9)/100*BM!$I1,15-13*ORÇAMENTO!$AF$11),ROUND(ROUND(BM!XFB1,15-13*BM!$A$9)*ROUND(BM!$H1,15-13*ORÇAMENTO!$AF$10),15-13*ORÇAMENTO!$AF$11)))</definedName>
    <definedName function="false" hidden="false" name="VTOTALMED" vbProcedure="false">BM!$P$14</definedName>
    <definedName function="false" hidden="false" name="_xleta.AND" vbProcedure="false">#NAME?</definedName>
    <definedName function="false" hidden="false" name="_xleta.N" vbProcedure="false">#NAME?</definedName>
    <definedName function="false" hidden="false" name="_xleta.NOT" vbProcedure="false">#NAME?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0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C7" authorId="0">
      <text>
        <r>
          <rPr>
            <sz val="10"/>
            <rFont val="Arial"/>
            <family val="2"/>
          </rPr>
          <t xml:space="preserve">FILTRO:
</t>
        </r>
        <r>
          <rPr>
            <sz val="9"/>
            <color rgb="FF000000"/>
            <rFont val="Tahoma"/>
            <family val="2"/>
            <charset val="1"/>
          </rPr>
          <t xml:space="preserve">Após a conclusão do Orçamento, utilize o filtro nessa coluna com o valor "F" para ocultar linhas não utilizadas.</t>
        </r>
      </text>
    </comment>
  </commentList>
</comments>
</file>

<file path=xl/comments12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C8" authorId="0">
      <text>
        <r>
          <rPr>
            <sz val="10"/>
            <rFont val="Arial"/>
            <family val="2"/>
          </rPr>
          <t xml:space="preserve">FILTRO:
</t>
        </r>
        <r>
          <rPr>
            <sz val="9"/>
            <color rgb="FF000000"/>
            <rFont val="Tahoma"/>
            <family val="2"/>
            <charset val="1"/>
          </rPr>
          <t xml:space="preserve">Após a conclusão do Orçamento, utilize o filtro nessa coluna com o valor "F" para ocultar linhas não utilizadas.</t>
        </r>
      </text>
    </comment>
    <comment ref="AB12" authorId="0">
      <text>
        <r>
          <rPr>
            <sz val="10"/>
            <rFont val="Arial"/>
            <family val="2"/>
          </rPr>
          <t xml:space="preserve">Digite nestes campos as datas das medições</t>
        </r>
      </text>
    </comment>
    <comment ref="AB13" authorId="0">
      <text>
        <r>
          <rPr>
            <sz val="10"/>
            <rFont val="Arial"/>
            <family val="2"/>
          </rPr>
          <t xml:space="preserve">Para medições além da 12ª, preencha esta coluna com as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quantidades acumuladas.</t>
        </r>
      </text>
    </comment>
  </commentList>
</comments>
</file>

<file path=xl/comments13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7" authorId="0">
      <text>
        <r>
          <rPr>
            <sz val="10"/>
            <rFont val="Arial"/>
            <family val="2"/>
          </rPr>
          <t xml:space="preserve">FILTRO:
</t>
        </r>
        <r>
          <rPr>
            <sz val="9"/>
            <color rgb="FF000000"/>
            <rFont val="Tahoma"/>
            <family val="2"/>
            <charset val="1"/>
          </rPr>
          <t xml:space="preserve">Após a conclusão do Orçamento, utilize o filtro nessa coluna com o valor "F" para ocultar linhas não utilizadas.</t>
        </r>
      </text>
    </comment>
    <comment ref="Z17" authorId="0">
      <text>
        <r>
          <rPr>
            <sz val="10"/>
            <rFont val="Arial"/>
            <family val="2"/>
          </rPr>
          <t xml:space="preserve">Valores de Contrapartida e Outros:
</t>
        </r>
        <r>
          <rPr>
            <sz val="9"/>
            <color rgb="FF000000"/>
            <rFont val="Segoe UI"/>
            <family val="2"/>
            <charset val="1"/>
          </rPr>
          <t xml:space="preserve">Digite somente para desbloquear valores diferentes do previsto no RRE.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C41" authorId="0">
      <text>
        <r>
          <rPr>
            <sz val="10"/>
            <rFont val="Arial"/>
            <family val="2"/>
          </rPr>
          <t xml:space="preserve">Informar a data-base do CTEF no formato mm-aaaa.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I6" authorId="0">
      <text>
        <r>
          <rPr>
            <sz val="10"/>
            <rFont val="Arial"/>
            <family val="2"/>
          </rPr>
          <t xml:space="preserve">FILTRO:
</t>
        </r>
        <r>
          <rPr>
            <sz val="9"/>
            <color rgb="FF000000"/>
            <rFont val="Tahoma"/>
            <family val="2"/>
            <charset val="1"/>
          </rPr>
          <t xml:space="preserve">Após a conclusão do Orçamento, utilize o filtro nessa coluna com o valor "F" para ocultar linhas não utilizadas.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L8" authorId="0">
      <text>
        <r>
          <rPr>
            <sz val="10"/>
            <rFont val="Arial"/>
            <family val="2"/>
          </rPr>
          <t xml:space="preserve">FILTRO:
</t>
        </r>
        <r>
          <rPr>
            <sz val="9"/>
            <color rgb="FF000000"/>
            <rFont val="Tahoma"/>
            <family val="2"/>
            <charset val="1"/>
          </rPr>
          <t xml:space="preserve">Após a conclusão do Orçamento, utilize o filtro nessa coluna com o valor "F" para ocultar linhas não utilizadas.</t>
        </r>
      </text>
    </comment>
    <comment ref="Y8" authorId="0">
      <text>
        <r>
          <rPr>
            <sz val="10"/>
            <rFont val="Arial"/>
            <family val="2"/>
          </rPr>
          <t xml:space="preserve">RECURSO:
</t>
        </r>
        <r>
          <rPr>
            <sz val="9"/>
            <color rgb="FF000000"/>
            <rFont val="Tahoma"/>
            <family val="2"/>
            <charset val="1"/>
          </rPr>
          <t xml:space="preserve">Selecione a composição do item do Orçamento no Investimento.
RA: Rateio proporcional entre Repasse e Contrapartida.
RP: 100% valor de Repasse.
CP: 100%  valor de Contrapartida.
OU: 100% valor "Outros".</t>
        </r>
      </text>
    </comment>
    <comment ref="AJ7" authorId="0">
      <text>
        <r>
          <rPr>
            <sz val="10"/>
            <rFont val="Arial"/>
            <family val="2"/>
          </rPr>
          <t xml:space="preserve">QUANTIDADES:
</t>
        </r>
        <r>
          <rPr>
            <sz val="9"/>
            <color rgb="FF000000"/>
            <rFont val="Tahoma"/>
            <family val="2"/>
            <charset val="1"/>
          </rPr>
          <t xml:space="preserve">PREENCHA AS QUANTIDADES AQUI PARA ACOMPANHAMENTOS POR BM.</t>
        </r>
      </text>
    </comment>
    <comment ref="AL7" authorId="0">
      <text>
        <r>
          <rPr>
            <sz val="10"/>
            <rFont val="Arial"/>
            <family val="2"/>
          </rPr>
          <t xml:space="preserve">PREÇO UNITÁRIO LICITADO:
</t>
        </r>
        <r>
          <rPr>
            <sz val="9"/>
            <color rgb="FF000000"/>
            <rFont val="Tahoma"/>
            <family val="2"/>
            <charset val="1"/>
          </rPr>
          <t xml:space="preserve">PREENCHA AQUI O PREÇO UNITÁRIO DA LICITAÇÃO.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15" authorId="0">
      <text>
        <r>
          <rPr>
            <sz val="10"/>
            <rFont val="Arial"/>
            <family val="2"/>
          </rPr>
          <t xml:space="preserve"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<sst xmlns="http://schemas.openxmlformats.org/spreadsheetml/2006/main" count="1797" uniqueCount="977">
  <si>
    <t xml:space="preserve">Novidades da Versão</t>
  </si>
  <si>
    <t xml:space="preserve">V3.00</t>
  </si>
  <si>
    <t xml:space="preserve">GERAL</t>
  </si>
  <si>
    <t xml:space="preserve">Lançamento: Adequação à Portaria 424/2016. Acompanhamento por Eventos.</t>
  </si>
  <si>
    <t xml:space="preserve">V3.01</t>
  </si>
  <si>
    <t xml:space="preserve">Ajustes de formatações.</t>
  </si>
  <si>
    <t xml:space="preserve">PO</t>
  </si>
  <si>
    <t xml:space="preserve">Correção da aplicação do BDI não desonerado.</t>
  </si>
  <si>
    <t xml:space="preserve">Inclusão de coluna exclusiva "Preço Unitário Edital", para o Modo 'Orçamento Licitado'.</t>
  </si>
  <si>
    <t xml:space="preserve">V3.02</t>
  </si>
  <si>
    <t xml:space="preserve">Correção do Problema de Guias ocultas no BROFFICE.</t>
  </si>
  <si>
    <t xml:space="preserve">ORÇAMENTO</t>
  </si>
  <si>
    <t xml:space="preserve">Ampliada obtenção de dados da Planilha Referência de 20.000 para 65.536 linhas.</t>
  </si>
  <si>
    <t xml:space="preserve">CRONOGRAMA</t>
  </si>
  <si>
    <t xml:space="preserve">Correção na formulação do total acumulado por Repasse, CP e Outros</t>
  </si>
  <si>
    <t xml:space="preserve">QCI</t>
  </si>
  <si>
    <t xml:space="preserve">Correção na formulação do arredondamento no rateio dos valores do QCI.</t>
  </si>
  <si>
    <t xml:space="preserve">RRE</t>
  </si>
  <si>
    <t xml:space="preserve">Correção na formulação do total por Repasse, CP e Outros.</t>
  </si>
  <si>
    <t xml:space="preserve">V3.03</t>
  </si>
  <si>
    <t xml:space="preserve">CÁLCULO</t>
  </si>
  <si>
    <t xml:space="preserve">Corrigida lentidão e travamento ao incluir e excluir frentes.</t>
  </si>
  <si>
    <t xml:space="preserve">V3.04</t>
  </si>
  <si>
    <t xml:space="preserve">BDI</t>
  </si>
  <si>
    <t xml:space="preserve">Correção da CPRB que exibia 4,5% mesmo quando não desonerado.</t>
  </si>
  <si>
    <t xml:space="preserve">Correção da distribuição de Repasse, CP e Outros para as metas manuais.</t>
  </si>
  <si>
    <t xml:space="preserve">Adicionado botão para adotar a CP do QCI como CP do contrato (zera saldo a reprogramar de CP).</t>
  </si>
  <si>
    <t xml:space="preserve">V3.05</t>
  </si>
  <si>
    <t xml:space="preserve">Corrigido modo de Cálculo da Planilha para Automático.</t>
  </si>
  <si>
    <t xml:space="preserve">V3.06</t>
  </si>
  <si>
    <t xml:space="preserve">Adicionado modo de arredondamento para compatibilidade com o TransfereGOV, altera na aba DADOS</t>
  </si>
  <si>
    <t xml:space="preserve">A planilha passará a ser disponibilizada com o formato .xlsm. Deve ser usado arquivo referência 1.9 ou superior, também no formato .xlsm</t>
  </si>
  <si>
    <t xml:space="preserve">V3.07</t>
  </si>
  <si>
    <t xml:space="preserve">Alterada a posição da aba NOVO para antes da aba MENU.</t>
  </si>
  <si>
    <t xml:space="preserve">Alterada a posição da aba CÁLCULO para depois da aba EVENTOS. Pois, no caso de acompanhamento por PLE, a lista supensa na coluna "Nº  Agrupador de Eventos" na aba CÁLCULO depende do preenchimento prévio da aba EVENTOS.</t>
  </si>
  <si>
    <t xml:space="preserve">Alterada a posição da aba CRONO para depois da aba CRONOPLE. Pois, no caso de acompanhamento por PLE, a aba CRONO tem o preenchimento automático a partir da aba CRONOPLE.</t>
  </si>
  <si>
    <t xml:space="preserve">Alterada a posição da aba PLE para depois da aba QCI. Com a finalidade de deixar agrupadas todas as abas de acompanhamento (PLE, BM, RRE, OFÍCIO).</t>
  </si>
  <si>
    <t xml:space="preserve">Acrescentados botões de navegação (cor azul claro) em várias abas. Em relação a esses botões, também foram ajustados os links, nomes e formatação.</t>
  </si>
  <si>
    <t xml:space="preserve">Criada macro para exibir apenas as abas pertinentes (exemplo: caso o acompanhamento seja por PLE, a aba BM fica oculta).</t>
  </si>
  <si>
    <t xml:space="preserve">Ajuste na macro para correção automática do Nº AGRUPADOR DE EVENTOS na aba CÁLCULO, quando se ADCIONAR ou EXCLUIR LINHAS na aba EVENTOS.</t>
  </si>
  <si>
    <t xml:space="preserve">MENU</t>
  </si>
  <si>
    <t xml:space="preserve">Acrescentado o botão "IMPORTAR DE OUTROS MODELOS CAIXA": PO (MO27476); PLE (MO27477); e QCI (MO41211).</t>
  </si>
  <si>
    <t xml:space="preserve">Acrescentado o botão de seleção "Importar Fórmulas para o Custo Unitário (aba ORÇAMENTO)". </t>
  </si>
  <si>
    <t xml:space="preserve">Caso selecionada, será importada a fórmula (se houver) do custo unitário; Caso desmarcada, será importado somente o valor.</t>
  </si>
  <si>
    <t xml:space="preserve">Acrescentado o botão de seleção "Importar Fórmulas para as Quantidades da PLQ (aba CÁLCULO)". </t>
  </si>
  <si>
    <t xml:space="preserve">Caso selecionada, será importada a fórmula (se houver) do quantitativo; Caso desmarcada, será importado somente o valor.</t>
  </si>
  <si>
    <t xml:space="preserve">Atualizada a macro de Importação para incluir a importar da coluna "Nº Agrupador de Eventos" da aba CÁLCULO.</t>
  </si>
  <si>
    <t xml:space="preserve">Atualizada a macro de Imprimir Documentos (para englobar as abas EVENTOS e CRONOPLE).</t>
  </si>
  <si>
    <t xml:space="preserve">Ajuste automático do valor da CPRB em função da data base do orçamento (para atendimento do Art. 9-A da Lei 12.546 de 14/12/2011).</t>
  </si>
  <si>
    <t xml:space="preserve">EVENTOS</t>
  </si>
  <si>
    <t xml:space="preserve">Acrescentados os dados de identificação do Contrato de Repasse.</t>
  </si>
  <si>
    <t xml:space="preserve">Acrescentadas as colunas dos totais dos Eventos por Frentes de Obra.</t>
  </si>
  <si>
    <t xml:space="preserve">Acrescentados os dados de Local, Data e Responsável Técnico.</t>
  </si>
  <si>
    <t xml:space="preserve">Acrescentado FILTRO para exibir apenas as linhas preenchidas.</t>
  </si>
  <si>
    <t xml:space="preserve">CRONOPLE</t>
  </si>
  <si>
    <t xml:space="preserve">Acrescentado o quadro "Cronograma" com percentual e valor da parcela e percentual e valor acumulado.</t>
  </si>
  <si>
    <t xml:space="preserve">Correção na fórmula da data, para replicar a “Data de fechamento do RRE” na aba DADOS.</t>
  </si>
  <si>
    <t xml:space="preserve">OFÍCIO</t>
  </si>
  <si>
    <t xml:space="preserve">Exclusão do quadro "Resumo de Valores por CTEF".</t>
  </si>
  <si>
    <t xml:space="preserve">V3.08</t>
  </si>
  <si>
    <t xml:space="preserve">Incluídos alertas de erro de preenchimento em todas as abas.</t>
  </si>
  <si>
    <t xml:space="preserve">Incluído botão de macro para gerar arquivo (em xlsx) para upload da PO e CFF no TransfereGOV.</t>
  </si>
  <si>
    <t xml:space="preserve">Ajustada a macro "Importar de outra Planilha Múltipla" para importar o Cronograma da aba CRONO. Também foram incluídas as importações dos campos: Data do preenchimento (DADOS), Data de fechamento do RRE (DADOS); nº da 1ª Parcela do Cronograma (CRONO), mês da 1ª Parcela do Cronograma (CRONO), nº da Medição (BM) e nº da Medição (PLE).</t>
  </si>
  <si>
    <t xml:space="preserve">Incluída a informação do progresso na macro "Importar de outra Planilha Múltipla", por meio de uma barra de progresso (janela que será exibida na tela) e da indicação das etapas de importação na barra de status do Excel (canto inferior esquerdo da janela do Excel).</t>
  </si>
  <si>
    <t xml:space="preserve">Incluídos botões de navegação para os formulários de BDI (BDI 1, BDI 2, BDI 3).</t>
  </si>
  <si>
    <t xml:space="preserve">Incluído botão de macro para padronizar as siglas de unidades, conforme lista de siglas válidas no TransfereGOV.</t>
  </si>
  <si>
    <t xml:space="preserve">O Título de Evento "Administração Local" com preenchimento automático proporcional agora é exibido apenas no modo Arredondamento de Frentes "Tradicional" e para a opção Agrupadores de Eventos "Definir Manualmente".</t>
  </si>
  <si>
    <t xml:space="preserve">Não é mais possível deixar Eventos em branco (sem nome ou sem valor).</t>
  </si>
  <si>
    <t xml:space="preserve">Não é mais possível deixar Frentes de Obra em branco (sem nome ou sem quantidades).</t>
  </si>
  <si>
    <t xml:space="preserve">Incluído campo para selecionar o Título do Evento referente à Administração Local (acompanhamento por PLE).</t>
  </si>
  <si>
    <t xml:space="preserve">Incluída linha com o percentual acumulado da Administração Local em cada período.</t>
  </si>
  <si>
    <t xml:space="preserve">CRONO</t>
  </si>
  <si>
    <t xml:space="preserve">Ajustada a fórmula do % acumulado a partir da parcela 13 (para manter o padrão da fórmula das parcelas 1 a 12).</t>
  </si>
  <si>
    <t xml:space="preserve">Incluído campo para selecionar o Macrosserviço referente à Administração Local (acompanhamento por BM).</t>
  </si>
  <si>
    <t xml:space="preserve">Incluída linha com o percentual acumulado da Administração Local em cada parcela.</t>
  </si>
  <si>
    <t xml:space="preserve">Corrigida a fórmula do % no quadro "Percentual previsto em:". Que estava limitada a buscar o % previsto até a parcela 12.</t>
  </si>
  <si>
    <t xml:space="preserve">PLE</t>
  </si>
  <si>
    <t xml:space="preserve">Incluída linha com o percentual acumulado da Administração Local em cada medição.</t>
  </si>
  <si>
    <t xml:space="preserve">BM</t>
  </si>
  <si>
    <t xml:space="preserve">Incluído campo com o percentual medido acumulado da Administração Local.</t>
  </si>
  <si>
    <t xml:space="preserve">V3.09</t>
  </si>
  <si>
    <t xml:space="preserve">Atualizada a macro "Gerar arquivo para upload no TransfereGOV" para ajustar os códigos de composições SINAPI (acrescentar zeros a esquerda até completar dez dígitos) para Data base igual ou superior a JAN/2025.</t>
  </si>
  <si>
    <t xml:space="preserve">Acrescentada formatação condicional na coluna "Descrição" para exibir os textos de alerta de erro, textos que começam com "(", na cor vermelha.</t>
  </si>
  <si>
    <t xml:space="preserve">Corrigida a macro dos botões de navegação para os formulários do BDI.</t>
  </si>
  <si>
    <t xml:space="preserve">V3.10</t>
  </si>
  <si>
    <t xml:space="preserve">Corrigidas as fórmulas da v3.08 / v3.09 que eram incompatíveis com as versões do Excel anteriores ao Office 365.</t>
  </si>
  <si>
    <t xml:space="preserve">PM</t>
  </si>
  <si>
    <t xml:space="preserve">v3.10</t>
  </si>
  <si>
    <t xml:space="preserve">Proposto</t>
  </si>
  <si>
    <t xml:space="preserve">DADOS DO CONTRATO</t>
  </si>
  <si>
    <t xml:space="preserve">NOVIDADES DA VERSÃO</t>
  </si>
  <si>
    <t xml:space="preserve">Licitado</t>
  </si>
  <si>
    <t xml:space="preserve">LEGENDA:</t>
  </si>
  <si>
    <r>
      <rPr>
        <sz val="10"/>
        <rFont val="Arial"/>
        <family val="2"/>
        <charset val="1"/>
      </rPr>
      <t xml:space="preserve">Cores das </t>
    </r>
    <r>
      <rPr>
        <b val="true"/>
        <sz val="10"/>
        <rFont val="Arial"/>
        <family val="2"/>
        <charset val="1"/>
      </rPr>
      <t xml:space="preserve">células</t>
    </r>
    <r>
      <rPr>
        <sz val="10"/>
        <rFont val="Arial"/>
        <family val="2"/>
        <charset val="1"/>
      </rPr>
      <t xml:space="preserve">:</t>
    </r>
  </si>
  <si>
    <t xml:space="preserve">Fundo amarelo: células para preencher</t>
  </si>
  <si>
    <t xml:space="preserve">Fundo azul: células para seleção de opções</t>
  </si>
  <si>
    <r>
      <rPr>
        <sz val="10"/>
        <rFont val="Arial"/>
        <family val="2"/>
        <charset val="1"/>
      </rPr>
      <t xml:space="preserve">Cores dos </t>
    </r>
    <r>
      <rPr>
        <b val="true"/>
        <sz val="10"/>
        <rFont val="Arial"/>
        <family val="2"/>
        <charset val="1"/>
      </rPr>
      <t xml:space="preserve">botões</t>
    </r>
    <r>
      <rPr>
        <sz val="10"/>
        <rFont val="Arial"/>
        <family val="2"/>
        <charset val="1"/>
      </rPr>
      <t xml:space="preserve">:</t>
    </r>
  </si>
  <si>
    <t xml:space="preserve">Fundo azul claro: navegação entre abas</t>
  </si>
  <si>
    <t xml:space="preserve">Fundo laranja: execução de macro</t>
  </si>
  <si>
    <t xml:space="preserve">A. DOCUMENTAÇÃO DA PROPOSTA</t>
  </si>
  <si>
    <t xml:space="preserve">Sub-Itens de Investimento</t>
  </si>
  <si>
    <t xml:space="preserve">Unidades válidas no Tgov</t>
  </si>
  <si>
    <t xml:space="preserve">Itens de Investimento</t>
  </si>
  <si>
    <t xml:space="preserve">Unidades habitacionais</t>
  </si>
  <si>
    <t xml:space="preserve">Equipamentos comunitários</t>
  </si>
  <si>
    <t xml:space="preserve">Pavimentação</t>
  </si>
  <si>
    <t xml:space="preserve">Drenagem </t>
  </si>
  <si>
    <t xml:space="preserve">Abastecimento de água</t>
  </si>
  <si>
    <t xml:space="preserve">Esgotamento sanitário</t>
  </si>
  <si>
    <t xml:space="preserve">Energia elétrica e iluminação pública</t>
  </si>
  <si>
    <t xml:space="preserve">Coleta e tratamento de resíduos sólidos</t>
  </si>
  <si>
    <t xml:space="preserve">Contenção e estabilização de encostas </t>
  </si>
  <si>
    <t xml:space="preserve">Regularização fundiária</t>
  </si>
  <si>
    <t xml:space="preserve">Aquisição de terreno</t>
  </si>
  <si>
    <t xml:space="preserve">Aquisição de equipamentos e insumos</t>
  </si>
  <si>
    <t xml:space="preserve">Elaboração de estudos e projetos</t>
  </si>
  <si>
    <t xml:space="preserve">Instrumentos e ações em planejamento e gestão pública</t>
  </si>
  <si>
    <t xml:space="preserve">Ações complementares às obras</t>
  </si>
  <si>
    <t xml:space="preserve">Gerenciamento</t>
  </si>
  <si>
    <t xml:space="preserve">Trabalho social</t>
  </si>
  <si>
    <t xml:space="preserve">Sigla</t>
  </si>
  <si>
    <t xml:space="preserve">Descrição</t>
  </si>
  <si>
    <t xml:space="preserve">Dados do Contrato (Inicial)</t>
  </si>
  <si>
    <t xml:space="preserve">Aquisição</t>
  </si>
  <si>
    <t xml:space="preserve">un</t>
  </si>
  <si>
    <t xml:space="preserve">Convivência comunitária, assistência social e/ou comunitária</t>
  </si>
  <si>
    <t xml:space="preserve">m²</t>
  </si>
  <si>
    <t xml:space="preserve">Capeamento de vias</t>
  </si>
  <si>
    <t xml:space="preserve">Obras de microdrenagem </t>
  </si>
  <si>
    <t xml:space="preserve">m</t>
  </si>
  <si>
    <t xml:space="preserve">Captação subterrânea</t>
  </si>
  <si>
    <t xml:space="preserve">m³/s</t>
  </si>
  <si>
    <t xml:space="preserve">Ligações domiciliares e/ou intradomiciliares</t>
  </si>
  <si>
    <t xml:space="preserve">Iluminação pública - luminárias</t>
  </si>
  <si>
    <t xml:space="preserve">Acondicionamento </t>
  </si>
  <si>
    <t xml:space="preserve">Estabilização de taludes</t>
  </si>
  <si>
    <t xml:space="preserve">Desapropriacões/Indenizações</t>
  </si>
  <si>
    <t xml:space="preserve">Avaliação pós intervenção</t>
  </si>
  <si>
    <t xml:space="preserve">%CT</t>
  </si>
  <si>
    <t xml:space="preserve">Projeto de Trabalho Social Preliminar</t>
  </si>
  <si>
    <t xml:space="preserve">nº fam</t>
  </si>
  <si>
    <t xml:space="preserve">Fonte de recursos:</t>
  </si>
  <si>
    <t xml:space="preserve">OGU</t>
  </si>
  <si>
    <t xml:space="preserve">Construção</t>
  </si>
  <si>
    <t xml:space="preserve">Educação e cultura</t>
  </si>
  <si>
    <t xml:space="preserve">Recapeamento de vias</t>
  </si>
  <si>
    <t xml:space="preserve">Desassoreamento de cursos de água</t>
  </si>
  <si>
    <t xml:space="preserve">Captação superficial</t>
  </si>
  <si>
    <t xml:space="preserve">Rede coletora e/ou condominial</t>
  </si>
  <si>
    <t xml:space="preserve">Ligações domiciliares</t>
  </si>
  <si>
    <t xml:space="preserve">Aterro sanitário e/ou disposição final</t>
  </si>
  <si>
    <t xml:space="preserve">m³</t>
  </si>
  <si>
    <t xml:space="preserve">Obras complementares a ações de redução de risco e/ou contenções</t>
  </si>
  <si>
    <t xml:space="preserve">Projeto de Regularização Fundiária</t>
  </si>
  <si>
    <t xml:space="preserve">Benfeitorias</t>
  </si>
  <si>
    <t xml:space="preserve">Demolições</t>
  </si>
  <si>
    <t xml:space="preserve">Projeto de Trabalho Social</t>
  </si>
  <si>
    <t xml:space="preserve">°C</t>
  </si>
  <si>
    <t xml:space="preserve">GRAU CELSIUS</t>
  </si>
  <si>
    <t xml:space="preserve">Proponente/Tomador:</t>
  </si>
  <si>
    <t xml:space="preserve">PREFEITURA MUNICIPAL DE CAÇAPAVA DO SUL</t>
  </si>
  <si>
    <t xml:space="preserve">Reforma e/ou melhoria</t>
  </si>
  <si>
    <t xml:space="preserve">Esportes</t>
  </si>
  <si>
    <t xml:space="preserve">Obras de artes especiais</t>
  </si>
  <si>
    <t xml:space="preserve">Canalização de cursos de água</t>
  </si>
  <si>
    <t xml:space="preserve">Estação de bombeamento de água bruta</t>
  </si>
  <si>
    <t xml:space="preserve">Coletor tronco e/ou interceptores</t>
  </si>
  <si>
    <t xml:space="preserve">Linhas de distribuição - baixa tensão </t>
  </si>
  <si>
    <t xml:space="preserve">Erradicação de lixões</t>
  </si>
  <si>
    <t xml:space="preserve">Plano de Reassentamento e medidas compensatórias</t>
  </si>
  <si>
    <t xml:space="preserve">Plano de Desenvolvimento Socioterritorial</t>
  </si>
  <si>
    <t xml:space="preserve">°F</t>
  </si>
  <si>
    <t xml:space="preserve">GRAU FAHRENHEIT</t>
  </si>
  <si>
    <t xml:space="preserve">Município/UF:</t>
  </si>
  <si>
    <t xml:space="preserve">CAÇÃPAVA DO SUL</t>
  </si>
  <si>
    <t xml:space="preserve">Lazer e turismo</t>
  </si>
  <si>
    <t xml:space="preserve">Pavimentação de calçadas</t>
  </si>
  <si>
    <t xml:space="preserve">Recomposição de vegetação ciliar, renaturalização de cursos de água ou restauração de margens</t>
  </si>
  <si>
    <t xml:space="preserve">Adução</t>
  </si>
  <si>
    <t xml:space="preserve">Emissário</t>
  </si>
  <si>
    <t xml:space="preserve">Linhas de transmissão - alta tensão </t>
  </si>
  <si>
    <t xml:space="preserve">Sistema de coleta seletiva tradicional, transporte e/ou equipamentos</t>
  </si>
  <si>
    <t xml:space="preserve">Plano de Gestão Condominial</t>
  </si>
  <si>
    <t xml:space="preserve">100M</t>
  </si>
  <si>
    <t xml:space="preserve">100 METROS</t>
  </si>
  <si>
    <t xml:space="preserve">Nº da Operação (0000000-00):</t>
  </si>
  <si>
    <t xml:space="preserve">-</t>
  </si>
  <si>
    <t xml:space="preserve">Saúde</t>
  </si>
  <si>
    <t xml:space="preserve">Pavimentação de vias</t>
  </si>
  <si>
    <t xml:space="preserve">Reservatório de amortecimento de cheias</t>
  </si>
  <si>
    <t xml:space="preserve">Estação de Tratamento de Água (ETA)</t>
  </si>
  <si>
    <t xml:space="preserve">Estação Elevatória</t>
  </si>
  <si>
    <t xml:space="preserve">Tratamento local </t>
  </si>
  <si>
    <t xml:space="preserve">18L</t>
  </si>
  <si>
    <t xml:space="preserve">18 LITROS</t>
  </si>
  <si>
    <t xml:space="preserve">Nº do TransfereGOV (000000):</t>
  </si>
  <si>
    <t xml:space="preserve">Segurança pública</t>
  </si>
  <si>
    <t xml:space="preserve">Sinalização</t>
  </si>
  <si>
    <t xml:space="preserve">Estação de Bombeamento</t>
  </si>
  <si>
    <t xml:space="preserve">Estação de bombeamento de água tratada</t>
  </si>
  <si>
    <t xml:space="preserve">Estação de Tratamento de Esgoto (ETE)</t>
  </si>
  <si>
    <t xml:space="preserve">Usinas de reciclagem </t>
  </si>
  <si>
    <t xml:space="preserve">200KG</t>
  </si>
  <si>
    <t xml:space="preserve">200 QUILOS</t>
  </si>
  <si>
    <t xml:space="preserve">Linha de recalque</t>
  </si>
  <si>
    <t xml:space="preserve">Sistema simplificado de tratamento</t>
  </si>
  <si>
    <t xml:space="preserve">250G</t>
  </si>
  <si>
    <t xml:space="preserve">250 GRAMAS</t>
  </si>
  <si>
    <t xml:space="preserve">Valor de Contrapartida Contratada (R$):</t>
  </si>
  <si>
    <t xml:space="preserve">Reservação</t>
  </si>
  <si>
    <t xml:space="preserve">Unidades sanitárias</t>
  </si>
  <si>
    <t xml:space="preserve">310ML</t>
  </si>
  <si>
    <t xml:space="preserve">310 MILILITROS</t>
  </si>
  <si>
    <t xml:space="preserve">% mínimo de Contrapartida:</t>
  </si>
  <si>
    <t xml:space="preserve">Rede de distribuição</t>
  </si>
  <si>
    <t xml:space="preserve">50KG</t>
  </si>
  <si>
    <t xml:space="preserve">50 QUILOS</t>
  </si>
  <si>
    <t xml:space="preserve">R$ mínimo de Contrapartida (se houver):</t>
  </si>
  <si>
    <t xml:space="preserve">A</t>
  </si>
  <si>
    <t xml:space="preserve">AMPÈRE</t>
  </si>
  <si>
    <t xml:space="preserve">% máximo de Contrapartida:</t>
  </si>
  <si>
    <t xml:space="preserve">Sistema simplificado de abastecimento</t>
  </si>
  <si>
    <t xml:space="preserve">ACA/ACC</t>
  </si>
  <si>
    <t xml:space="preserve">A.CORR.ALTERN/CONT.</t>
  </si>
  <si>
    <t xml:space="preserve">AH</t>
  </si>
  <si>
    <t xml:space="preserve">AMPÈRE HORA</t>
  </si>
  <si>
    <t xml:space="preserve">Dados do Empreendimento e Orçamento</t>
  </si>
  <si>
    <t xml:space="preserve">AH/H/V</t>
  </si>
  <si>
    <t xml:space="preserve">AMPÉRE-H/H/VOLT</t>
  </si>
  <si>
    <t xml:space="preserve">Nome/apelido:</t>
  </si>
  <si>
    <t xml:space="preserve">EMEF INSTITUTO AUGUSTA MARIA LIMA MARQUES</t>
  </si>
  <si>
    <t xml:space="preserve">AM</t>
  </si>
  <si>
    <t xml:space="preserve">AMPOLA</t>
  </si>
  <si>
    <t xml:space="preserve">Descrição do Objeto do Lote / CTEF:</t>
  </si>
  <si>
    <t xml:space="preserve">REFORMA DO TELHADO</t>
  </si>
  <si>
    <t xml:space="preserve">AM0/4ML</t>
  </si>
  <si>
    <t xml:space="preserve">AMPOLA COM 0,4 Ml</t>
  </si>
  <si>
    <t xml:space="preserve">Regime previdenciário previsto para a obra:</t>
  </si>
  <si>
    <t xml:space="preserve">NÃO DESONERADO</t>
  </si>
  <si>
    <t xml:space="preserve">AM0/5ML</t>
  </si>
  <si>
    <t xml:space="preserve">AMPOLA COM 0,5 mL</t>
  </si>
  <si>
    <t xml:space="preserve">Data base do Orçamento:</t>
  </si>
  <si>
    <t xml:space="preserve">AM1/5ML</t>
  </si>
  <si>
    <t xml:space="preserve">AMPOLA COM 1,5 mL</t>
  </si>
  <si>
    <t xml:space="preserve">AM10ML</t>
  </si>
  <si>
    <t xml:space="preserve">AMPOLA COM 10 mL</t>
  </si>
  <si>
    <t xml:space="preserve">Responsável pelo Orçamento</t>
  </si>
  <si>
    <t xml:space="preserve">AM1ML</t>
  </si>
  <si>
    <t xml:space="preserve">AMPOLA COM 1 mL</t>
  </si>
  <si>
    <t xml:space="preserve">Nome:</t>
  </si>
  <si>
    <t xml:space="preserve">HELMESONA DE OLIVEIRA SANTANA</t>
  </si>
  <si>
    <t xml:space="preserve">AM2/5ML</t>
  </si>
  <si>
    <t xml:space="preserve">AMPOLA COM 2,5 mL</t>
  </si>
  <si>
    <t xml:space="preserve">CREA/CAU:</t>
  </si>
  <si>
    <t xml:space="preserve">RS152843</t>
  </si>
  <si>
    <t xml:space="preserve">AM2ML</t>
  </si>
  <si>
    <t xml:space="preserve">AMPOLA COM 2 mL</t>
  </si>
  <si>
    <t xml:space="preserve">ART/RRT:</t>
  </si>
  <si>
    <t xml:space="preserve">8809670</t>
  </si>
  <si>
    <t xml:space="preserve">AM3ML</t>
  </si>
  <si>
    <t xml:space="preserve">AMPOLA COM 3 mL</t>
  </si>
  <si>
    <t xml:space="preserve">Data do preenchimento:</t>
  </si>
  <si>
    <t xml:space="preserve">AM4ML</t>
  </si>
  <si>
    <t xml:space="preserve">AMPOLA COM 4 mL</t>
  </si>
  <si>
    <t xml:space="preserve">AM5ML</t>
  </si>
  <si>
    <t xml:space="preserve">AMPOLA COM 5 mL</t>
  </si>
  <si>
    <t xml:space="preserve">Responsável pelo Tomador (Prefeito, no caso de Municípios)</t>
  </si>
  <si>
    <t xml:space="preserve">AM6ML</t>
  </si>
  <si>
    <t xml:space="preserve">AMPOLA COM 6 mL</t>
  </si>
  <si>
    <t xml:space="preserve">MARCELO SPODE</t>
  </si>
  <si>
    <t xml:space="preserve">AM7ML</t>
  </si>
  <si>
    <t xml:space="preserve">AMPOLA COM 7 mL</t>
  </si>
  <si>
    <t xml:space="preserve">Cargo:</t>
  </si>
  <si>
    <t xml:space="preserve">PREFEITO MUNICIPAL</t>
  </si>
  <si>
    <t xml:space="preserve">ANO</t>
  </si>
  <si>
    <t xml:space="preserve">ANO/ANOS</t>
  </si>
  <si>
    <t xml:space="preserve">ANOS</t>
  </si>
  <si>
    <t xml:space="preserve">Arredondamento das frentes:</t>
  </si>
  <si>
    <t xml:space="preserve">TransfereGOV</t>
  </si>
  <si>
    <t xml:space="preserve">ARR</t>
  </si>
  <si>
    <t xml:space="preserve">ARROBA</t>
  </si>
  <si>
    <t xml:space="preserve">AWG</t>
  </si>
  <si>
    <t xml:space="preserve">AMERICAN WIRE GAUGE</t>
  </si>
  <si>
    <t xml:space="preserve">B. RESULTADO DO PROCESSO LICITATÓRIO</t>
  </si>
  <si>
    <t xml:space="preserve">BAR</t>
  </si>
  <si>
    <t xml:space="preserve">BARRIL</t>
  </si>
  <si>
    <t xml:space="preserve">BAR.</t>
  </si>
  <si>
    <t xml:space="preserve">Licitação</t>
  </si>
  <si>
    <t xml:space="preserve">BD</t>
  </si>
  <si>
    <t xml:space="preserve">BALDE</t>
  </si>
  <si>
    <t xml:space="preserve">Data de emissão dos documentos de licitação:</t>
  </si>
  <si>
    <t xml:space="preserve">BIS</t>
  </si>
  <si>
    <t xml:space="preserve">BISNAGA</t>
  </si>
  <si>
    <t xml:space="preserve">Nº do CTEF (contrato com empresa):</t>
  </si>
  <si>
    <t xml:space="preserve">BIS/GL</t>
  </si>
  <si>
    <t xml:space="preserve">BISNAGA POR GALÃO</t>
  </si>
  <si>
    <t xml:space="preserve">Nome da empresa:</t>
  </si>
  <si>
    <t xml:space="preserve">BIS1/65G</t>
  </si>
  <si>
    <t xml:space="preserve">BISNAGA COM 1,65 g</t>
  </si>
  <si>
    <t xml:space="preserve">CNPJ da empresa:</t>
  </si>
  <si>
    <t xml:space="preserve">BIS1/8G</t>
  </si>
  <si>
    <t xml:space="preserve">BISNAGA COM 1,8 g</t>
  </si>
  <si>
    <t xml:space="preserve">Regime de execução do CTEF:</t>
  </si>
  <si>
    <t xml:space="preserve">EMPREITADA POR PREÇO GLOBAL</t>
  </si>
  <si>
    <t xml:space="preserve">BIS100G</t>
  </si>
  <si>
    <t xml:space="preserve">BISNAGA COM 100 g</t>
  </si>
  <si>
    <t xml:space="preserve">Data base do CTEF:</t>
  </si>
  <si>
    <t xml:space="preserve">BIS10G</t>
  </si>
  <si>
    <t xml:space="preserve">BISNAGA COM 10 g</t>
  </si>
  <si>
    <t xml:space="preserve">BIS135G</t>
  </si>
  <si>
    <t xml:space="preserve">BISNAGA COM 135 g</t>
  </si>
  <si>
    <t xml:space="preserve">BIS13G</t>
  </si>
  <si>
    <t xml:space="preserve">BISNAGA COM 13 g</t>
  </si>
  <si>
    <t xml:space="preserve">C. ACOMPANHAMENTO DO EMPREENDIMENTO</t>
  </si>
  <si>
    <t xml:space="preserve">BIS14G</t>
  </si>
  <si>
    <t xml:space="preserve">BISNAGA COM 14 g</t>
  </si>
  <si>
    <t xml:space="preserve">BIS15G</t>
  </si>
  <si>
    <t xml:space="preserve">BISNAGA COM 15 g</t>
  </si>
  <si>
    <t xml:space="preserve">Dados da obra</t>
  </si>
  <si>
    <t xml:space="preserve">BIS1G</t>
  </si>
  <si>
    <t xml:space="preserve">BISNAGA COM 1 g</t>
  </si>
  <si>
    <t xml:space="preserve">Data do Início da Obra:</t>
  </si>
  <si>
    <t xml:space="preserve">BIS20G</t>
  </si>
  <si>
    <t xml:space="preserve">BISNAGA COM 20 g</t>
  </si>
  <si>
    <t xml:space="preserve">Data de fechamento do RRE:</t>
  </si>
  <si>
    <t xml:space="preserve">BIS25G</t>
  </si>
  <si>
    <t xml:space="preserve">BISNAGA COM 25 g</t>
  </si>
  <si>
    <t xml:space="preserve">BIS28/8G</t>
  </si>
  <si>
    <t xml:space="preserve">BISNAGA COM 28,8 g</t>
  </si>
  <si>
    <t xml:space="preserve">Responsável pela Fiscalização</t>
  </si>
  <si>
    <t xml:space="preserve">BIS28G</t>
  </si>
  <si>
    <t xml:space="preserve">BISNAGA COM 28 g</t>
  </si>
  <si>
    <t xml:space="preserve">BIS2G</t>
  </si>
  <si>
    <t xml:space="preserve">BISNAGA COM 2 g</t>
  </si>
  <si>
    <t xml:space="preserve">Profissão:</t>
  </si>
  <si>
    <t xml:space="preserve">BIS3/5G</t>
  </si>
  <si>
    <t xml:space="preserve">BISNAGA COM 3,5 g</t>
  </si>
  <si>
    <t xml:space="preserve">CREA/CAU (para obras/projetos):</t>
  </si>
  <si>
    <t xml:space="preserve">BIS30G</t>
  </si>
  <si>
    <t xml:space="preserve">BISNAGA COM 30 g</t>
  </si>
  <si>
    <t xml:space="preserve">ART/RRT (para obras/projetos):</t>
  </si>
  <si>
    <t xml:space="preserve">BIS30ML</t>
  </si>
  <si>
    <t xml:space="preserve">BISNAGA COM 30 mL</t>
  </si>
  <si>
    <t xml:space="preserve">BIS40G</t>
  </si>
  <si>
    <t xml:space="preserve">BISNAGA COM 40 g</t>
  </si>
  <si>
    <t xml:space="preserve">BIS43G</t>
  </si>
  <si>
    <t xml:space="preserve">BISNAGA COM 43 g</t>
  </si>
  <si>
    <t xml:space="preserve">D. ACOMPANHAMENTO CAIXA</t>
  </si>
  <si>
    <t xml:space="preserve">BIS45G</t>
  </si>
  <si>
    <t xml:space="preserve">BISNAGA COM 45 g</t>
  </si>
  <si>
    <t xml:space="preserve">BIS47G</t>
  </si>
  <si>
    <t xml:space="preserve">BISNAGA COM 47 g</t>
  </si>
  <si>
    <t xml:space="preserve">Responsável Gerencial</t>
  </si>
  <si>
    <t xml:space="preserve">BIS4G</t>
  </si>
  <si>
    <t xml:space="preserve">BISNAGA COM 4 g</t>
  </si>
  <si>
    <t xml:space="preserve">BIS50G</t>
  </si>
  <si>
    <t xml:space="preserve">BISNAGA COM 50 g</t>
  </si>
  <si>
    <t xml:space="preserve">Função:</t>
  </si>
  <si>
    <t xml:space="preserve">BIS55G</t>
  </si>
  <si>
    <t xml:space="preserve">BISNAGA COM 55 g</t>
  </si>
  <si>
    <t xml:space="preserve">BIS56G</t>
  </si>
  <si>
    <t xml:space="preserve">BISNAGA COM 56 g</t>
  </si>
  <si>
    <t xml:space="preserve">BIS5G</t>
  </si>
  <si>
    <t xml:space="preserve">BISNAGA COM 5 g</t>
  </si>
  <si>
    <t xml:space="preserve">BIS60G</t>
  </si>
  <si>
    <t xml:space="preserve">BISNAGA COM 60 g</t>
  </si>
  <si>
    <t xml:space="preserve">BIS6G</t>
  </si>
  <si>
    <t xml:space="preserve">BISNAGA COM 6 g</t>
  </si>
  <si>
    <t xml:space="preserve">BIS7/5G</t>
  </si>
  <si>
    <t xml:space="preserve">BISNAGA COM 7,5 g</t>
  </si>
  <si>
    <t xml:space="preserve">BIS70G</t>
  </si>
  <si>
    <t xml:space="preserve">BISNAGA COM 70 g</t>
  </si>
  <si>
    <t xml:space="preserve">BIS80G</t>
  </si>
  <si>
    <t xml:space="preserve">BISNAGA COM 80 g</t>
  </si>
  <si>
    <t xml:space="preserve">BIS90G</t>
  </si>
  <si>
    <t xml:space="preserve">BISNAGA COM 90 g</t>
  </si>
  <si>
    <t xml:space="preserve">BIT</t>
  </si>
  <si>
    <t xml:space="preserve">BITS</t>
  </si>
  <si>
    <t xml:space="preserve">BL</t>
  </si>
  <si>
    <t xml:space="preserve">BLOCO</t>
  </si>
  <si>
    <t xml:space="preserve">BLIS</t>
  </si>
  <si>
    <t xml:space="preserve">BLISTER</t>
  </si>
  <si>
    <t xml:space="preserve">BLIS21CP</t>
  </si>
  <si>
    <t xml:space="preserve">BLISTER COM 21 COMPRIMIDOS</t>
  </si>
  <si>
    <t xml:space="preserve">BLIS35CP</t>
  </si>
  <si>
    <t xml:space="preserve">BLISTER COM 35 COMPRIMIDOS</t>
  </si>
  <si>
    <t xml:space="preserve">BOB</t>
  </si>
  <si>
    <t xml:space="preserve">BOBINA</t>
  </si>
  <si>
    <t xml:space="preserve">BOL</t>
  </si>
  <si>
    <t xml:space="preserve">BOLSA</t>
  </si>
  <si>
    <t xml:space="preserve">BOM</t>
  </si>
  <si>
    <t xml:space="preserve">BOMBONA</t>
  </si>
  <si>
    <t xml:space="preserve">BPM</t>
  </si>
  <si>
    <t xml:space="preserve">BATIDA POR MINUTO</t>
  </si>
  <si>
    <t xml:space="preserve">BPS</t>
  </si>
  <si>
    <t xml:space="preserve">BYTE POR SEGUNDO</t>
  </si>
  <si>
    <t xml:space="preserve">BR</t>
  </si>
  <si>
    <t xml:space="preserve">BARRA</t>
  </si>
  <si>
    <t xml:space="preserve">BRI</t>
  </si>
  <si>
    <t xml:space="preserve">BARRICA</t>
  </si>
  <si>
    <t xml:space="preserve">BTJ</t>
  </si>
  <si>
    <t xml:space="preserve">BOTIJÃO</t>
  </si>
  <si>
    <t xml:space="preserve">BTU</t>
  </si>
  <si>
    <t xml:space="preserve">BRITISH THERMAL UNIT</t>
  </si>
  <si>
    <t xml:space="preserve">BTU/H</t>
  </si>
  <si>
    <t xml:space="preserve">BTU POR HORA</t>
  </si>
  <si>
    <t xml:space="preserve">BWG</t>
  </si>
  <si>
    <t xml:space="preserve">FIEIRA DE BIRMINGHAN</t>
  </si>
  <si>
    <t xml:space="preserve">C</t>
  </si>
  <si>
    <t xml:space="preserve">CENTENA</t>
  </si>
  <si>
    <t xml:space="preserve">CA</t>
  </si>
  <si>
    <t xml:space="preserve">CARTUCHO</t>
  </si>
  <si>
    <t xml:space="preserve">CAD</t>
  </si>
  <si>
    <t xml:space="preserve">CADERNO</t>
  </si>
  <si>
    <t xml:space="preserve">CAL/G</t>
  </si>
  <si>
    <t xml:space="preserve">CALORIA/GRAMA</t>
  </si>
  <si>
    <t xml:space="preserve">CAPS</t>
  </si>
  <si>
    <t xml:space="preserve">CÁPSULA</t>
  </si>
  <si>
    <t xml:space="preserve">CAR</t>
  </si>
  <si>
    <t xml:space="preserve">CARACTER</t>
  </si>
  <si>
    <t xml:space="preserve">CC</t>
  </si>
  <si>
    <t xml:space="preserve">CILINDRADA</t>
  </si>
  <si>
    <t xml:space="preserve">CD</t>
  </si>
  <si>
    <t xml:space="preserve">CANDELA</t>
  </si>
  <si>
    <t xml:space="preserve">CD/M2</t>
  </si>
  <si>
    <t xml:space="preserve">CANDELA/METRO 2</t>
  </si>
  <si>
    <t xml:space="preserve">CENTO</t>
  </si>
  <si>
    <t xml:space="preserve">CG</t>
  </si>
  <si>
    <t xml:space="preserve">CENTIGRAMA</t>
  </si>
  <si>
    <t xml:space="preserve">CH</t>
  </si>
  <si>
    <t xml:space="preserve">CHAPA</t>
  </si>
  <si>
    <t xml:space="preserve">CHI</t>
  </si>
  <si>
    <t xml:space="preserve">CHP</t>
  </si>
  <si>
    <t xml:space="preserve">CI</t>
  </si>
  <si>
    <t xml:space="preserve">CURIE</t>
  </si>
  <si>
    <t xml:space="preserve">CIL</t>
  </si>
  <si>
    <t xml:space="preserve">CILINDRO</t>
  </si>
  <si>
    <t xml:space="preserve">CIN</t>
  </si>
  <si>
    <t xml:space="preserve">CINQUENTA</t>
  </si>
  <si>
    <t xml:space="preserve">CJ</t>
  </si>
  <si>
    <t xml:space="preserve">CONJUNTO</t>
  </si>
  <si>
    <t xml:space="preserve">CL</t>
  </si>
  <si>
    <t xml:space="preserve">CENTILITRO</t>
  </si>
  <si>
    <t xml:space="preserve">CM</t>
  </si>
  <si>
    <t xml:space="preserve">CENTÍMETRO</t>
  </si>
  <si>
    <t xml:space="preserve">CM/POL</t>
  </si>
  <si>
    <t xml:space="preserve">CENTÍMETRO/POLEGADA</t>
  </si>
  <si>
    <t xml:space="preserve">CM2</t>
  </si>
  <si>
    <t xml:space="preserve">CENTIMETRO QUADRADO</t>
  </si>
  <si>
    <t xml:space="preserve">CM2/H</t>
  </si>
  <si>
    <t xml:space="preserve">CENT.QUAD/HORA</t>
  </si>
  <si>
    <t xml:space="preserve">CM2/M</t>
  </si>
  <si>
    <t xml:space="preserve">CENT.QUADRADO/METRO</t>
  </si>
  <si>
    <t xml:space="preserve">CM3</t>
  </si>
  <si>
    <t xml:space="preserve">CENTÍMETRO CÚBICO</t>
  </si>
  <si>
    <t xml:space="preserve">CM³/H</t>
  </si>
  <si>
    <t xml:space="preserve">CENT.CÚBICO POR HORA</t>
  </si>
  <si>
    <t xml:space="preserve">CM³/MIN</t>
  </si>
  <si>
    <t xml:space="preserve">CM³/MINUTO</t>
  </si>
  <si>
    <t xml:space="preserve">CNT</t>
  </si>
  <si>
    <t xml:space="preserve">RECIPIENTE</t>
  </si>
  <si>
    <t xml:space="preserve">CO</t>
  </si>
  <si>
    <t xml:space="preserve">CONTEINER</t>
  </si>
  <si>
    <t xml:space="preserve">COL</t>
  </si>
  <si>
    <t xml:space="preserve">COLEÇÃO</t>
  </si>
  <si>
    <t xml:space="preserve">COMP</t>
  </si>
  <si>
    <t xml:space="preserve">COMPRIMENTO</t>
  </si>
  <si>
    <t xml:space="preserve">COMPR</t>
  </si>
  <si>
    <t xml:space="preserve">COMPRIMIDO</t>
  </si>
  <si>
    <t xml:space="preserve">CÓPIA</t>
  </si>
  <si>
    <t xml:space="preserve">COPO</t>
  </si>
  <si>
    <t xml:space="preserve">CP</t>
  </si>
  <si>
    <t xml:space="preserve">CENTIPOISE</t>
  </si>
  <si>
    <t xml:space="preserve">CPL</t>
  </si>
  <si>
    <t xml:space="preserve">CARACTERES POR LINHA</t>
  </si>
  <si>
    <t xml:space="preserve">CPM</t>
  </si>
  <si>
    <t xml:space="preserve">CÓPIA POR MINUTO</t>
  </si>
  <si>
    <t xml:space="preserve">CPS</t>
  </si>
  <si>
    <t xml:space="preserve">CARACTER POR SEGUNDO</t>
  </si>
  <si>
    <t xml:space="preserve">CRT</t>
  </si>
  <si>
    <t xml:space="preserve">CARRETEL</t>
  </si>
  <si>
    <t xml:space="preserve">CS</t>
  </si>
  <si>
    <t xml:space="preserve">GRADEADO DE JAULA</t>
  </si>
  <si>
    <t xml:space="preserve">CST</t>
  </si>
  <si>
    <t xml:space="preserve">CENTISTOCKS</t>
  </si>
  <si>
    <t xml:space="preserve">CT</t>
  </si>
  <si>
    <t xml:space="preserve">CARTAO</t>
  </si>
  <si>
    <t xml:space="preserve">CTE</t>
  </si>
  <si>
    <t xml:space="preserve">CARTELA</t>
  </si>
  <si>
    <t xml:space="preserve">CV</t>
  </si>
  <si>
    <t xml:space="preserve">CAVALO VAPOR</t>
  </si>
  <si>
    <t xml:space="preserve">CX</t>
  </si>
  <si>
    <t xml:space="preserve">CAIXA</t>
  </si>
  <si>
    <t xml:space="preserve">CX100UN</t>
  </si>
  <si>
    <t xml:space="preserve">CAIXA COM 100 UNIDADES</t>
  </si>
  <si>
    <t xml:space="preserve">CX40UN</t>
  </si>
  <si>
    <t xml:space="preserve">CAIXA COM 40 UNIDADES</t>
  </si>
  <si>
    <t xml:space="preserve">D</t>
  </si>
  <si>
    <t xml:space="preserve">DIA</t>
  </si>
  <si>
    <t xml:space="preserve">DAG</t>
  </si>
  <si>
    <t xml:space="preserve">DECAGRAMA</t>
  </si>
  <si>
    <t xml:space="preserve">DAL</t>
  </si>
  <si>
    <t xml:space="preserve">DECALITRO</t>
  </si>
  <si>
    <t xml:space="preserve">DAM</t>
  </si>
  <si>
    <t xml:space="preserve">DECAMETRO</t>
  </si>
  <si>
    <t xml:space="preserve">DAN</t>
  </si>
  <si>
    <t xml:space="preserve">DECANEWTON</t>
  </si>
  <si>
    <t xml:space="preserve">DB</t>
  </si>
  <si>
    <t xml:space="preserve">DECIBEL</t>
  </si>
  <si>
    <t xml:space="preserve">DBM</t>
  </si>
  <si>
    <t xml:space="preserve">DECIBEL MILIWATT</t>
  </si>
  <si>
    <t xml:space="preserve">DG</t>
  </si>
  <si>
    <t xml:space="preserve">DECIGRAMA</t>
  </si>
  <si>
    <t xml:space="preserve">DGT</t>
  </si>
  <si>
    <t xml:space="preserve">DÍGITO</t>
  </si>
  <si>
    <t xml:space="preserve">DIAS</t>
  </si>
  <si>
    <t xml:space="preserve">DISCO</t>
  </si>
  <si>
    <t xml:space="preserve">DL</t>
  </si>
  <si>
    <t xml:space="preserve">DM</t>
  </si>
  <si>
    <t xml:space="preserve">DECIMETRO</t>
  </si>
  <si>
    <t xml:space="preserve">DM2</t>
  </si>
  <si>
    <t xml:space="preserve">DECIMETRO QUADRADO</t>
  </si>
  <si>
    <t xml:space="preserve">DM3</t>
  </si>
  <si>
    <t xml:space="preserve">DECIMETRO CUBICO</t>
  </si>
  <si>
    <t xml:space="preserve">DOSES</t>
  </si>
  <si>
    <t xml:space="preserve">DPI</t>
  </si>
  <si>
    <t xml:space="preserve">PONTOS DE DEFINIÇÃO</t>
  </si>
  <si>
    <t xml:space="preserve">DPT</t>
  </si>
  <si>
    <t xml:space="preserve">DIOPTRIA</t>
  </si>
  <si>
    <t xml:space="preserve">DRAG</t>
  </si>
  <si>
    <t xml:space="preserve">DRÁGEA</t>
  </si>
  <si>
    <t xml:space="preserve">DZ</t>
  </si>
  <si>
    <t xml:space="preserve">DUZIA</t>
  </si>
  <si>
    <t xml:space="preserve">EMB</t>
  </si>
  <si>
    <t xml:space="preserve">EMBALAGEM</t>
  </si>
  <si>
    <t xml:space="preserve">EMB/H</t>
  </si>
  <si>
    <t xml:space="preserve">EMBALAGEM POR HORA</t>
  </si>
  <si>
    <t xml:space="preserve">EMP</t>
  </si>
  <si>
    <t xml:space="preserve">EMPLASTRO</t>
  </si>
  <si>
    <t xml:space="preserve">ENV</t>
  </si>
  <si>
    <t xml:space="preserve">ENVELOPE</t>
  </si>
  <si>
    <t xml:space="preserve">ENV27/9G</t>
  </si>
  <si>
    <t xml:space="preserve">ENVELOPE COM 27,9 g</t>
  </si>
  <si>
    <t xml:space="preserve">ENV30G</t>
  </si>
  <si>
    <t xml:space="preserve">ENVELOPE COM 30 g</t>
  </si>
  <si>
    <t xml:space="preserve">EQP</t>
  </si>
  <si>
    <t xml:space="preserve">EQUIPAMENTO</t>
  </si>
  <si>
    <t xml:space="preserve">EST</t>
  </si>
  <si>
    <t xml:space="preserve">ESTUDANTE</t>
  </si>
  <si>
    <t xml:space="preserve">EV</t>
  </si>
  <si>
    <t xml:space="preserve">ELÉTRON-VOLT</t>
  </si>
  <si>
    <t xml:space="preserve">F</t>
  </si>
  <si>
    <t xml:space="preserve">FARAD</t>
  </si>
  <si>
    <t xml:space="preserve">FCK</t>
  </si>
  <si>
    <t xml:space="preserve">FD</t>
  </si>
  <si>
    <t xml:space="preserve">FARDO</t>
  </si>
  <si>
    <t xml:space="preserve">FL</t>
  </si>
  <si>
    <t xml:space="preserve">FOLHA</t>
  </si>
  <si>
    <t xml:space="preserve">FLAC</t>
  </si>
  <si>
    <t xml:space="preserve">FLACONETE</t>
  </si>
  <si>
    <t xml:space="preserve">FLS/H</t>
  </si>
  <si>
    <t xml:space="preserve">FOLHAS POR HORA</t>
  </si>
  <si>
    <t xml:space="preserve">FPM</t>
  </si>
  <si>
    <t xml:space="preserve">FLASH POR MINUTO</t>
  </si>
  <si>
    <t xml:space="preserve">FPS</t>
  </si>
  <si>
    <t xml:space="preserve">FOTOS P/SEGUNDO</t>
  </si>
  <si>
    <t xml:space="preserve">FR</t>
  </si>
  <si>
    <t xml:space="preserve">FRASCO</t>
  </si>
  <si>
    <t xml:space="preserve">FR1000ML</t>
  </si>
  <si>
    <t xml:space="preserve">FRASCO COM 1000 mL</t>
  </si>
  <si>
    <t xml:space="preserve">FR100DS</t>
  </si>
  <si>
    <t xml:space="preserve">FRASCO COM 100 DOSES</t>
  </si>
  <si>
    <t xml:space="preserve">FR100ML</t>
  </si>
  <si>
    <t xml:space="preserve">FRASCO COM 100 mL</t>
  </si>
  <si>
    <t xml:space="preserve">FR105ML</t>
  </si>
  <si>
    <t xml:space="preserve">FRASCO COM 105 mL</t>
  </si>
  <si>
    <t xml:space="preserve">FR10ML</t>
  </si>
  <si>
    <t xml:space="preserve">FRASCO COM 10 mL</t>
  </si>
  <si>
    <t xml:space="preserve">FR110ML</t>
  </si>
  <si>
    <t xml:space="preserve">FRASCO COM 110 mL</t>
  </si>
  <si>
    <t xml:space="preserve">FR1200MG</t>
  </si>
  <si>
    <t xml:space="preserve">FRASCO COM 1200 MG</t>
  </si>
  <si>
    <t xml:space="preserve">FR120DS</t>
  </si>
  <si>
    <t xml:space="preserve">FRASCO COM 120 DOSES</t>
  </si>
  <si>
    <t xml:space="preserve">FR120ML</t>
  </si>
  <si>
    <t xml:space="preserve">FRASCO COM 120 mL</t>
  </si>
  <si>
    <t xml:space="preserve">FR125ML</t>
  </si>
  <si>
    <t xml:space="preserve">FRASCO COM 125 mL</t>
  </si>
  <si>
    <t xml:space="preserve">FR130DS</t>
  </si>
  <si>
    <t xml:space="preserve">FRASCO COM 130 DOSES</t>
  </si>
  <si>
    <t xml:space="preserve">FR1500MG</t>
  </si>
  <si>
    <t xml:space="preserve">FRASCO COM 1500 MG</t>
  </si>
  <si>
    <t xml:space="preserve">FR150DS</t>
  </si>
  <si>
    <t xml:space="preserve">FRASCO COM 150 DOSES</t>
  </si>
  <si>
    <t xml:space="preserve">FR150ML</t>
  </si>
  <si>
    <t xml:space="preserve">FRASCO COM 150 mL</t>
  </si>
  <si>
    <t xml:space="preserve">FR15ML</t>
  </si>
  <si>
    <t xml:space="preserve">FRASCO COM 15 mL</t>
  </si>
  <si>
    <t xml:space="preserve">FR160ML</t>
  </si>
  <si>
    <t xml:space="preserve">FRASCO COM 160 mL</t>
  </si>
  <si>
    <t xml:space="preserve">FR200DS</t>
  </si>
  <si>
    <t xml:space="preserve">FRASCO COM 200 DOSES</t>
  </si>
  <si>
    <t xml:space="preserve">FR200ML</t>
  </si>
  <si>
    <t xml:space="preserve">FRASCO COM 200 mL</t>
  </si>
  <si>
    <t xml:space="preserve">FR20ML</t>
  </si>
  <si>
    <t xml:space="preserve">FRASCO COM 20 mL</t>
  </si>
  <si>
    <t xml:space="preserve">FR240ML</t>
  </si>
  <si>
    <t xml:space="preserve">FRASCO COM 240 mL</t>
  </si>
  <si>
    <t xml:space="preserve">FR250ML</t>
  </si>
  <si>
    <t xml:space="preserve">FRASCO COM 250 mL</t>
  </si>
  <si>
    <t xml:space="preserve">FR300DS</t>
  </si>
  <si>
    <t xml:space="preserve">FRASCO COM 300 DOSES</t>
  </si>
  <si>
    <t xml:space="preserve">FR300ML</t>
  </si>
  <si>
    <t xml:space="preserve">FRASCO COM 300 mL</t>
  </si>
  <si>
    <t xml:space="preserve">FR30DS</t>
  </si>
  <si>
    <t xml:space="preserve">FRASCO COM 30 DOSES</t>
  </si>
  <si>
    <t xml:space="preserve">FR30G</t>
  </si>
  <si>
    <t xml:space="preserve">FRASCO COM 30 g</t>
  </si>
  <si>
    <t xml:space="preserve">FR30ML</t>
  </si>
  <si>
    <t xml:space="preserve">FRASCO COM 30 mL</t>
  </si>
  <si>
    <t xml:space="preserve">FR340ML</t>
  </si>
  <si>
    <t xml:space="preserve">FRASCO COM 340 mL</t>
  </si>
  <si>
    <t xml:space="preserve">FR350ML</t>
  </si>
  <si>
    <t xml:space="preserve">FRASCO COM 350 mL</t>
  </si>
  <si>
    <t xml:space="preserve">FR40ML</t>
  </si>
  <si>
    <t xml:space="preserve">FRASCO COM 40 mL</t>
  </si>
  <si>
    <t xml:space="preserve">FR45ML</t>
  </si>
  <si>
    <t xml:space="preserve">FRASCO COM 45 mL</t>
  </si>
  <si>
    <t xml:space="preserve">FR500ML</t>
  </si>
  <si>
    <t xml:space="preserve">FRASCO COM 500 mL</t>
  </si>
  <si>
    <t xml:space="preserve">H</t>
  </si>
  <si>
    <t xml:space="preserve">HORA</t>
  </si>
  <si>
    <t xml:space="preserve">KG</t>
  </si>
  <si>
    <t xml:space="preserve">QUILOGRAMA</t>
  </si>
  <si>
    <t xml:space="preserve">KM</t>
  </si>
  <si>
    <t xml:space="preserve">QUILOMETRO</t>
  </si>
  <si>
    <t xml:space="preserve">M</t>
  </si>
  <si>
    <t xml:space="preserve">METRO</t>
  </si>
  <si>
    <t xml:space="preserve">M2</t>
  </si>
  <si>
    <t xml:space="preserve">METRO QUADRADO</t>
  </si>
  <si>
    <t xml:space="preserve">M3</t>
  </si>
  <si>
    <t xml:space="preserve">METRO CÚBICO</t>
  </si>
  <si>
    <t xml:space="preserve">M3XKM</t>
  </si>
  <si>
    <t xml:space="preserve">MES</t>
  </si>
  <si>
    <t xml:space="preserve">MÊS</t>
  </si>
  <si>
    <t xml:space="preserve">MÊS/MESES</t>
  </si>
  <si>
    <t xml:space="preserve">MESES</t>
  </si>
  <si>
    <t xml:space="preserve">OUTRAS</t>
  </si>
  <si>
    <t xml:space="preserve">PAR</t>
  </si>
  <si>
    <t xml:space="preserve">PC</t>
  </si>
  <si>
    <t xml:space="preserve">PEÇA</t>
  </si>
  <si>
    <t xml:space="preserve">T</t>
  </si>
  <si>
    <t xml:space="preserve">TONELADA</t>
  </si>
  <si>
    <t xml:space="preserve">TXKM</t>
  </si>
  <si>
    <t xml:space="preserve">UN</t>
  </si>
  <si>
    <t xml:space="preserve">UNIDADE</t>
  </si>
  <si>
    <t xml:space="preserve">MIN</t>
  </si>
  <si>
    <t xml:space="preserve">MED</t>
  </si>
  <si>
    <t xml:space="preserve">MAX</t>
  </si>
  <si>
    <t xml:space="preserve">Grau de Sigilo</t>
  </si>
  <si>
    <t xml:space="preserve">Construção e Reforma de Edifícios</t>
  </si>
  <si>
    <t xml:space="preserve">AC</t>
  </si>
  <si>
    <t xml:space="preserve">#PUBLICO</t>
  </si>
  <si>
    <t xml:space="preserve">SG</t>
  </si>
  <si>
    <t xml:space="preserve">R</t>
  </si>
  <si>
    <t xml:space="preserve">Nº OPERAÇÃO</t>
  </si>
  <si>
    <t xml:space="preserve">Nº TRANSFEREGOV</t>
  </si>
  <si>
    <t xml:space="preserve">PROPONENTE / TOMADOR</t>
  </si>
  <si>
    <t xml:space="preserve">DF</t>
  </si>
  <si>
    <t xml:space="preserve">L</t>
  </si>
  <si>
    <t xml:space="preserve">FILTRO</t>
  </si>
  <si>
    <t xml:space="preserve">BDI PAD</t>
  </si>
  <si>
    <t xml:space="preserve">APELIDO DO EMPREENDIMENTO / DESCRIÇÃO DO LOTE</t>
  </si>
  <si>
    <t xml:space="preserve">Construção de Praças Urbanas, Rodovias, Ferrovias e recapeamento e pavimentação de vias urbanas</t>
  </si>
  <si>
    <t xml:space="preserve">Conforme legislação tributária municipal, definir estimativa de percentual da base de cálculo para o ISS:</t>
  </si>
  <si>
    <t xml:space="preserve">↓</t>
  </si>
  <si>
    <t xml:space="preserve">Sobre a base de cálculo, definir a respectiva alíquota do ISS (entre 2% e 5%):</t>
  </si>
  <si>
    <t xml:space="preserve">Construção de Redes de Abastecimento de Água, Coleta de Esgoto</t>
  </si>
  <si>
    <t xml:space="preserve">BDI 1</t>
  </si>
  <si>
    <t xml:space="preserve">TIPO DE OBRA</t>
  </si>
  <si>
    <t xml:space="preserve">Itens</t>
  </si>
  <si>
    <t xml:space="preserve">Siglas</t>
  </si>
  <si>
    <t xml:space="preserve">% Adotado</t>
  </si>
  <si>
    <t xml:space="preserve">Situação</t>
  </si>
  <si>
    <t xml:space="preserve">1º Quartil</t>
  </si>
  <si>
    <t xml:space="preserve">Médio</t>
  </si>
  <si>
    <t xml:space="preserve">3º Quartil</t>
  </si>
  <si>
    <t xml:space="preserve">Construção e Manutenção de Estações e Redes de Distribuição de Energia Elétrica</t>
  </si>
  <si>
    <t xml:space="preserve">Obras Portuárias, Marítimas e Fluviais</t>
  </si>
  <si>
    <t xml:space="preserve">Tributos (impostos COFINS 3%, e  PIS 0,65%)</t>
  </si>
  <si>
    <t xml:space="preserve">Tributos (ISS, variável de acordo com o município)</t>
  </si>
  <si>
    <t xml:space="preserve">ISS</t>
  </si>
  <si>
    <t xml:space="preserve">Tributos (Contribuição Previdenciária sobre a Receita Bruta - Lei 12.546 de 14/12/2011 - Desoneração)</t>
  </si>
  <si>
    <t xml:space="preserve">CPRB</t>
  </si>
  <si>
    <t xml:space="preserve">OK</t>
  </si>
  <si>
    <t xml:space="preserve">BDI SEM desoneração (Fórmula Acórdão TCU)</t>
  </si>
  <si>
    <t xml:space="preserve">BDI COM desoneração</t>
  </si>
  <si>
    <t xml:space="preserve">BDI DES</t>
  </si>
  <si>
    <t xml:space="preserve">Fornecimento de Materiais e Equipamentos (aquisição indireta - em conjunto com licitação de obras)</t>
  </si>
  <si>
    <t xml:space="preserve">Os valores de BDI foram calculados com o emprego da fórmula:</t>
  </si>
  <si>
    <t xml:space="preserve">BDI =</t>
  </si>
  <si>
    <t xml:space="preserve"> - 1</t>
  </si>
  <si>
    <t xml:space="preserve">(1-CP-ISS-CRPB)</t>
  </si>
  <si>
    <t xml:space="preserve">Fornecimento de Materiais e Equipamentos (aquisição direta)</t>
  </si>
  <si>
    <t xml:space="preserve">Observações:</t>
  </si>
  <si>
    <t xml:space="preserve">ENCARGOS SOCIAIS
DESONERADOS: 90,22%(HORA)   51,86%(MÊS)</t>
  </si>
  <si>
    <t xml:space="preserve">Estudos e Projetos, Planos e Gerenciamento e outros correlatos</t>
  </si>
  <si>
    <t xml:space="preserve">K1</t>
  </si>
  <si>
    <t xml:space="preserve">K2</t>
  </si>
  <si>
    <t xml:space="preserve">Local</t>
  </si>
  <si>
    <t xml:space="preserve">Data</t>
  </si>
  <si>
    <t xml:space="preserve">K3</t>
  </si>
  <si>
    <t xml:space="preserve">Responsável Técnico</t>
  </si>
  <si>
    <t xml:space="preserve">BDI 2</t>
  </si>
  <si>
    <t xml:space="preserve">BDI 3</t>
  </si>
  <si>
    <t xml:space="preserve">(SELECIONAR)</t>
  </si>
  <si>
    <t xml:space="preserve">PO - PLANILHA ORÇAMENTÁRIA</t>
  </si>
  <si>
    <t xml:space="preserve">LOTE</t>
  </si>
  <si>
    <t xml:space="preserve">Meta</t>
  </si>
  <si>
    <t xml:space="preserve">Nível 2</t>
  </si>
  <si>
    <t xml:space="preserve">Nível 3</t>
  </si>
  <si>
    <t xml:space="preserve">Nível 4</t>
  </si>
  <si>
    <t xml:space="preserve">Serviço</t>
  </si>
  <si>
    <t xml:space="preserve">Nmax</t>
  </si>
  <si>
    <t xml:space="preserve">Nº TransfereGOV</t>
  </si>
  <si>
    <t xml:space="preserve">APELIDO DO EMPREENDIMENTO</t>
  </si>
  <si>
    <t xml:space="preserve">Arredondamento</t>
  </si>
  <si>
    <t xml:space="preserve">LOCALIDADE SINAPI</t>
  </si>
  <si>
    <t xml:space="preserve">DATA BASE</t>
  </si>
  <si>
    <t xml:space="preserve">Quantidade</t>
  </si>
  <si>
    <t xml:space="preserve">QUANTIDADES: ACOMP. POR BM</t>
  </si>
  <si>
    <t xml:space="preserve">PREÇO UNITÁRIO LICITADO</t>
  </si>
  <si>
    <t xml:space="preserve">RECURSO</t>
  </si>
  <si>
    <t xml:space="preserve">SGL RECURSO</t>
  </si>
  <si>
    <t xml:space="preserve">Custo Unitáro</t>
  </si>
  <si>
    <t xml:space="preserve">ERRO GERAL</t>
  </si>
  <si>
    <t xml:space="preserve">Preço Unitário</t>
  </si>
  <si>
    <t xml:space="preserve">Preço Total</t>
  </si>
  <si>
    <t xml:space="preserve">Valores não Arredondados</t>
  </si>
  <si>
    <t xml:space="preserve">Nível E</t>
  </si>
  <si>
    <t xml:space="preserve">Save Nivel</t>
  </si>
  <si>
    <t xml:space="preserve">Nível C</t>
  </si>
  <si>
    <t xml:space="preserve">Altura</t>
  </si>
  <si>
    <t xml:space="preserve">n1</t>
  </si>
  <si>
    <t xml:space="preserve">n2</t>
  </si>
  <si>
    <t xml:space="preserve">n3</t>
  </si>
  <si>
    <t xml:space="preserve">n4</t>
  </si>
  <si>
    <t xml:space="preserve">n5</t>
  </si>
  <si>
    <t xml:space="preserve">Czero</t>
  </si>
  <si>
    <t xml:space="preserve">Cnível</t>
  </si>
  <si>
    <t xml:space="preserve">Nível</t>
  </si>
  <si>
    <t xml:space="preserve">Nível Corrigido</t>
  </si>
  <si>
    <t xml:space="preserve">Item</t>
  </si>
  <si>
    <t xml:space="preserve">Fonte</t>
  </si>
  <si>
    <t xml:space="preserve">Código</t>
  </si>
  <si>
    <t xml:space="preserve">Unidade</t>
  </si>
  <si>
    <t xml:space="preserve">Preço Unitário (com BDI) (R$)</t>
  </si>
  <si>
    <t xml:space="preserve">Preço Total
(R$)</t>
  </si>
  <si>
    <t xml:space="preserve">Contrapartida (R$)</t>
  </si>
  <si>
    <t xml:space="preserve">Outros (R$)</t>
  </si>
  <si>
    <t xml:space="preserve">Erro de Dados</t>
  </si>
  <si>
    <t xml:space="preserve">Lista Crono</t>
  </si>
  <si>
    <t xml:space="preserve">Concatenação Fonte-Código</t>
  </si>
  <si>
    <t xml:space="preserve">BancoDesloc</t>
  </si>
  <si>
    <t xml:space="preserve">Custo Unitário Referência (R$)</t>
  </si>
  <si>
    <t xml:space="preserve">Preço Total
Licit. (R$)</t>
  </si>
  <si>
    <t xml:space="preserve">Preço Unitário Edital (R$)</t>
  </si>
  <si>
    <t xml:space="preserve">SINAPI</t>
  </si>
  <si>
    <t xml:space="preserve">RA</t>
  </si>
  <si>
    <t xml:space="preserve"> </t>
  </si>
  <si>
    <t xml:space="preserve">ADMINISTRAÇÃO LOCAL</t>
  </si>
  <si>
    <t xml:space="preserve">Administração local</t>
  </si>
  <si>
    <t xml:space="preserve">Composição</t>
  </si>
  <si>
    <t xml:space="preserve">002</t>
  </si>
  <si>
    <t xml:space="preserve">SERVIÇOS PRELIMINARES</t>
  </si>
  <si>
    <t xml:space="preserve">Serviços preliminares</t>
  </si>
  <si>
    <t xml:space="preserve">103689</t>
  </si>
  <si>
    <t xml:space="preserve">REFORMA DO TELHADO - PARTE B</t>
  </si>
  <si>
    <t xml:space="preserve">Demolições e remoções</t>
  </si>
  <si>
    <t xml:space="preserve">97647</t>
  </si>
  <si>
    <t xml:space="preserve">104803</t>
  </si>
  <si>
    <t xml:space="preserve">100391</t>
  </si>
  <si>
    <t xml:space="preserve">Telhamento</t>
  </si>
  <si>
    <t xml:space="preserve">92543</t>
  </si>
  <si>
    <t xml:space="preserve">94213</t>
  </si>
  <si>
    <t xml:space="preserve">100326</t>
  </si>
  <si>
    <t xml:space="preserve">Sistema de águas pluviais</t>
  </si>
  <si>
    <t xml:space="preserve">94228</t>
  </si>
  <si>
    <t xml:space="preserve">98546</t>
  </si>
  <si>
    <t xml:space="preserve">90470</t>
  </si>
  <si>
    <t xml:space="preserve">89578</t>
  </si>
  <si>
    <t xml:space="preserve">Forro Parte B</t>
  </si>
  <si>
    <t xml:space="preserve">SINAPI-I</t>
  </si>
  <si>
    <t xml:space="preserve">36246</t>
  </si>
  <si>
    <t xml:space="preserve">96486</t>
  </si>
  <si>
    <t xml:space="preserve">Encargos sociais:</t>
  </si>
  <si>
    <t xml:space="preserve">Para elaboração deste orçamento, foram utilizados os encargos sociais do SINAPI para a Unidade da Federação indicada.</t>
  </si>
  <si>
    <t xml:space="preserve">Siglas da Composição do Investimento: RA - Rateio proporcional entre Repasse e Contrapartida; RP - 100% Repasse; CP - 100% Contrapartida; OU - 100% Outros.</t>
  </si>
  <si>
    <t xml:space="preserve">AGRUPADORES DE EVENTOS</t>
  </si>
  <si>
    <r>
      <rPr>
        <sz val="10"/>
        <rFont val="Arial"/>
        <family val="2"/>
        <charset val="1"/>
      </rPr>
      <t xml:space="preserve">Grau de Sigilo
</t>
    </r>
    <r>
      <rPr>
        <b val="true"/>
        <sz val="10"/>
        <rFont val="Arial"/>
        <family val="2"/>
        <charset val="1"/>
      </rPr>
      <t xml:space="preserve">#PUBLICO</t>
    </r>
  </si>
  <si>
    <t xml:space="preserve">APELIDO EMPREENDIMENTO</t>
  </si>
  <si>
    <t xml:space="preserve">1. Selecione abaixo a forma de definição dos agrupadores de eventos:</t>
  </si>
  <si>
    <t xml:space="preserve">Automática, conforme os agrupadores Nível 2 do Orçamento</t>
  </si>
  <si>
    <t xml:space="preserve">Nº do Evento</t>
  </si>
  <si>
    <t xml:space="preserve">Título do Evento</t>
  </si>
  <si>
    <t xml:space="preserve">Valor Total dos Eventos (R$)</t>
  </si>
  <si>
    <t xml:space="preserve">Total:</t>
  </si>
  <si>
    <t xml:space="preserve">.</t>
  </si>
  <si>
    <t xml:space="preserve">Preços dos serviços por frente</t>
  </si>
  <si>
    <t xml:space="preserve">Mês do cronograma</t>
  </si>
  <si>
    <t xml:space="preserve">Número da Medição</t>
  </si>
  <si>
    <t xml:space="preserve">AdmLocal</t>
  </si>
  <si>
    <t xml:space="preserve">Empty</t>
  </si>
  <si>
    <t xml:space="preserve">Nº AGRUPADOR DE EVENTOS</t>
  </si>
  <si>
    <t xml:space="preserve">FRENTES DE OBRA:</t>
  </si>
  <si>
    <t xml:space="preserve">AUTOEVENTO</t>
  </si>
  <si>
    <t xml:space="preserve">Memória de Cálculo</t>
  </si>
  <si>
    <t xml:space="preserve">Nº</t>
  </si>
  <si>
    <t xml:space="preserve"># Evento</t>
  </si>
  <si>
    <t xml:space="preserve">Agrupador de Eventos</t>
  </si>
  <si>
    <t xml:space="preserve">TOTAL FINANC. POR FRENTE (R$):</t>
  </si>
  <si>
    <t xml:space="preserve">=2 horas x semana x 4 semanas mês x 3 meses</t>
  </si>
  <si>
    <t xml:space="preserve">CRONOGRAMA PREVISTO PLE</t>
  </si>
  <si>
    <t xml:space="preserve">Título dos Eventos</t>
  </si>
  <si>
    <t xml:space="preserve">Cronograma</t>
  </si>
  <si>
    <t xml:space="preserve">Parcela</t>
  </si>
  <si>
    <t xml:space="preserve">%</t>
  </si>
  <si>
    <t xml:space="preserve">R$</t>
  </si>
  <si>
    <t xml:space="preserve">Acumulado</t>
  </si>
  <si>
    <t xml:space="preserve">Administração Local</t>
  </si>
  <si>
    <t xml:space="preserve">% Período:</t>
  </si>
  <si>
    <t xml:space="preserve">Níveis a Exibir no Cronograma:</t>
  </si>
  <si>
    <t xml:space="preserve">Nº TGOV</t>
  </si>
  <si>
    <t xml:space="preserve">PROPONENTE TOMADOR</t>
  </si>
  <si>
    <t xml:space="preserve">Lista Macrosserviços</t>
  </si>
  <si>
    <t xml:space="preserve">Falta distribuir:</t>
  </si>
  <si>
    <t xml:space="preserve">Valor (R$)</t>
  </si>
  <si>
    <t xml:space="preserve">Parcelas:</t>
  </si>
  <si>
    <t xml:space="preserve">Item CRONO</t>
  </si>
  <si>
    <t xml:space="preserve">OU</t>
  </si>
  <si>
    <t xml:space="preserve">Linha PO
Linha QCI
Total Adm Local</t>
  </si>
  <si>
    <t xml:space="preserve">Linhas a somar</t>
  </si>
  <si>
    <t xml:space="preserve">#</t>
  </si>
  <si>
    <t xml:space="preserve">%:</t>
  </si>
  <si>
    <t xml:space="preserve">Período:</t>
  </si>
  <si>
    <t xml:space="preserve">Contrapartida:</t>
  </si>
  <si>
    <t xml:space="preserve">Outros:</t>
  </si>
  <si>
    <t xml:space="preserve">Investimento:</t>
  </si>
  <si>
    <t xml:space="preserve">Acumulado:</t>
  </si>
  <si>
    <t xml:space="preserve">Administração Local:</t>
  </si>
  <si>
    <t xml:space="preserve">QCI - Quadro de Composição do Investimento</t>
  </si>
  <si>
    <t xml:space="preserve">% Maior:</t>
  </si>
  <si>
    <t xml:space="preserve">% Rateio CP Fin:</t>
  </si>
  <si>
    <t xml:space="preserve">MUNICÍPIO / UF</t>
  </si>
  <si>
    <t xml:space="preserve">VALORES CONTRATADOS (R$):</t>
  </si>
  <si>
    <t xml:space="preserve">CONTRAPARTIDA</t>
  </si>
  <si>
    <t xml:space="preserve">INVESTIMENTO</t>
  </si>
  <si>
    <t xml:space="preserve">% CP Min Prog:</t>
  </si>
  <si>
    <t xml:space="preserve">% CP Absoluta:</t>
  </si>
  <si>
    <t xml:space="preserve">% CP Max Rep:</t>
  </si>
  <si>
    <t xml:space="preserve">Saldo a Reprogramar</t>
  </si>
  <si>
    <t xml:space="preserve">Ordem Meta</t>
  </si>
  <si>
    <t xml:space="preserve">Arred</t>
  </si>
  <si>
    <t xml:space="preserve">Repasse (R$)</t>
  </si>
  <si>
    <t xml:space="preserve">Proporcional</t>
  </si>
  <si>
    <t xml:space="preserve">Busca</t>
  </si>
  <si>
    <t xml:space="preserve">Item de Investimento</t>
  </si>
  <si>
    <t xml:space="preserve">Subitem de Investimento</t>
  </si>
  <si>
    <t xml:space="preserve">Descrição da Meta</t>
  </si>
  <si>
    <t xml:space="preserve">Unid.</t>
  </si>
  <si>
    <t xml:space="preserve">Lote de Licitação / nº do CTEF</t>
  </si>
  <si>
    <t xml:space="preserve">Contrapartida Financeira (R$)</t>
  </si>
  <si>
    <t xml:space="preserve">Investimento (R$)</t>
  </si>
  <si>
    <t xml:space="preserve">Divisão do Investimento</t>
  </si>
  <si>
    <t xml:space="preserve">Em Análise</t>
  </si>
  <si>
    <t xml:space="preserve">TR$</t>
  </si>
  <si>
    <t xml:space="preserve">TOTAL</t>
  </si>
  <si>
    <t xml:space="preserve">T%</t>
  </si>
  <si>
    <t xml:space="preserve">Representante Tomador</t>
  </si>
  <si>
    <t xml:space="preserve">PLE - PLANILHA DE LEVANTAMENTO DE EVENTOS</t>
  </si>
  <si>
    <t xml:space="preserve">Medição:</t>
  </si>
  <si>
    <t xml:space="preserve">% Realizado Período.:</t>
  </si>
  <si>
    <t xml:space="preserve">% Realizado Acum.:</t>
  </si>
  <si>
    <t xml:space="preserve">Filtro</t>
  </si>
  <si>
    <t xml:space="preserve">Informe abaixo o NÚMERO DA MEDIÇÃO em que os eventos foram concluídos</t>
  </si>
  <si>
    <t xml:space="preserve">Data das Medições</t>
  </si>
  <si>
    <t xml:space="preserve">Medições</t>
  </si>
  <si>
    <t xml:space="preserve">Responsável Técnico pela Fiscalização</t>
  </si>
  <si>
    <t xml:space="preserve">Modo CAIXA</t>
  </si>
  <si>
    <t xml:space="preserve">INÍCIO DE OBRA</t>
  </si>
  <si>
    <t xml:space="preserve">Regime </t>
  </si>
  <si>
    <t xml:space="preserve">Fórmula CopMed</t>
  </si>
  <si>
    <t xml:space="preserve">Nº CTEF</t>
  </si>
  <si>
    <t xml:space="preserve">EMPRESA EXECUTORA</t>
  </si>
  <si>
    <t xml:space="preserve">CNPJ</t>
  </si>
  <si>
    <t xml:space="preserve">PERÍODO DA MEDIÇÃO</t>
  </si>
  <si>
    <t xml:space="preserve">Nº MEDIÇÃO</t>
  </si>
  <si>
    <t xml:space="preserve">ARREDMED</t>
  </si>
  <si>
    <t xml:space="preserve">Linha Adm. L.</t>
  </si>
  <si>
    <t xml:space="preserve">Anexo</t>
  </si>
  <si>
    <t xml:space="preserve">Datas das Medições</t>
  </si>
  <si>
    <t xml:space="preserve">Orçamento Contratado</t>
  </si>
  <si>
    <t xml:space="preserve">Evolução Financeira (R$)</t>
  </si>
  <si>
    <t xml:space="preserve">Quadro de Glosas</t>
  </si>
  <si>
    <t xml:space="preserve">Acum. Anterior</t>
  </si>
  <si>
    <t xml:space="preserve">Período</t>
  </si>
  <si>
    <t xml:space="preserve">Acum. Incluindo o Período</t>
  </si>
  <si>
    <t xml:space="preserve">Valor Total Glosado (R$)</t>
  </si>
  <si>
    <t xml:space="preserve">Motivo da Glosa</t>
  </si>
  <si>
    <t xml:space="preserve">Valor Total Medido (R$)</t>
  </si>
  <si>
    <t xml:space="preserve">TOTAL:</t>
  </si>
  <si>
    <t xml:space="preserve">Observações</t>
  </si>
  <si>
    <t xml:space="preserve">Profissional CAIXA:</t>
  </si>
  <si>
    <t xml:space="preserve">Matrícula</t>
  </si>
  <si>
    <r>
      <rPr>
        <sz val="10.5"/>
        <rFont val="Arial Narrow"/>
        <family val="2"/>
        <charset val="1"/>
      </rPr>
      <t xml:space="preserve">Grau de Sigilo
</t>
    </r>
    <r>
      <rPr>
        <b val="true"/>
        <sz val="10"/>
        <rFont val="Arial"/>
        <family val="2"/>
        <charset val="1"/>
      </rPr>
      <t xml:space="preserve">#PUBLICO</t>
    </r>
  </si>
  <si>
    <t xml:space="preserve">Acum. Previsto</t>
  </si>
  <si>
    <t xml:space="preserve">Acum. Chegada</t>
  </si>
  <si>
    <t xml:space="preserve">Outros</t>
  </si>
  <si>
    <t xml:space="preserve">Nº RRE</t>
  </si>
  <si>
    <t xml:space="preserve">Investimento</t>
  </si>
  <si>
    <t xml:space="preserve">Situação do TC/CR:</t>
  </si>
  <si>
    <t xml:space="preserve">Percentual previsto em:</t>
  </si>
  <si>
    <t xml:space="preserve">Lista CTEF</t>
  </si>
  <si>
    <t xml:space="preserve">Lista CTEFs</t>
  </si>
  <si>
    <t xml:space="preserve">Acumulado Período Anterior</t>
  </si>
  <si>
    <t xml:space="preserve">Acumulado incluindo o Período</t>
  </si>
  <si>
    <t xml:space="preserve">Linha
PO</t>
  </si>
  <si>
    <t xml:space="preserve">BM / PLE nº</t>
  </si>
  <si>
    <t xml:space="preserve">Valor Total (R$)</t>
  </si>
  <si>
    <t xml:space="preserve">No Período</t>
  </si>
  <si>
    <t xml:space="preserve">Execução Física Acum.</t>
  </si>
  <si>
    <t xml:space="preserve">Acum. Período Anterior - CP</t>
  </si>
  <si>
    <t xml:space="preserve">Acum. Período Anterior - Outros</t>
  </si>
  <si>
    <t xml:space="preserve">Acum. Incluindo Período - CP</t>
  </si>
  <si>
    <t xml:space="preserve">Acum. Incluindo Período - Outros</t>
  </si>
  <si>
    <t xml:space="preserve">(%)</t>
  </si>
  <si>
    <t xml:space="preserve">Anterior (R$)</t>
  </si>
  <si>
    <t xml:space="preserve">Acumulado (R$)</t>
  </si>
  <si>
    <t xml:space="preserve">Max CP/OU Ant.</t>
  </si>
  <si>
    <t xml:space="preserve">Max CP/OU Acum.</t>
  </si>
  <si>
    <t xml:space="preserve">Contrapartida</t>
  </si>
  <si>
    <t xml:space="preserve"># PÚBLICO</t>
  </si>
  <si>
    <t xml:space="preserve">Ofício n°:</t>
  </si>
  <si>
    <t xml:space="preserve">À</t>
  </si>
  <si>
    <t xml:space="preserve">CAIXA ECONÔMICA FEDERAL</t>
  </si>
  <si>
    <t xml:space="preserve">GIGOV</t>
  </si>
  <si>
    <t xml:space="preserve">Assunto:</t>
  </si>
  <si>
    <t xml:space="preserve">REF:</t>
  </si>
  <si>
    <t xml:space="preserve">Objeto:</t>
  </si>
  <si>
    <t xml:space="preserve">Proponente / Tomador:</t>
  </si>
  <si>
    <t xml:space="preserve">Valores Vigentes do TC/CR</t>
  </si>
  <si>
    <t xml:space="preserve">Valores Medidos Acumulados</t>
  </si>
  <si>
    <t xml:space="preserve">Contrapartida Financeira:</t>
  </si>
  <si>
    <t xml:space="preserve">Execução Física:</t>
  </si>
  <si>
    <t xml:space="preserve">Atenciosamente,</t>
  </si>
  <si>
    <t xml:space="preserve">Nivel</t>
  </si>
  <si>
    <t xml:space="preserve">N° Macrosserviço / Serviço</t>
  </si>
  <si>
    <t xml:space="preserve">Descrição Macrosserviço / Serviço</t>
  </si>
  <si>
    <t xml:space="preserve">Qtd. (valor calculado)</t>
  </si>
  <si>
    <t xml:space="preserve">Und.</t>
  </si>
  <si>
    <t xml:space="preserve">Custo Unitário Referência</t>
  </si>
  <si>
    <t xml:space="preserve">Custo Unitário</t>
  </si>
  <si>
    <t xml:space="preserve">Preço Unitário (valor calculado)</t>
  </si>
  <si>
    <t xml:space="preserve">Preço Total (valor calculado)</t>
  </si>
  <si>
    <t xml:space="preserve">Observação</t>
  </si>
  <si>
    <t xml:space="preserve">N° Evento</t>
  </si>
  <si>
    <t xml:space="preserve">Evento</t>
  </si>
  <si>
    <t xml:space="preserve">N° Frente de Obra</t>
  </si>
  <si>
    <t xml:space="preserve">Frente de Obra</t>
  </si>
  <si>
    <t xml:space="preserve">Qtd.</t>
  </si>
  <si>
    <t xml:space="preserve">Valor</t>
  </si>
  <si>
    <t xml:space="preserve">N° do Evento</t>
  </si>
  <si>
    <t xml:space="preserve">N° da Frente de Obra</t>
  </si>
  <si>
    <t xml:space="preserve">N° do Período de Conclusão do Evento</t>
  </si>
  <si>
    <t xml:space="preserve">Número</t>
  </si>
  <si>
    <t xml:space="preserve">Macrosserviço</t>
  </si>
  <si>
    <t xml:space="preserve">Percentual Parcela</t>
  </si>
</sst>
</file>

<file path=xl/styles.xml><?xml version="1.0" encoding="utf-8"?>
<styleSheet xmlns="http://schemas.openxmlformats.org/spreadsheetml/2006/main">
  <numFmts count="36">
    <numFmt numFmtId="164" formatCode="General"/>
    <numFmt numFmtId="165" formatCode="_(&quot;R$ &quot;* #,##0.00_);_(&quot;R$ &quot;* \(#,##0.00\);_(&quot;R$ &quot;* \-??_);_(@_)"/>
    <numFmt numFmtId="166" formatCode="0%"/>
    <numFmt numFmtId="167" formatCode="_-* #,##0.00_-;\-* #,##0.00_-;_-* \-??_-;_-@_-"/>
    <numFmt numFmtId="168" formatCode="General"/>
    <numFmt numFmtId="169" formatCode="@"/>
    <numFmt numFmtId="170" formatCode="#,##0.00"/>
    <numFmt numFmtId="171" formatCode="0.00%"/>
    <numFmt numFmtId="172" formatCode="mm\-yyyy"/>
    <numFmt numFmtId="173" formatCode="d/m/yyyy"/>
    <numFmt numFmtId="174" formatCode="0"/>
    <numFmt numFmtId="175" formatCode="General;General"/>
    <numFmt numFmtId="176" formatCode="[$-F800]dddd&quot;, &quot;mmmm\ dd&quot;, &quot;yyyy"/>
    <numFmt numFmtId="177" formatCode="dd&quot; de &quot;mmmm&quot; de &quot;yyyy"/>
    <numFmt numFmtId="178" formatCode="mmm\-yy;@"/>
    <numFmt numFmtId="179" formatCode="_(* #,##0.00_);_(* \(#,##0.00\);_(* \-??_);_(@_)"/>
    <numFmt numFmtId="180" formatCode="General;;;"/>
    <numFmt numFmtId="181" formatCode="&quot;Mês &quot;00"/>
    <numFmt numFmtId="182" formatCode="_-#,##0.00_-;\-#,##0.00_-;_-\-??_-;_-@_-"/>
    <numFmt numFmtId="183" formatCode="0\."/>
    <numFmt numFmtId="184" formatCode="_(\ #,##0.00_);_(&quot; (&quot;#,##0.00\);_(&quot; -&quot;??_);_(@_)"/>
    <numFmt numFmtId="185" formatCode="mm/yy"/>
    <numFmt numFmtId="186" formatCode="0.00E+00"/>
    <numFmt numFmtId="187" formatCode="_-#,##0.00_-;\-#,##0.00_-;_-&quot; -&quot;??_-;_-@_-"/>
    <numFmt numFmtId="188" formatCode="##\."/>
    <numFmt numFmtId="189" formatCode="#,##0.00_ ;\-#,##0.00\ "/>
    <numFmt numFmtId="190" formatCode="_-&quot;R$ &quot;* #,##0.00_-;&quot;-R$ &quot;* #,##0.00_-;_-&quot;R$ &quot;* \-??_-;_-@_-"/>
    <numFmt numFmtId="191" formatCode="&quot;( &quot;0.00%&quot; )&quot;"/>
    <numFmt numFmtId="192" formatCode="&quot;Medição &quot;0"/>
    <numFmt numFmtId="193" formatCode="_(#,##0.00_);_(* \(#,##0.00\);_(* \-??_);_(@_)"/>
    <numFmt numFmtId="194" formatCode="dd/mm/yy;@"/>
    <numFmt numFmtId="195" formatCode="&quot;Medição &quot;##"/>
    <numFmt numFmtId="196" formatCode="_(* #,##0.00_);_(* \(#,##0.00\);;_(@_)"/>
    <numFmt numFmtId="197" formatCode="dddd&quot;, &quot;mmmm\ dd&quot;, &quot;yyyy"/>
    <numFmt numFmtId="198" formatCode="&quot;R$ &quot;#,##0.00"/>
    <numFmt numFmtId="199" formatCode="0.00"/>
  </numFmts>
  <fonts count="6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9"/>
      <name val="Arial"/>
      <family val="2"/>
      <charset val="1"/>
    </font>
    <font>
      <sz val="18"/>
      <color rgb="FF666699"/>
      <name val="Calibri Light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0"/>
    </font>
    <font>
      <sz val="10"/>
      <color theme="0"/>
      <name val="Arial"/>
      <family val="2"/>
      <charset val="1"/>
    </font>
    <font>
      <b val="true"/>
      <sz val="13"/>
      <name val="Arial"/>
      <family val="2"/>
      <charset val="1"/>
    </font>
    <font>
      <b val="true"/>
      <sz val="18"/>
      <name val="Arial"/>
      <family val="2"/>
      <charset val="1"/>
    </font>
    <font>
      <sz val="10"/>
      <color rgb="FFFFFFFF"/>
      <name val="Arial"/>
      <family val="2"/>
      <charset val="1"/>
    </font>
    <font>
      <sz val="14"/>
      <color rgb="FF0000FF"/>
      <name val="Arial"/>
      <family val="2"/>
      <charset val="1"/>
    </font>
    <font>
      <u val="single"/>
      <sz val="10"/>
      <color theme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b val="true"/>
      <i val="true"/>
      <sz val="11"/>
      <color rgb="FF000000"/>
      <name val="Calibri"/>
      <family val="0"/>
    </font>
    <font>
      <b val="true"/>
      <sz val="11"/>
      <color rgb="FFFF00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</font>
    <font>
      <b val="true"/>
      <sz val="10"/>
      <color rgb="FF0000FF"/>
      <name val="Arial"/>
      <family val="2"/>
      <charset val="1"/>
    </font>
    <font>
      <sz val="10"/>
      <name val="Calibri"/>
      <family val="2"/>
      <charset val="1"/>
    </font>
    <font>
      <b val="true"/>
      <sz val="10"/>
      <color rgb="FFFF0000"/>
      <name val="Arial"/>
      <family val="2"/>
      <charset val="1"/>
    </font>
    <font>
      <sz val="8"/>
      <name val="Calibri"/>
      <family val="2"/>
      <charset val="1"/>
    </font>
    <font>
      <sz val="11"/>
      <name val="Arial"/>
      <family val="2"/>
      <charset val="1"/>
    </font>
    <font>
      <i val="true"/>
      <sz val="12"/>
      <name val="Calibri"/>
      <family val="2"/>
      <charset val="1"/>
    </font>
    <font>
      <i val="true"/>
      <u val="single"/>
      <sz val="12"/>
      <name val="Calibri"/>
      <family val="2"/>
      <charset val="1"/>
    </font>
    <font>
      <u val="single"/>
      <sz val="10"/>
      <name val="Arial"/>
      <family val="2"/>
      <charset val="1"/>
    </font>
    <font>
      <sz val="9"/>
      <color rgb="FF000000"/>
      <name val="Tahoma"/>
      <family val="2"/>
      <charset val="1"/>
    </font>
    <font>
      <sz val="14"/>
      <color rgb="FFFFFFFF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8"/>
      <name val="Arial"/>
      <family val="2"/>
      <charset val="1"/>
    </font>
    <font>
      <b val="true"/>
      <sz val="8"/>
      <color rgb="FFFF0000"/>
      <name val="Calibri"/>
      <family val="2"/>
      <charset val="1"/>
    </font>
    <font>
      <b val="true"/>
      <sz val="7"/>
      <name val="Arial"/>
      <family val="2"/>
      <charset val="1"/>
    </font>
    <font>
      <i val="true"/>
      <sz val="10"/>
      <name val="Arial"/>
      <family val="2"/>
      <charset val="1"/>
    </font>
    <font>
      <sz val="10"/>
      <color rgb="FF000000"/>
      <name val="Arial"/>
      <family val="0"/>
    </font>
    <font>
      <b val="true"/>
      <sz val="10"/>
      <color rgb="FF000000"/>
      <name val="Calibri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.5"/>
      <name val="Arial Narrow"/>
      <family val="2"/>
      <charset val="1"/>
    </font>
    <font>
      <sz val="7"/>
      <color rgb="FFFF0000"/>
      <name val="Arial"/>
      <family val="2"/>
      <charset val="1"/>
    </font>
    <font>
      <b val="true"/>
      <sz val="10"/>
      <color theme="0" tint="-0.5"/>
      <name val="Arial"/>
      <family val="2"/>
      <charset val="1"/>
    </font>
    <font>
      <sz val="1"/>
      <color theme="0" tint="-0.25"/>
      <name val="Arial"/>
      <family val="2"/>
      <charset val="1"/>
    </font>
    <font>
      <sz val="10"/>
      <name val="Arial Narrow"/>
      <family val="2"/>
      <charset val="1"/>
    </font>
    <font>
      <sz val="10"/>
      <color theme="0" tint="-0.05"/>
      <name val="Arial"/>
      <family val="2"/>
      <charset val="1"/>
    </font>
    <font>
      <sz val="10"/>
      <color theme="0" tint="-0.25"/>
      <name val="Arial"/>
      <family val="2"/>
      <charset val="1"/>
    </font>
    <font>
      <sz val="9"/>
      <color rgb="FFFF0000"/>
      <name val="Arial Narrow"/>
      <family val="2"/>
      <charset val="1"/>
    </font>
    <font>
      <sz val="11"/>
      <name val="Arial Narrow"/>
      <family val="2"/>
      <charset val="1"/>
    </font>
    <font>
      <sz val="10"/>
      <color rgb="FFC0C0C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sz val="10"/>
      <color rgb="FF000000"/>
      <name val="Arial"/>
      <family val="0"/>
    </font>
    <font>
      <sz val="11"/>
      <color rgb="FFFF0000"/>
      <name val="Arial"/>
      <family val="2"/>
      <charset val="1"/>
    </font>
    <font>
      <b val="true"/>
      <sz val="9"/>
      <color rgb="FF000000"/>
      <name val="Tahoma"/>
      <family val="2"/>
      <charset val="1"/>
    </font>
    <font>
      <sz val="10.5"/>
      <name val="Arial Narrow"/>
      <family val="2"/>
      <charset val="1"/>
    </font>
    <font>
      <i val="true"/>
      <sz val="8"/>
      <name val="Arial"/>
      <family val="2"/>
      <charset val="1"/>
    </font>
    <font>
      <sz val="9"/>
      <color rgb="FF000000"/>
      <name val="Segoe UI"/>
      <family val="2"/>
      <charset val="1"/>
    </font>
    <font>
      <b val="true"/>
      <sz val="10"/>
      <color rgb="FFFFFFFF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99CCFF"/>
        <bgColor rgb="FFCCCCFF"/>
      </patternFill>
    </fill>
    <fill>
      <patternFill patternType="solid">
        <fgColor rgb="FFFFFF99"/>
        <bgColor rgb="FFF2F2F2"/>
      </patternFill>
    </fill>
    <fill>
      <patternFill patternType="solid">
        <fgColor rgb="FFCCCCFF"/>
        <bgColor rgb="FFD9D9D9"/>
      </patternFill>
    </fill>
    <fill>
      <patternFill patternType="solid">
        <fgColor rgb="FFFFCC99"/>
        <bgColor rgb="FFD9D9D9"/>
      </patternFill>
    </fill>
    <fill>
      <patternFill patternType="solid">
        <fgColor rgb="FFFFCC00"/>
        <bgColor rgb="FFFFC000"/>
      </patternFill>
    </fill>
    <fill>
      <patternFill patternType="solid">
        <fgColor rgb="FF808080"/>
        <bgColor rgb="FF969696"/>
      </patternFill>
    </fill>
    <fill>
      <patternFill patternType="solid">
        <fgColor rgb="FFF0F0F0"/>
        <bgColor rgb="FFF2F2F2"/>
      </patternFill>
    </fill>
    <fill>
      <patternFill patternType="solid">
        <fgColor rgb="FFA8A8A8"/>
        <bgColor rgb="FF969696"/>
      </patternFill>
    </fill>
    <fill>
      <patternFill patternType="solid">
        <fgColor theme="0" tint="-0.25"/>
        <bgColor rgb="FFC0C0C0"/>
      </patternFill>
    </fill>
    <fill>
      <patternFill patternType="solid">
        <fgColor theme="0" tint="-0.15"/>
        <bgColor rgb="FFDFDFDF"/>
      </patternFill>
    </fill>
    <fill>
      <patternFill patternType="solid">
        <fgColor rgb="FFDFDFDF"/>
        <bgColor rgb="FFD9D9D9"/>
      </patternFill>
    </fill>
    <fill>
      <patternFill patternType="solid">
        <fgColor rgb="FFF2F2FF"/>
        <bgColor rgb="FFF3F3FF"/>
      </patternFill>
    </fill>
    <fill>
      <patternFill patternType="solid">
        <fgColor rgb="FFF3F3FF"/>
        <bgColor rgb="FFF2F2FF"/>
      </patternFill>
    </fill>
    <fill>
      <patternFill patternType="solid">
        <fgColor rgb="FF000000"/>
        <bgColor rgb="FF003300"/>
      </patternFill>
    </fill>
    <fill>
      <patternFill patternType="solid">
        <fgColor theme="0" tint="-0.05"/>
        <bgColor rgb="FFF0F0F0"/>
      </patternFill>
    </fill>
  </fills>
  <borders count="96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hair"/>
      <top style="medium"/>
      <bottom style="hair"/>
      <diagonal/>
    </border>
    <border diagonalUp="false" diagonalDown="false">
      <left/>
      <right style="medium"/>
      <top style="medium"/>
      <bottom style="hair"/>
      <diagonal/>
    </border>
    <border diagonalUp="false" diagonalDown="false">
      <left style="medium"/>
      <right style="hair"/>
      <top/>
      <bottom style="hair"/>
      <diagonal/>
    </border>
    <border diagonalUp="false" diagonalDown="false">
      <left/>
      <right style="medium"/>
      <top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medium"/>
      <right style="hair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hair"/>
      <top style="medium"/>
      <bottom/>
      <diagonal/>
    </border>
    <border diagonalUp="false" diagonalDown="false">
      <left style="hair"/>
      <right style="medium"/>
      <top style="medium"/>
      <bottom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 style="hair"/>
      <right style="medium"/>
      <top style="medium"/>
      <bottom style="medium"/>
      <diagonal/>
    </border>
    <border diagonalUp="false" diagonalDown="false">
      <left style="hair"/>
      <right style="medium"/>
      <top style="hair"/>
      <bottom style="medium"/>
      <diagonal/>
    </border>
    <border diagonalUp="false" diagonalDown="false">
      <left/>
      <right style="medium"/>
      <top style="hair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 style="hair"/>
      <right style="thin"/>
      <top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>
        <color rgb="FF808080"/>
      </left>
      <right style="hair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/>
      <diagonal/>
    </border>
    <border diagonalUp="false" diagonalDown="false">
      <left style="thin">
        <color theme="0" tint="-0.5"/>
      </left>
      <right/>
      <top/>
      <bottom/>
      <diagonal/>
    </border>
    <border diagonalUp="false" diagonalDown="false">
      <left/>
      <right/>
      <top style="thin">
        <color theme="0" tint="-0.5"/>
      </top>
      <bottom/>
      <diagonal/>
    </border>
    <border diagonalUp="false" diagonalDown="false">
      <left style="hair"/>
      <right style="hair"/>
      <top style="thin"/>
      <bottom style="hair">
        <color rgb="FF969696"/>
      </bottom>
      <diagonal/>
    </border>
    <border diagonalUp="false" diagonalDown="false">
      <left style="thin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 style="hair"/>
      <bottom/>
      <diagonal/>
    </border>
    <border diagonalUp="false" diagonalDown="false">
      <left style="hair"/>
      <right style="hair"/>
      <top style="hair">
        <color rgb="FF969696"/>
      </top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/>
      <right style="hair"/>
      <top/>
      <bottom style="thin"/>
      <diagonal/>
    </border>
    <border diagonalUp="false" diagonalDown="false">
      <left style="hair"/>
      <right/>
      <top style="thin"/>
      <bottom/>
      <diagonal/>
    </border>
    <border diagonalUp="false" diagonalDown="false">
      <left style="hair"/>
      <right/>
      <top/>
      <bottom style="thin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hair"/>
      <right/>
      <top style="hair"/>
      <bottom style="thin"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thin"/>
      <right style="hair"/>
      <top style="hair"/>
      <bottom/>
      <diagonal/>
    </border>
    <border diagonalUp="false" diagonalDown="false">
      <left/>
      <right/>
      <top/>
      <bottom style="thin">
        <color rgb="FF808080"/>
      </bottom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hair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90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8" fontId="10" fillId="0" borderId="0" xfId="0" applyFont="true" applyBorder="false" applyAlignment="true" applyProtection="true">
      <alignment horizontal="left" vertical="top" textRotation="0" wrapText="false" indent="1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10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1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4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8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3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3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19" fillId="3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0" fillId="3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21" fillId="3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8" fillId="3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8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0" fillId="4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0" fillId="4" borderId="1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0" fillId="4" borderId="19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71" fontId="0" fillId="4" borderId="19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0" fillId="4" borderId="2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71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0" fillId="4" borderId="2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9" fontId="0" fillId="4" borderId="2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5" borderId="2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0" fillId="4" borderId="2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70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3" fontId="0" fillId="4" borderId="2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4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4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2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3" fontId="0" fillId="4" borderId="15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72" fontId="0" fillId="4" borderId="28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73" fontId="0" fillId="4" borderId="29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9" fontId="0" fillId="4" borderId="15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4" borderId="29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4" borderId="2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2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20" fillId="0" borderId="0" xfId="2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8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7" fillId="0" borderId="8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30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0" fillId="0" borderId="13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18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8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13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8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5" fillId="4" borderId="8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3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8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22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8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5" borderId="13" xfId="21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1" fillId="0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1" fillId="0" borderId="8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8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1" fillId="0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1" fillId="4" borderId="8" xfId="22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2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0" fontId="31" fillId="0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1" fillId="0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1" fillId="0" borderId="8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8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2" borderId="8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21" fillId="2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4" fillId="0" borderId="0" xfId="22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8" fontId="25" fillId="0" borderId="0" xfId="22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0" fillId="0" borderId="0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22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3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34" fillId="0" borderId="0" xfId="22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8" fontId="5" fillId="0" borderId="8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0" fillId="4" borderId="8" xfId="22" applyFont="true" applyBorder="true" applyAlignment="true" applyProtection="true">
      <alignment horizontal="left" vertical="top" textRotation="0" wrapText="true" indent="0" shrinkToFit="false"/>
      <protection locked="false" hidden="false"/>
    </xf>
    <xf numFmtId="175" fontId="0" fillId="0" borderId="3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6" fontId="0" fillId="0" borderId="3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7" fontId="0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5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0" xfId="25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8" fontId="0" fillId="0" borderId="0" xfId="22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75" fontId="0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0" xfId="22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8" fontId="3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30" xfId="25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0" fillId="0" borderId="13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0" borderId="2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22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18" fillId="0" borderId="9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18" fillId="0" borderId="0" xfId="25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8" fontId="18" fillId="0" borderId="30" xfId="2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39" fillId="0" borderId="0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0" fillId="7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78" fontId="0" fillId="0" borderId="13" xfId="22" applyFont="true" applyBorder="true" applyAlignment="true" applyProtection="true">
      <alignment horizontal="general" vertical="top" textRotation="0" wrapText="false" indent="0" shrinkToFit="true"/>
      <protection locked="true" hidden="false"/>
    </xf>
    <xf numFmtId="168" fontId="0" fillId="0" borderId="1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0" fillId="0" borderId="3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0" fillId="0" borderId="13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0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29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2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0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37" xfId="0" applyFont="false" applyBorder="true" applyAlignment="true" applyProtection="true">
      <alignment horizontal="general" vertical="center" textRotation="0" wrapText="true" indent="0" shrinkToFit="true"/>
      <protection locked="true" hidden="false"/>
    </xf>
    <xf numFmtId="169" fontId="0" fillId="5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0" fillId="4" borderId="38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0" fillId="4" borderId="38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4" borderId="38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79" fontId="0" fillId="0" borderId="38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79" fontId="0" fillId="4" borderId="38" xfId="15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1" fontId="0" fillId="5" borderId="38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9" fontId="0" fillId="0" borderId="39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1" fontId="28" fillId="5" borderId="40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4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9" fontId="0" fillId="0" borderId="37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71" fontId="0" fillId="0" borderId="39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79" fontId="0" fillId="4" borderId="40" xfId="15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9" fontId="0" fillId="4" borderId="37" xfId="15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9" fontId="0" fillId="0" borderId="38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9" fontId="0" fillId="0" borderId="39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2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18" fillId="8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8" fillId="8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8" fillId="8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18" fillId="8" borderId="4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8" borderId="43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18" fillId="8" borderId="12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9" fontId="44" fillId="8" borderId="8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9" fontId="44" fillId="8" borderId="12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9" fontId="18" fillId="8" borderId="4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8" borderId="4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8" borderId="1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8" borderId="4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18" fillId="8" borderId="46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9" fontId="18" fillId="8" borderId="4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3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0" fillId="4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9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4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31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4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31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31" fillId="0" borderId="0" xfId="0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8" fontId="21" fillId="0" borderId="8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5" fontId="0" fillId="0" borderId="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3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22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6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4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4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9" fontId="0" fillId="0" borderId="8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79" fontId="0" fillId="0" borderId="8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29" fillId="0" borderId="8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9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8" fillId="0" borderId="9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30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0" fillId="0" borderId="1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3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47" fillId="0" borderId="13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30" fillId="0" borderId="0" xfId="0" applyFont="true" applyBorder="false" applyAlignment="true" applyProtection="true">
      <alignment horizontal="right" vertical="bottom" textRotation="90" wrapText="false" indent="0" shrinkToFit="false"/>
      <protection locked="true" hidden="false"/>
    </xf>
    <xf numFmtId="168" fontId="2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11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9" fontId="18" fillId="11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18" fillId="11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7" fillId="1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12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0" fillId="12" borderId="8" xfId="15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79" fontId="0" fillId="12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0" fillId="11" borderId="8" xfId="15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0" fillId="11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4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8" fillId="0" borderId="0" xfId="22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76" fontId="0" fillId="0" borderId="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20" fillId="0" borderId="0" xfId="0" applyFont="true" applyBorder="true" applyAlignment="true" applyProtection="true">
      <alignment horizontal="left" vertical="center" textRotation="0" wrapText="false" indent="10" shrinkToFit="false"/>
      <protection locked="true" hidden="false"/>
    </xf>
    <xf numFmtId="164" fontId="20" fillId="0" borderId="0" xfId="0" applyFont="true" applyBorder="false" applyAlignment="true" applyProtection="true">
      <alignment horizontal="left" vertical="center" textRotation="0" wrapText="false" indent="1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37" fillId="0" borderId="0" xfId="0" applyFont="true" applyBorder="true" applyAlignment="true" applyProtection="true">
      <alignment horizontal="left" vertical="center" textRotation="0" wrapText="false" indent="10" shrinkToFit="false"/>
      <protection locked="true" hidden="false"/>
    </xf>
    <xf numFmtId="164" fontId="37" fillId="0" borderId="0" xfId="0" applyFont="true" applyBorder="false" applyAlignment="true" applyProtection="true">
      <alignment horizontal="left" vertical="center" textRotation="0" wrapText="false" indent="1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9" xfId="25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8" fillId="0" borderId="0" xfId="25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8" fillId="0" borderId="1" xfId="25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8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22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3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23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8" fontId="2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25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30" fillId="0" borderId="0" xfId="0" applyFont="true" applyBorder="false" applyAlignment="true" applyProtection="true">
      <alignment horizontal="center" vertical="bottom" textRotation="90" wrapText="false" indent="0" shrinkToFit="false"/>
      <protection locked="true" hidden="false"/>
    </xf>
    <xf numFmtId="164" fontId="29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23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30" fillId="0" borderId="0" xfId="0" applyFont="true" applyBorder="false" applyAlignment="true" applyProtection="true">
      <alignment horizontal="left" vertical="bottom" textRotation="90" wrapText="true" indent="0" shrinkToFit="false"/>
      <protection locked="true" hidden="false"/>
    </xf>
    <xf numFmtId="168" fontId="1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4" borderId="47" xfId="0" applyFont="false" applyBorder="true" applyAlignment="true" applyProtection="true">
      <alignment horizontal="center" vertical="bottom" textRotation="90" wrapText="true" indent="0" shrinkToFit="false"/>
      <protection locked="fals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48" xfId="0" applyFont="false" applyBorder="true" applyAlignment="true" applyProtection="true">
      <alignment horizontal="center" vertical="bottom" textRotation="90" wrapText="true" indent="0" shrinkToFit="false"/>
      <protection locked="false" hidden="false"/>
    </xf>
    <xf numFmtId="170" fontId="0" fillId="4" borderId="47" xfId="0" applyFont="false" applyBorder="true" applyAlignment="true" applyProtection="true">
      <alignment horizontal="center" vertical="bottom" textRotation="90" wrapText="true" indent="0" shrinkToFit="false"/>
      <protection locked="false" hidden="false"/>
    </xf>
    <xf numFmtId="164" fontId="0" fillId="4" borderId="49" xfId="0" applyFont="false" applyBorder="true" applyAlignment="true" applyProtection="true">
      <alignment horizontal="center" vertical="bottom" textRotation="90" wrapText="true" indent="0" shrinkToFit="false"/>
      <protection locked="false" hidden="false"/>
    </xf>
    <xf numFmtId="168" fontId="0" fillId="0" borderId="48" xfId="0" applyFont="false" applyBorder="true" applyAlignment="true" applyProtection="true">
      <alignment horizontal="center" vertical="bottom" textRotation="90" wrapText="true" indent="0" shrinkToFit="false"/>
      <protection locked="true" hidden="false"/>
    </xf>
    <xf numFmtId="168" fontId="0" fillId="0" borderId="47" xfId="0" applyFont="false" applyBorder="true" applyAlignment="true" applyProtection="true">
      <alignment horizontal="center" vertical="bottom" textRotation="90" wrapText="true" indent="0" shrinkToFit="false"/>
      <protection locked="true" hidden="false"/>
    </xf>
    <xf numFmtId="168" fontId="0" fillId="0" borderId="49" xfId="0" applyFont="fals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8" fontId="18" fillId="0" borderId="5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3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4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4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4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38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8" fontId="0" fillId="0" borderId="3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4" borderId="39" xfId="15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8" fontId="5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5" borderId="8" xfId="15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44" fillId="0" borderId="33" xfId="15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8" fontId="44" fillId="0" borderId="40" xfId="15" applyFont="true" applyBorder="true" applyAlignment="true" applyProtection="true">
      <alignment horizontal="general" vertical="center" textRotation="0" wrapText="true" indent="0" shrinkToFit="true"/>
      <protection locked="true" hidden="false"/>
    </xf>
    <xf numFmtId="179" fontId="0" fillId="4" borderId="37" xfId="15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79" fontId="0" fillId="4" borderId="38" xfId="15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79" fontId="0" fillId="4" borderId="39" xfId="15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79" fontId="0" fillId="0" borderId="48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74" fontId="0" fillId="0" borderId="51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4" fontId="0" fillId="0" borderId="52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18" fillId="8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8" fillId="8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8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1" fillId="8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8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8" fillId="8" borderId="53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18" fillId="8" borderId="54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18" fillId="8" borderId="55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18" fillId="8" borderId="48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8" fontId="18" fillId="8" borderId="48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44" fillId="0" borderId="33" xfId="15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5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3" borderId="4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3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3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3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0" fillId="4" borderId="3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4" fontId="0" fillId="4" borderId="3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3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0" fillId="0" borderId="1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6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53" fillId="2" borderId="56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18" fillId="2" borderId="5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8" fillId="2" borderId="5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2" borderId="5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" borderId="5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9" fillId="2" borderId="5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" borderId="5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11" borderId="3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11" borderId="3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" borderId="11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2" borderId="1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14" borderId="8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2" borderId="43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6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1" fontId="48" fillId="2" borderId="8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5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8" fillId="1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47" fillId="12" borderId="8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8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82" fontId="47" fillId="0" borderId="8" xfId="1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10" fillId="0" borderId="6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9" fontId="0" fillId="0" borderId="8" xfId="1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10" fillId="12" borderId="6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6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12" borderId="8" xfId="1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6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9" fillId="0" borderId="0" xf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7" fillId="0" borderId="0" xfId="2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7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1" fontId="15" fillId="0" borderId="67" xf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47" fillId="0" borderId="31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83" fontId="47" fillId="0" borderId="68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1" fontId="47" fillId="0" borderId="69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4" fontId="47" fillId="0" borderId="69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7" fillId="0" borderId="69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84" fontId="0" fillId="0" borderId="70" xfId="15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84" fontId="0" fillId="0" borderId="3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0" borderId="9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2" fillId="0" borderId="71" xfId="26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7" fillId="0" borderId="3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0" borderId="7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5" fillId="0" borderId="7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7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2" xfId="28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84" fontId="0" fillId="0" borderId="3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0" borderId="73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8" fillId="0" borderId="74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0" borderId="13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8" fillId="0" borderId="0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3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0" fillId="0" borderId="0" xfId="2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bottom" textRotation="90" wrapText="false" indent="0" shrinkToFit="false"/>
      <protection locked="true" hidden="false"/>
    </xf>
    <xf numFmtId="164" fontId="47" fillId="0" borderId="0" xf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7" fillId="0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9" xfId="2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8" fillId="0" borderId="9" xfId="2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8" fillId="0" borderId="9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8" fillId="0" borderId="3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7" fillId="0" borderId="1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3" xfId="2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7" fillId="0" borderId="10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7" fillId="0" borderId="13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5" borderId="8" xfId="23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29" fillId="0" borderId="3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7" fillId="0" borderId="3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8" fillId="0" borderId="5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0" borderId="8" xf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8" fillId="0" borderId="11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8" fillId="0" borderId="43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8" fillId="0" borderId="5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7" fillId="0" borderId="5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12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84" fontId="18" fillId="0" borderId="8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8" fillId="0" borderId="34" xfId="23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8" fillId="0" borderId="75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0" borderId="0" xfId="23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85" fontId="48" fillId="0" borderId="53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8" fillId="0" borderId="3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7" fillId="0" borderId="3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0" borderId="3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85" fontId="48" fillId="0" borderId="54" xfId="23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85" fontId="48" fillId="0" borderId="76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10" borderId="43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9" borderId="8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9" borderId="1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9" borderId="43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15" borderId="43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9" borderId="43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2" borderId="52" xf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9" fillId="0" borderId="4" xfId="23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7" fillId="2" borderId="3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0" borderId="0" xfId="28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7" fontId="0" fillId="2" borderId="77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78" xf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2" borderId="79" xf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0" fillId="0" borderId="38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47" fillId="2" borderId="3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36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80" xf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9" fontId="0" fillId="0" borderId="61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79" fontId="0" fillId="2" borderId="38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48" fillId="0" borderId="0" xfId="2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7" fillId="2" borderId="3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36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80" xf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9" fontId="0" fillId="2" borderId="61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79" fontId="0" fillId="0" borderId="41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7" fontId="0" fillId="0" borderId="68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0" xf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9" fontId="0" fillId="0" borderId="81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7" fontId="18" fillId="2" borderId="46" xfId="28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86" fontId="47" fillId="0" borderId="0" xfId="2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7" fillId="2" borderId="13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2" borderId="82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8" fillId="2" borderId="83" xf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8" fillId="2" borderId="84" xfId="28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79" fontId="18" fillId="2" borderId="85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7" fontId="18" fillId="2" borderId="60" xf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9" fontId="18" fillId="2" borderId="69" xfId="15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71" fontId="0" fillId="0" borderId="86" xfId="19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7" fontId="0" fillId="0" borderId="82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87" xf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87" xfId="19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47" fillId="0" borderId="3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3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70" fontId="18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30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3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13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22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8" fontId="2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4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87" fontId="0" fillId="0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0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88" fontId="18" fillId="0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5" borderId="38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4" borderId="3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3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3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87" fontId="0" fillId="0" borderId="3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0" borderId="6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0" borderId="8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0" borderId="4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9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88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8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4" borderId="89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87" fontId="0" fillId="4" borderId="89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9" fontId="0" fillId="5" borderId="8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87" fontId="0" fillId="4" borderId="41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87" fontId="0" fillId="4" borderId="42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0" fillId="0" borderId="0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4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5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8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21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21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21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21" fillId="2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1" borderId="3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3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91" fontId="5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91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91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91" fontId="5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0" fillId="4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8" fillId="0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1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0" fillId="4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2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0" borderId="1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90" wrapText="false" indent="0" shrinkToFit="false"/>
      <protection locked="true" hidden="false"/>
    </xf>
    <xf numFmtId="168" fontId="24" fillId="0" borderId="9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0" fillId="4" borderId="4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3" fontId="0" fillId="4" borderId="4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3" fontId="0" fillId="4" borderId="4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92" fontId="18" fillId="2" borderId="8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18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0" fillId="0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0" borderId="3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0" borderId="5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93" fontId="0" fillId="0" borderId="13" xfId="1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93" fontId="0" fillId="0" borderId="3" xfId="1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71" fontId="0" fillId="0" borderId="9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0" borderId="3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93" fontId="0" fillId="0" borderId="10" xfId="1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1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93" fontId="0" fillId="0" borderId="0" xfId="1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22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8" fontId="20" fillId="0" borderId="0" xfId="0" applyFont="true" applyBorder="false" applyAlignment="true" applyProtection="true">
      <alignment horizontal="left" vertical="center" textRotation="0" wrapText="false" indent="12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8" fontId="37" fillId="0" borderId="0" xfId="0" applyFont="true" applyBorder="false" applyAlignment="true" applyProtection="true">
      <alignment horizontal="left" vertical="center" textRotation="0" wrapText="false" indent="12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94" fontId="0" fillId="0" borderId="2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3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8" fillId="0" borderId="30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9" fontId="0" fillId="0" borderId="13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8" fillId="4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2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0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1" fontId="12" fillId="0" borderId="0" xfId="1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4" fontId="0" fillId="0" borderId="10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20" fillId="4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18" fillId="4" borderId="4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3" fontId="18" fillId="4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3" fontId="18" fillId="4" borderId="4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8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95" fontId="18" fillId="2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9" fontId="0" fillId="0" borderId="36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79" fontId="0" fillId="0" borderId="80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79" fontId="0" fillId="0" borderId="37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9" fontId="0" fillId="4" borderId="3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9" fontId="0" fillId="4" borderId="3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96" fontId="0" fillId="0" borderId="38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7" fontId="0" fillId="0" borderId="3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39" xfId="0" applyFont="false" applyBorder="true" applyAlignment="true" applyProtection="true">
      <alignment horizontal="general" vertical="bottom" textRotation="0" wrapText="false" indent="0" shrinkToFit="true"/>
      <protection locked="false" hidden="false"/>
    </xf>
    <xf numFmtId="179" fontId="0" fillId="4" borderId="38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18" fillId="8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8" fillId="8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18" fillId="8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18" fillId="8" borderId="2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9" fontId="18" fillId="8" borderId="1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18" fillId="8" borderId="13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0" fillId="8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3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7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9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18" fillId="2" borderId="13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0" fillId="2" borderId="4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3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4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8" fontId="23" fillId="0" borderId="3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3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22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8" fontId="20" fillId="0" borderId="0" xfId="0" applyFont="true" applyBorder="false" applyAlignment="true" applyProtection="true">
      <alignment horizontal="left" vertical="center" textRotation="0" wrapText="false" indent="15" shrinkToFit="false"/>
      <protection locked="true" hidden="false"/>
    </xf>
    <xf numFmtId="164" fontId="64" fillId="0" borderId="1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8" fillId="0" borderId="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89" fontId="18" fillId="0" borderId="8" xfId="17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18" fillId="0" borderId="1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0" fillId="0" borderId="3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0" fontId="18" fillId="0" borderId="3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1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70" fontId="0" fillId="0" borderId="13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70" fontId="0" fillId="0" borderId="1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18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8" fontId="18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8" fillId="0" borderId="2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87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8" fillId="0" borderId="7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8" fillId="0" borderId="7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38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9" fontId="0" fillId="0" borderId="3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3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6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8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0" fillId="4" borderId="8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87" fontId="0" fillId="4" borderId="8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87" fontId="0" fillId="4" borderId="4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91" fontId="5" fillId="2" borderId="9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91" fontId="5" fillId="2" borderId="7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91" fontId="5" fillId="2" borderId="9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91" fontId="5" fillId="2" borderId="7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8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4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1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2" borderId="4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2" borderId="3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2" borderId="6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2" borderId="8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1" borderId="9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0" fillId="4" borderId="5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4" borderId="9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87" fontId="65" fillId="0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0" borderId="8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0" borderId="6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0" borderId="6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0" fillId="0" borderId="7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1" borderId="9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0" fillId="4" borderId="4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4" borderId="4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1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21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21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21" fillId="2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7" fontId="21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22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22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97" fontId="0" fillId="0" borderId="0" xfId="22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0" fillId="4" borderId="0" xfId="22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97" fontId="0" fillId="0" borderId="0" xfId="2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9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2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4" borderId="0" xfId="22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8" fontId="0" fillId="0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0" xfId="22" applyFont="true" applyBorder="true" applyAlignment="true" applyProtection="true">
      <alignment horizontal="left" vertical="top" textRotation="0" wrapText="true" indent="0" shrinkToFit="true"/>
      <protection locked="true" hidden="false"/>
    </xf>
    <xf numFmtId="168" fontId="0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0" borderId="0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51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4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37" xfId="2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90" fontId="18" fillId="0" borderId="38" xfId="15" applyFont="true" applyBorder="true" applyAlignment="true" applyProtection="true">
      <alignment horizontal="general" vertical="top" textRotation="0" wrapText="false" indent="0" shrinkToFit="true"/>
      <protection locked="true" hidden="false"/>
    </xf>
    <xf numFmtId="190" fontId="18" fillId="0" borderId="39" xfId="15" applyFont="true" applyBorder="true" applyAlignment="true" applyProtection="true">
      <alignment horizontal="general" vertical="top" textRotation="0" wrapText="false" indent="0" shrinkToFit="true"/>
      <protection locked="true" hidden="false"/>
    </xf>
    <xf numFmtId="164" fontId="0" fillId="0" borderId="44" xfId="2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90" fontId="18" fillId="0" borderId="46" xfId="1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71" fontId="18" fillId="0" borderId="46" xfId="19" applyFont="true" applyBorder="true" applyAlignment="true" applyProtection="true">
      <alignment horizontal="right" vertical="top" textRotation="0" wrapText="false" indent="0" shrinkToFit="true"/>
      <protection locked="true" hidden="false"/>
    </xf>
    <xf numFmtId="171" fontId="18" fillId="0" borderId="45" xfId="19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8" fontId="0" fillId="4" borderId="0" xfId="22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4" borderId="0" xfId="22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3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7" fillId="16" borderId="0" xfId="2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67" fillId="16" borderId="0" xfId="2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8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17" borderId="8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98" fontId="0" fillId="0" borderId="8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99" fontId="0" fillId="0" borderId="8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98" fontId="0" fillId="17" borderId="8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98" fontId="0" fillId="17" borderId="8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0" fillId="0" borderId="8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8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0" fillId="0" borderId="8" xfId="19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_Composicao BDI v2.1" xfId="21"/>
    <cellStyle name="Normal 2" xfId="22"/>
    <cellStyle name="Normal 3" xfId="23"/>
    <cellStyle name="Normal 4" xfId="24"/>
    <cellStyle name="Normal_FICHA DE VERIFICAÇÃO PRELIMINAR - Plano R" xfId="25"/>
    <cellStyle name="Porcentagem 2" xfId="26"/>
    <cellStyle name="Título 5" xfId="27"/>
    <cellStyle name="Vírgula 2" xfId="28"/>
    <cellStyle name="*unknown*" xfId="20" builtinId="8"/>
  </cellStyles>
  <dxfs count="556">
    <dxf>
      <font>
        <color rgb="FFC0C0C0"/>
      </font>
      <fill>
        <patternFill>
          <bgColor rgb="FFC0C0C0"/>
        </patternFill>
      </fill>
      <border diagonalUp="false" diagonalDown="false">
        <left/>
        <right/>
        <top/>
        <bottom/>
        <diagonal/>
      </border>
    </dxf>
    <dxf>
      <font>
        <color rgb="FFC0C0C0"/>
      </font>
      <fill>
        <patternFill>
          <bgColor rgb="FFC0C0C0"/>
        </patternFill>
      </fill>
      <border diagonalUp="false" diagonalDown="false">
        <left/>
        <right/>
        <top/>
        <bottom/>
        <diagonal/>
      </border>
    </dxf>
    <dxf>
      <font>
        <color rgb="FFC0C0C0"/>
      </font>
      <fill>
        <patternFill>
          <bgColor rgb="FFC0C0C0"/>
        </patternFill>
      </fill>
      <border diagonalUp="false" diagonalDown="false">
        <left/>
        <right/>
        <top/>
        <bottom/>
        <diagonal/>
      </border>
    </dxf>
    <dxf>
      <font>
        <color rgb="FFC0C0C0"/>
      </font>
      <fill>
        <patternFill>
          <bgColor rgb="FFC0C0C0"/>
        </patternFill>
      </fill>
      <border diagonalUp="false" diagonalDown="false">
        <left/>
        <right/>
        <top/>
        <bottom/>
        <diagonal/>
      </border>
    </dxf>
    <dxf>
      <font>
        <b val="0"/>
        <color rgb="FFFF0000"/>
      </font>
    </dxf>
    <dxf>
      <font>
        <b val="0"/>
        <color rgb="FFFF0000"/>
      </font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ill>
        <patternFill patternType="solid">
          <bgColor rgb="FF000000"/>
        </patternFill>
      </fill>
    </dxf>
    <dxf>
      <font>
        <b val="1"/>
        <i val="0"/>
        <color rgb="FFFFFFFF"/>
      </font>
      <fill>
        <patternFill>
          <bgColor rgb="FFFFFFFF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FF0000"/>
      </font>
      <border diagonalUp="false" diagonalDown="false">
        <left style="thin"/>
        <right style="thin"/>
        <top style="thin"/>
        <bottom style="thin"/>
        <diagonal/>
      </border>
    </dxf>
    <dxf>
      <font>
        <b val="0"/>
        <color rgb="FF008000"/>
      </font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0070C0"/>
      </font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border diagonalUp="false" diagonalDown="false">
        <left/>
        <right/>
        <top style="thin"/>
        <bottom/>
        <diagonal/>
      </border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FF0000"/>
      </font>
    </dxf>
    <dxf>
      <border diagonalUp="false" diagonalDown="false">
        <left style="thin"/>
        <right style="thin"/>
        <top/>
        <bottom/>
        <diagonal/>
      </border>
    </dxf>
    <dxf>
      <fill>
        <patternFill patternType="solid">
          <fgColor rgb="FFFFFFFF"/>
          <bgColor rgb="FF000000"/>
        </patternFill>
      </fill>
    </dxf>
    <dxf>
      <font>
        <color rgb="FFFFFFFF"/>
      </font>
      <fill>
        <patternFill>
          <bgColor theme="0"/>
        </patternFill>
      </fill>
      <border diagonalUp="false" diagonalDown="false">
        <left/>
        <right/>
        <top/>
        <bottom/>
        <diagonal/>
      </border>
    </dxf>
    <dxf>
      <font>
        <color rgb="FFFFFFFF"/>
      </font>
      <fill>
        <patternFill>
          <bgColor theme="0"/>
        </patternFill>
      </fill>
      <border diagonalUp="false" diagonalDown="false">
        <left/>
        <right/>
        <top/>
        <bottom/>
        <diagonal/>
      </border>
    </dxf>
    <dxf>
      <font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color rgb="FFFF0000"/>
      </font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color rgb="FFFF0000"/>
      </font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color rgb="FFD9D9D9"/>
      </font>
    </dxf>
    <dxf>
      <font>
        <color rgb="FFFFFFFF"/>
      </font>
      <fill>
        <patternFill>
          <bgColor theme="0"/>
        </patternFill>
      </fill>
      <border diagonalUp="false" diagonalDown="false">
        <left/>
        <right/>
        <top/>
        <bottom/>
        <diagonal/>
      </border>
    </dxf>
    <dxf>
      <font>
        <color rgb="FFFFFFFF"/>
      </font>
      <fill>
        <patternFill>
          <bgColor theme="0"/>
        </patternFill>
      </fill>
      <border diagonalUp="false" diagonalDown="false">
        <left/>
        <right/>
        <top/>
        <bottom/>
        <diagonal/>
      </border>
    </dxf>
    <dxf>
      <font>
        <color rgb="FFFFFFFF"/>
      </font>
    </dxf>
    <dxf>
      <font>
        <color rgb="FFD9D9D9"/>
      </font>
    </dxf>
    <dxf>
      <font>
        <color rgb="FFFFFFFF"/>
      </font>
    </dxf>
    <dxf>
      <font>
        <color rgb="FFD9D9D9"/>
      </font>
    </dxf>
    <dxf>
      <font>
        <color rgb="FFBFBFBF"/>
      </font>
    </dxf>
    <dxf>
      <font>
        <color rgb="FFFFFFFF"/>
      </font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ill>
        <patternFill patternType="solid">
          <fgColor rgb="FF000000"/>
          <bgColor rgb="FF000000"/>
        </patternFill>
      </fill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FF99"/>
        </patternFill>
      </fill>
    </dxf>
    <dxf>
      <fill>
        <patternFill>
          <bgColor rgb="FFC0C0C0"/>
        </patternFill>
      </fill>
    </dxf>
    <dxf>
      <fill>
        <patternFill>
          <bgColor rgb="FF969696"/>
        </patternFill>
      </fill>
    </dxf>
    <dxf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FF99"/>
        </patternFill>
      </fill>
    </dxf>
    <dxf>
      <fill>
        <patternFill>
          <bgColor rgb="FFC0C0C0"/>
        </patternFill>
      </fill>
    </dxf>
    <dxf>
      <fill>
        <patternFill>
          <bgColor rgb="FF969696"/>
        </patternFill>
      </fill>
    </dxf>
    <dxf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FF99"/>
        </patternFill>
      </fill>
    </dxf>
    <dxf>
      <fill>
        <patternFill>
          <bgColor rgb="FFC0C0C0"/>
        </patternFill>
      </fill>
    </dxf>
    <dxf>
      <fill>
        <patternFill>
          <bgColor rgb="FF969696"/>
        </patternFill>
      </fill>
    </dxf>
    <dxf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FF99"/>
        </patternFill>
      </fill>
    </dxf>
    <dxf>
      <fill>
        <patternFill>
          <bgColor rgb="FFC0C0C0"/>
        </patternFill>
      </fill>
    </dxf>
    <dxf>
      <fill>
        <patternFill>
          <bgColor rgb="FF969696"/>
        </patternFill>
      </fill>
    </dxf>
    <dxf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FF99"/>
        </patternFill>
      </fill>
    </dxf>
    <dxf>
      <fill>
        <patternFill>
          <bgColor rgb="FFC0C0C0"/>
        </patternFill>
      </fill>
    </dxf>
    <dxf>
      <fill>
        <patternFill>
          <bgColor rgb="FF969696"/>
        </patternFill>
      </fill>
    </dxf>
    <dxf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b val="0"/>
        <color rgb="FFFFFFFF"/>
      </font>
    </dxf>
    <dxf>
      <font>
        <color rgb="FFFF0000"/>
      </font>
      <fill>
        <patternFill>
          <bgColor rgb="FFFFFF99"/>
        </patternFill>
      </fill>
    </dxf>
    <dxf>
      <font>
        <b val="0"/>
        <color rgb="FF000000"/>
      </font>
      <fill>
        <patternFill>
          <bgColor rgb="FF9999FF"/>
        </patternFill>
      </fill>
    </dxf>
    <dxf>
      <font>
        <b val="0"/>
        <color rgb="FFFFFFFF"/>
      </font>
    </dxf>
    <dxf>
      <font>
        <color rgb="FFFFFFFF"/>
      </font>
      <fill>
        <patternFill>
          <bgColor theme="0"/>
        </patternFill>
      </fill>
      <border diagonalUp="false" diagonalDown="false">
        <left/>
        <right/>
        <top/>
        <bottom/>
        <diagonal/>
      </border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color rgb="FFFFFFFF"/>
      </font>
      <border diagonalUp="false" diagonalDown="false">
        <left/>
        <right/>
        <top/>
        <bottom/>
        <diagonal/>
      </border>
    </dxf>
    <dxf>
      <fill>
        <patternFill>
          <bgColor rgb="FFFFFF99"/>
        </patternFill>
      </fill>
    </dxf>
    <dxf>
      <font>
        <b val="0"/>
        <color rgb="FF000000"/>
      </font>
      <fill>
        <patternFill>
          <bgColor rgb="FFFFFF99"/>
        </patternFill>
      </fill>
    </dxf>
    <dxf>
      <fill>
        <patternFill>
          <bgColor rgb="FFC0C0C0"/>
        </patternFill>
      </fill>
    </dxf>
    <dxf>
      <fill>
        <patternFill>
          <bgColor rgb="FF969696"/>
        </patternFill>
      </fill>
    </dxf>
    <dxf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color rgb="FFC0C0C0"/>
      </font>
    </dxf>
    <dxf>
      <font>
        <b val="0"/>
        <color rgb="FFFFFFFF"/>
      </font>
    </dxf>
    <dxf>
      <font>
        <b val="0"/>
        <color rgb="FFFFFFFF"/>
      </font>
      <border diagonalUp="false" diagonalDown="false">
        <left/>
        <right/>
        <top/>
        <bottom/>
        <diagonal/>
      </border>
    </dxf>
    <dxf>
      <font>
        <b val="0"/>
        <color rgb="FFBFBFBF"/>
      </font>
      <fill>
        <patternFill>
          <bgColor rgb="FFBFBFB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0"/>
        <color rgb="FFBFBFBF"/>
      </font>
      <fill>
        <patternFill>
          <bgColor rgb="FFBFBFBF"/>
        </patternFill>
      </fill>
    </dxf>
    <dxf>
      <font>
        <b val="0"/>
        <color rgb="FFFFFFFF"/>
      </font>
    </dxf>
    <dxf>
      <font>
        <b val="0"/>
        <color rgb="FFBFBFBF"/>
      </font>
      <fill>
        <patternFill>
          <bgColor rgb="FFBFBFB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0"/>
        <color rgb="FFBFBFBF"/>
      </font>
      <fill>
        <patternFill>
          <bgColor rgb="FFBFBFB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0"/>
        <color rgb="FFFFFFFF"/>
      </font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339966"/>
        </patternFill>
      </fill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339966"/>
        </patternFill>
      </fill>
    </dxf>
    <dxf>
      <font>
        <color rgb="FFFF0000"/>
      </font>
    </dxf>
    <dxf>
      <font>
        <b val="1"/>
        <i val="0"/>
        <color rgb="FFFF0000"/>
      </font>
    </dxf>
    <dxf>
      <font>
        <color rgb="FFD9D9D9"/>
      </font>
    </dxf>
    <dxf>
      <font>
        <color rgb="FFFFFFFF"/>
      </font>
    </dxf>
    <dxf>
      <fill>
        <patternFill>
          <bgColor rgb="FFFFC000"/>
        </patternFill>
      </fill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339966"/>
        </patternFill>
      </fill>
    </dxf>
    <dxf>
      <font>
        <b val="1"/>
        <i val="0"/>
      </font>
      <fill>
        <patternFill>
          <bgColor rgb="FF339966"/>
        </patternFill>
      </fill>
    </dxf>
    <dxf>
      <font>
        <b val="1"/>
        <i val="0"/>
      </font>
      <fill>
        <patternFill>
          <bgColor rgb="FF339966"/>
        </patternFill>
      </fill>
    </dxf>
    <dxf>
      <font>
        <b val="1"/>
        <i val="0"/>
      </font>
      <fill>
        <patternFill>
          <bgColor rgb="FF339966"/>
        </patternFill>
      </fill>
    </dxf>
    <dxf>
      <font>
        <b val="1"/>
        <i val="0"/>
      </font>
      <fill>
        <patternFill>
          <bgColor rgb="FF339966"/>
        </patternFill>
      </fill>
    </dxf>
    <dxf>
      <font>
        <b val="0"/>
        <color rgb="FFFFFFFF"/>
      </font>
      <border diagonalUp="false" diagonalDown="false">
        <left/>
        <right style="thin"/>
        <top/>
        <bottom/>
        <diagonal/>
      </border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FF0000"/>
      </font>
    </dxf>
    <dxf>
      <font>
        <b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339966"/>
        </patternFill>
      </fill>
    </dxf>
    <dxf>
      <font>
        <b val="1"/>
        <i val="0"/>
      </font>
      <fill>
        <patternFill>
          <bgColor rgb="FF339966"/>
        </patternFill>
      </fill>
    </dxf>
    <dxf>
      <font>
        <b val="1"/>
        <i val="0"/>
      </font>
      <fill>
        <patternFill>
          <bgColor rgb="FFFFCC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FFCC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FFCC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FFCC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FFCC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FFCC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FFCC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FFCC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color rgb="FFFF0000"/>
      </font>
    </dxf>
    <dxf>
      <font>
        <b val="1"/>
        <i val="0"/>
      </font>
      <fill>
        <patternFill>
          <bgColor rgb="FFFFCC0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1"/>
        <i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  <color rgb="FFFF0000"/>
      </font>
    </dxf>
    <dxf>
      <font>
        <b val="0"/>
        <color rgb="FFFFFFFF"/>
      </font>
    </dxf>
    <dxf>
      <font>
        <b val="1"/>
        <i val="0"/>
        <color rgb="FFFFFFFF"/>
      </font>
      <fill>
        <patternFill>
          <bgColor rgb="FFFF0000"/>
        </patternFill>
      </fill>
    </dxf>
    <dxf>
      <fill>
        <patternFill>
          <bgColor rgb="FFFFCC00"/>
        </patternFill>
      </fill>
    </dxf>
    <dxf>
      <font>
        <b val="0"/>
        <color rgb="FFBFBFBF"/>
      </font>
      <fill>
        <patternFill>
          <bgColor rgb="FFBFBFB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0"/>
        <color rgb="FFBFBFBF"/>
      </font>
      <fill>
        <patternFill>
          <bgColor rgb="FFBFBFBF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ont>
        <b val="1"/>
        <i val="0"/>
        <color rgb="FFFFFFFF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1"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1"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1"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DFDFDF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F2F2F2"/>
      <rgbColor rgb="FFF2F2FF"/>
      <rgbColor rgb="FF660066"/>
      <rgbColor rgb="FFD9D9D9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3FF"/>
      <rgbColor rgb="FFF0F0F0"/>
      <rgbColor rgb="FFFFFF99"/>
      <rgbColor rgb="FF99CCFF"/>
      <rgbColor rgb="FFBFBFBF"/>
      <rgbColor rgb="FFA8A8A8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sharedStrings" Target="sharedStrings.xml"/>
</Relationships>
</file>

<file path=xl/ctrlProps/ctrlProps10.xml><?xml version="1.0" encoding="utf-8"?>
<formControlPr xmlns="http://schemas.microsoft.com/office/spreadsheetml/2009/9/main" objectType="CheckBox" autoLine="false" print="true" fmlaLink="ORÇAMENTO!$AF$9" lockText="1" noThreeD="1"/>
</file>

<file path=xl/ctrlProps/ctrlProps11.xml><?xml version="1.0" encoding="utf-8"?>
<formControlPr xmlns="http://schemas.microsoft.com/office/spreadsheetml/2009/9/main" objectType="CheckBox" autoLine="false" print="true" fmlaLink="ORÇAMENTO!$AF$10" lockText="1" noThreeD="1"/>
</file>

<file path=xl/ctrlProps/ctrlProps12.xml><?xml version="1.0" encoding="utf-8"?>
<formControlPr xmlns="http://schemas.microsoft.com/office/spreadsheetml/2009/9/main" objectType="CheckBox" autoLine="false" print="true" fmlaLink="ORÇAMENTO!$AF$11" lockText="1" noThreeD="1"/>
</file>

<file path=xl/ctrlProps/ctrlProps20.xml><?xml version="1.0" encoding="utf-8"?>
<formControlPr xmlns="http://schemas.microsoft.com/office/spreadsheetml/2009/9/main" objectType="CheckBox" autoLine="false" print="true" fmlaLink="NOVO!$A$9" lockText="1" noThreeD="1"/>
</file>

<file path=xl/ctrlProps/ctrlProps3.xml><?xml version="1.0" encoding="utf-8"?>
<formControlPr xmlns="http://schemas.microsoft.com/office/spreadsheetml/2009/9/main" objectType="CheckBox" autoLine="false" print="true" fmlaLink="NOVO!$K$1" lockText="1" noThreeD="1"/>
</file>

<file path=xl/ctrlProps/ctrlProps4.xml><?xml version="1.0" encoding="utf-8"?>
<formControlPr xmlns="http://schemas.microsoft.com/office/spreadsheetml/2009/9/main" objectType="CheckBox" autoLine="false" print="true" fmlaLink="MENU!$K$2" lockText="1" noThreeD="1"/>
</file>

<file path=xl/ctrlProps/ctrlProps8.xml><?xml version="1.0" encoding="utf-8"?>
<formControlPr xmlns="http://schemas.microsoft.com/office/spreadsheetml/2009/9/main" objectType="CheckBox" autoLine="false" print="true" fmlaLink="NOVO!$AF$7" lockText="1" noThreeD="1"/>
</file>

<file path=xl/ctrlProps/ctrlProps9.xml><?xml version="1.0" encoding="utf-8"?>
<formControlPr xmlns="http://schemas.microsoft.com/office/spreadsheetml/2009/9/main" objectType="CheckBox" autoLine="false" print="true" fmlaLink="ORÇAMENTO!$AF$8" lockText="1" noThreeD="1"/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#MENU!E6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hyperlink" Target="#C&#193;LCULO!A1"/><Relationship Id="rId2" Type="http://schemas.openxmlformats.org/officeDocument/2006/relationships/image" Target="../media/image2.wmf"/><Relationship Id="rId3" Type="http://schemas.openxmlformats.org/officeDocument/2006/relationships/hyperlink" Target="#MENU!E6"/><Relationship Id="rId4" Type="http://schemas.openxmlformats.org/officeDocument/2006/relationships/hyperlink" Target="#OR&#199;AMENTO!M13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hyperlink" Target="#MENU!E6"/><Relationship Id="rId2" Type="http://schemas.openxmlformats.org/officeDocument/2006/relationships/hyperlink" Target="#OR&#199;AMENTO!M13"/><Relationship Id="rId3" Type="http://schemas.openxmlformats.org/officeDocument/2006/relationships/image" Target="../media/image2.wmf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hyperlink" Target="#EVENTOS!D15"/><Relationship Id="rId2" Type="http://schemas.openxmlformats.org/officeDocument/2006/relationships/image" Target="../media/image2.wmf"/><Relationship Id="rId3" Type="http://schemas.openxmlformats.org/officeDocument/2006/relationships/hyperlink" Target="#MENU!E6"/><Relationship Id="rId4" Type="http://schemas.openxmlformats.org/officeDocument/2006/relationships/hyperlink" Target="#CRONO!E7"/><Relationship Id="rId5" Type="http://schemas.openxmlformats.org/officeDocument/2006/relationships/hyperlink" Target="#C&#193;LCULO!Q12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hyperlink" Target="#MENU!E6"/><Relationship Id="rId2" Type="http://schemas.openxmlformats.org/officeDocument/2006/relationships/image" Target="../media/image2.wmf"/><Relationship Id="rId3" Type="http://schemas.openxmlformats.org/officeDocument/2006/relationships/hyperlink" Target="#QCI!H13"/><Relationship Id="rId4" Type="http://schemas.openxmlformats.org/officeDocument/2006/relationships/hyperlink" Target="#OR&#199;AMENTO!T16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hyperlink" Target="#MENU!E6"/><Relationship Id="rId2" Type="http://schemas.openxmlformats.org/officeDocument/2006/relationships/image" Target="../media/image2.wmf"/><Relationship Id="rId3" Type="http://schemas.openxmlformats.org/officeDocument/2006/relationships/hyperlink" Target="#DADOS!E21"/>
</Relationships>
</file>

<file path=xl/drawings/_rels/drawing18.xml.rels><?xml version="1.0" encoding="UTF-8"?>
<Relationships xmlns="http://schemas.openxmlformats.org/package/2006/relationships"><Relationship Id="rId1" Type="http://schemas.openxmlformats.org/officeDocument/2006/relationships/hyperlink" Target="#MENU!E6"/><Relationship Id="rId2" Type="http://schemas.openxmlformats.org/officeDocument/2006/relationships/hyperlink" Target="#C&#193;LCULO!D13"/><Relationship Id="rId3" Type="http://schemas.openxmlformats.org/officeDocument/2006/relationships/hyperlink" Target="#RRE!E13"/><Relationship Id="rId4" Type="http://schemas.openxmlformats.org/officeDocument/2006/relationships/image" Target="../media/image2.wmf"/><Relationship Id="rId5" Type="http://schemas.openxmlformats.org/officeDocument/2006/relationships/hyperlink" Target="#CRONOPLE!G15"/>
</Relationships>
</file>

<file path=xl/drawings/_rels/drawing19.xml.rels><?xml version="1.0" encoding="UTF-8"?>
<Relationships xmlns="http://schemas.openxmlformats.org/package/2006/relationships"><Relationship Id="rId1" Type="http://schemas.openxmlformats.org/officeDocument/2006/relationships/hyperlink" Target="#MENU!E6"/><Relationship Id="rId2" Type="http://schemas.openxmlformats.org/officeDocument/2006/relationships/hyperlink" Target="#CRONO!T14"/><Relationship Id="rId3" Type="http://schemas.openxmlformats.org/officeDocument/2006/relationships/image" Target="../media/image2.wmf"/><Relationship Id="rId4" Type="http://schemas.openxmlformats.org/officeDocument/2006/relationships/hyperlink" Target="#RRE!E13"/><Relationship Id="rId5" Type="http://schemas.openxmlformats.org/officeDocument/2006/relationships/hyperlink" Target="#DADOS!F40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_rels/drawing21.xml.rels><?xml version="1.0" encoding="UTF-8"?>
<Relationships xmlns="http://schemas.openxmlformats.org/package/2006/relationships"><Relationship Id="rId1" Type="http://schemas.openxmlformats.org/officeDocument/2006/relationships/hyperlink" Target="#MENU!E6"/><Relationship Id="rId2" Type="http://schemas.openxmlformats.org/officeDocument/2006/relationships/image" Target="../media/image2.wmf"/><Relationship Id="rId3" Type="http://schemas.openxmlformats.org/officeDocument/2006/relationships/hyperlink" Target="#OF&#205;CIO:OF&#205;CIO.$F:$F"/>
</Relationships>
</file>

<file path=xl/drawings/_rels/drawing22.xml.rels><?xml version="1.0" encoding="UTF-8"?>
<Relationships xmlns="http://schemas.openxmlformats.org/package/2006/relationships"><Relationship Id="rId1" Type="http://schemas.openxmlformats.org/officeDocument/2006/relationships/hyperlink" Target="#DADOS!E46"/><Relationship Id="rId2" Type="http://schemas.openxmlformats.org/officeDocument/2006/relationships/hyperlink" Target="#RRE!E13"/><Relationship Id="rId3" Type="http://schemas.openxmlformats.org/officeDocument/2006/relationships/hyperlink" Target="#MENU!E6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hyperlink" Target="#MENU!E6"/><Relationship Id="rId2" Type="http://schemas.openxmlformats.org/officeDocument/2006/relationships/hyperlink" Target="#BDI!J14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hyperlink" Target="#MENU!E6"/><Relationship Id="rId3" Type="http://schemas.openxmlformats.org/officeDocument/2006/relationships/hyperlink" Target="#OR&#199;AMENTO!M13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hyperlink" Target="#MENU!E6"/><Relationship Id="rId3" Type="http://schemas.openxmlformats.org/officeDocument/2006/relationships/hyperlink" Target="#BDI!J14"/><Relationship Id="rId4" Type="http://schemas.openxmlformats.org/officeDocument/2006/relationships/hyperlink" Target="#C&#193;LCULO!I16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104760</xdr:colOff>
      <xdr:row>0</xdr:row>
      <xdr:rowOff>76320</xdr:rowOff>
    </xdr:from>
    <xdr:to>
      <xdr:col>1</xdr:col>
      <xdr:colOff>102240</xdr:colOff>
      <xdr:row>2</xdr:row>
      <xdr:rowOff>48960</xdr:rowOff>
    </xdr:to>
    <xdr:sp>
      <xdr:nvSpPr>
        <xdr:cNvPr id="0" name="AutoShape 67">
          <a:hlinkClick r:id="rId1"/>
        </xdr:cNvPr>
        <xdr:cNvSpPr/>
      </xdr:nvSpPr>
      <xdr:spPr>
        <a:xfrm>
          <a:off x="104760" y="76320"/>
          <a:ext cx="601200" cy="2966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315720</xdr:colOff>
      <xdr:row>9</xdr:row>
      <xdr:rowOff>0</xdr:rowOff>
    </xdr:from>
    <xdr:to>
      <xdr:col>3</xdr:col>
      <xdr:colOff>1774080</xdr:colOff>
      <xdr:row>9</xdr:row>
      <xdr:rowOff>304200</xdr:rowOff>
    </xdr:to>
    <xdr:sp>
      <xdr:nvSpPr>
        <xdr:cNvPr id="31" name="AutoShape 67"/>
        <xdr:cNvSpPr/>
      </xdr:nvSpPr>
      <xdr:spPr>
        <a:xfrm>
          <a:off x="1452960" y="1590840"/>
          <a:ext cx="1458360" cy="3042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ADICIONAR LINHAS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1866240</xdr:colOff>
      <xdr:row>9</xdr:row>
      <xdr:rowOff>0</xdr:rowOff>
    </xdr:from>
    <xdr:to>
      <xdr:col>3</xdr:col>
      <xdr:colOff>3301560</xdr:colOff>
      <xdr:row>9</xdr:row>
      <xdr:rowOff>304200</xdr:rowOff>
    </xdr:to>
    <xdr:sp>
      <xdr:nvSpPr>
        <xdr:cNvPr id="32" name="AutoShape 67"/>
        <xdr:cNvSpPr/>
      </xdr:nvSpPr>
      <xdr:spPr>
        <a:xfrm>
          <a:off x="3003480" y="1590840"/>
          <a:ext cx="1435320" cy="3042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EXCLUIR LINHAS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95400</xdr:colOff>
      <xdr:row>9</xdr:row>
      <xdr:rowOff>0</xdr:rowOff>
    </xdr:from>
    <xdr:to>
      <xdr:col>5</xdr:col>
      <xdr:colOff>1851480</xdr:colOff>
      <xdr:row>9</xdr:row>
      <xdr:rowOff>304200</xdr:rowOff>
    </xdr:to>
    <xdr:sp>
      <xdr:nvSpPr>
        <xdr:cNvPr id="33" name="AutoShape 67">
          <a:hlinkClick r:id="rId1"/>
        </xdr:cNvPr>
        <xdr:cNvSpPr/>
      </xdr:nvSpPr>
      <xdr:spPr>
        <a:xfrm>
          <a:off x="4797000" y="1590840"/>
          <a:ext cx="1756080" cy="3042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DEFINIR FRENTES DE OBRA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31680</xdr:colOff>
      <xdr:row>1</xdr:row>
      <xdr:rowOff>31680</xdr:rowOff>
    </xdr:from>
    <xdr:to>
      <xdr:col>3</xdr:col>
      <xdr:colOff>1006200</xdr:colOff>
      <xdr:row>2</xdr:row>
      <xdr:rowOff>35280</xdr:rowOff>
    </xdr:to>
    <xdr:pic>
      <xdr:nvPicPr>
        <xdr:cNvPr id="34" name="Picture 2" descr=""/>
        <xdr:cNvPicPr/>
      </xdr:nvPicPr>
      <xdr:blipFill>
        <a:blip r:embed="rId2"/>
        <a:stretch/>
      </xdr:blipFill>
      <xdr:spPr>
        <a:xfrm>
          <a:off x="283320" y="31680"/>
          <a:ext cx="1860120" cy="3844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0</xdr:col>
      <xdr:colOff>95400</xdr:colOff>
      <xdr:row>9</xdr:row>
      <xdr:rowOff>0</xdr:rowOff>
    </xdr:from>
    <xdr:to>
      <xdr:col>2</xdr:col>
      <xdr:colOff>420840</xdr:colOff>
      <xdr:row>9</xdr:row>
      <xdr:rowOff>304200</xdr:rowOff>
    </xdr:to>
    <xdr:sp>
      <xdr:nvSpPr>
        <xdr:cNvPr id="35" name="AutoShape 67">
          <a:hlinkClick r:id="rId3"/>
        </xdr:cNvPr>
        <xdr:cNvSpPr/>
      </xdr:nvSpPr>
      <xdr:spPr>
        <a:xfrm>
          <a:off x="95400" y="1590840"/>
          <a:ext cx="577080" cy="3042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497520</xdr:colOff>
      <xdr:row>9</xdr:row>
      <xdr:rowOff>3960</xdr:rowOff>
    </xdr:from>
    <xdr:to>
      <xdr:col>3</xdr:col>
      <xdr:colOff>229320</xdr:colOff>
      <xdr:row>9</xdr:row>
      <xdr:rowOff>308160</xdr:rowOff>
    </xdr:to>
    <xdr:sp>
      <xdr:nvSpPr>
        <xdr:cNvPr id="36" name="AutoShape 67">
          <a:hlinkClick r:id="rId4"/>
        </xdr:cNvPr>
        <xdr:cNvSpPr/>
      </xdr:nvSpPr>
      <xdr:spPr>
        <a:xfrm>
          <a:off x="749160" y="1594800"/>
          <a:ext cx="617400" cy="3042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PO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152280</xdr:colOff>
      <xdr:row>6</xdr:row>
      <xdr:rowOff>9360</xdr:rowOff>
    </xdr:from>
    <xdr:to>
      <xdr:col>3</xdr:col>
      <xdr:colOff>473400</xdr:colOff>
      <xdr:row>7</xdr:row>
      <xdr:rowOff>123120</xdr:rowOff>
    </xdr:to>
    <xdr:sp>
      <xdr:nvSpPr>
        <xdr:cNvPr id="37" name="AutoShape 67">
          <a:hlinkClick r:id="rId1"/>
        </xdr:cNvPr>
        <xdr:cNvSpPr/>
      </xdr:nvSpPr>
      <xdr:spPr>
        <a:xfrm>
          <a:off x="152280" y="209520"/>
          <a:ext cx="572760" cy="3042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178920</xdr:colOff>
      <xdr:row>11</xdr:row>
      <xdr:rowOff>266760</xdr:rowOff>
    </xdr:from>
    <xdr:to>
      <xdr:col>5</xdr:col>
      <xdr:colOff>2904120</xdr:colOff>
      <xdr:row>11</xdr:row>
      <xdr:rowOff>570960</xdr:rowOff>
    </xdr:to>
    <xdr:sp>
      <xdr:nvSpPr>
        <xdr:cNvPr id="38" name="AutoShape 67"/>
        <xdr:cNvSpPr/>
      </xdr:nvSpPr>
      <xdr:spPr>
        <a:xfrm>
          <a:off x="1920240" y="1305000"/>
          <a:ext cx="2725200" cy="3042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REDEFINIR AGRUPADORES DE EVENTOS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2977560</xdr:colOff>
      <xdr:row>11</xdr:row>
      <xdr:rowOff>266760</xdr:rowOff>
    </xdr:from>
    <xdr:to>
      <xdr:col>6</xdr:col>
      <xdr:colOff>25920</xdr:colOff>
      <xdr:row>11</xdr:row>
      <xdr:rowOff>570960</xdr:rowOff>
    </xdr:to>
    <xdr:sp>
      <xdr:nvSpPr>
        <xdr:cNvPr id="39" name="AutoShape 67"/>
        <xdr:cNvSpPr/>
      </xdr:nvSpPr>
      <xdr:spPr>
        <a:xfrm>
          <a:off x="4718880" y="1305000"/>
          <a:ext cx="1669680" cy="3042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ADICIONAR 8 FRENTES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93240</xdr:colOff>
      <xdr:row>11</xdr:row>
      <xdr:rowOff>266760</xdr:rowOff>
    </xdr:from>
    <xdr:to>
      <xdr:col>7</xdr:col>
      <xdr:colOff>907920</xdr:colOff>
      <xdr:row>11</xdr:row>
      <xdr:rowOff>580320</xdr:rowOff>
    </xdr:to>
    <xdr:sp>
      <xdr:nvSpPr>
        <xdr:cNvPr id="40" name="AutoShape 67"/>
        <xdr:cNvSpPr/>
      </xdr:nvSpPr>
      <xdr:spPr>
        <a:xfrm>
          <a:off x="6455880" y="1305000"/>
          <a:ext cx="1559520" cy="31356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EXCLUIR 8 FRENTES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137520</xdr:colOff>
      <xdr:row>8</xdr:row>
      <xdr:rowOff>13680</xdr:rowOff>
    </xdr:from>
    <xdr:to>
      <xdr:col>3</xdr:col>
      <xdr:colOff>472320</xdr:colOff>
      <xdr:row>9</xdr:row>
      <xdr:rowOff>156960</xdr:rowOff>
    </xdr:to>
    <xdr:sp>
      <xdr:nvSpPr>
        <xdr:cNvPr id="41" name="AutoShape 67">
          <a:hlinkClick r:id="rId2"/>
        </xdr:cNvPr>
        <xdr:cNvSpPr/>
      </xdr:nvSpPr>
      <xdr:spPr>
        <a:xfrm>
          <a:off x="137520" y="566280"/>
          <a:ext cx="586440" cy="30492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PO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5</xdr:row>
      <xdr:rowOff>21240</xdr:rowOff>
    </xdr:from>
    <xdr:to>
      <xdr:col>5</xdr:col>
      <xdr:colOff>974520</xdr:colOff>
      <xdr:row>7</xdr:row>
      <xdr:rowOff>14040</xdr:rowOff>
    </xdr:to>
    <xdr:pic>
      <xdr:nvPicPr>
        <xdr:cNvPr id="42" name="Picture 2" descr=""/>
        <xdr:cNvPicPr/>
      </xdr:nvPicPr>
      <xdr:blipFill>
        <a:blip r:embed="rId3"/>
        <a:stretch/>
      </xdr:blipFill>
      <xdr:spPr>
        <a:xfrm>
          <a:off x="855360" y="21240"/>
          <a:ext cx="1860480" cy="383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137520</xdr:colOff>
      <xdr:row>10</xdr:row>
      <xdr:rowOff>66600</xdr:rowOff>
    </xdr:from>
    <xdr:to>
      <xdr:col>3</xdr:col>
      <xdr:colOff>472320</xdr:colOff>
      <xdr:row>11</xdr:row>
      <xdr:rowOff>212040</xdr:rowOff>
    </xdr:to>
    <xdr:sp>
      <xdr:nvSpPr>
        <xdr:cNvPr id="43" name="AutoShape 67"/>
        <xdr:cNvSpPr/>
      </xdr:nvSpPr>
      <xdr:spPr>
        <a:xfrm>
          <a:off x="137520" y="942840"/>
          <a:ext cx="586440" cy="3074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CRONO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138960</xdr:colOff>
      <xdr:row>10</xdr:row>
      <xdr:rowOff>0</xdr:rowOff>
    </xdr:from>
    <xdr:to>
      <xdr:col>2</xdr:col>
      <xdr:colOff>825840</xdr:colOff>
      <xdr:row>10</xdr:row>
      <xdr:rowOff>313560</xdr:rowOff>
    </xdr:to>
    <xdr:sp>
      <xdr:nvSpPr>
        <xdr:cNvPr id="44" name="AutoShape 67">
          <a:hlinkClick r:id="rId1"/>
        </xdr:cNvPr>
        <xdr:cNvSpPr/>
      </xdr:nvSpPr>
      <xdr:spPr>
        <a:xfrm>
          <a:off x="965160" y="1647720"/>
          <a:ext cx="686880" cy="31356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EVENTOS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137160</xdr:colOff>
      <xdr:row>10</xdr:row>
      <xdr:rowOff>409680</xdr:rowOff>
    </xdr:from>
    <xdr:to>
      <xdr:col>2</xdr:col>
      <xdr:colOff>1603080</xdr:colOff>
      <xdr:row>10</xdr:row>
      <xdr:rowOff>713880</xdr:rowOff>
    </xdr:to>
    <xdr:sp>
      <xdr:nvSpPr>
        <xdr:cNvPr id="45" name="AutoShape 67"/>
        <xdr:cNvSpPr/>
      </xdr:nvSpPr>
      <xdr:spPr>
        <a:xfrm>
          <a:off x="963360" y="2057400"/>
          <a:ext cx="1465920" cy="3042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ATUALIZAR LINHAS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0</xdr:colOff>
      <xdr:row>1</xdr:row>
      <xdr:rowOff>21240</xdr:rowOff>
    </xdr:from>
    <xdr:to>
      <xdr:col>2</xdr:col>
      <xdr:colOff>1281600</xdr:colOff>
      <xdr:row>2</xdr:row>
      <xdr:rowOff>24840</xdr:rowOff>
    </xdr:to>
    <xdr:pic>
      <xdr:nvPicPr>
        <xdr:cNvPr id="46" name="Picture 2" descr=""/>
        <xdr:cNvPicPr/>
      </xdr:nvPicPr>
      <xdr:blipFill>
        <a:blip r:embed="rId2"/>
        <a:stretch/>
      </xdr:blipFill>
      <xdr:spPr>
        <a:xfrm>
          <a:off x="251640" y="21240"/>
          <a:ext cx="1856160" cy="3844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</xdr:col>
      <xdr:colOff>19080</xdr:colOff>
      <xdr:row>10</xdr:row>
      <xdr:rowOff>9360</xdr:rowOff>
    </xdr:from>
    <xdr:to>
      <xdr:col>2</xdr:col>
      <xdr:colOff>45000</xdr:colOff>
      <xdr:row>10</xdr:row>
      <xdr:rowOff>313560</xdr:rowOff>
    </xdr:to>
    <xdr:sp>
      <xdr:nvSpPr>
        <xdr:cNvPr id="47" name="AutoShape 67">
          <a:hlinkClick r:id="rId3"/>
        </xdr:cNvPr>
        <xdr:cNvSpPr/>
      </xdr:nvSpPr>
      <xdr:spPr>
        <a:xfrm>
          <a:off x="270720" y="1657080"/>
          <a:ext cx="600480" cy="3042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1672560</xdr:colOff>
      <xdr:row>10</xdr:row>
      <xdr:rowOff>0</xdr:rowOff>
    </xdr:from>
    <xdr:to>
      <xdr:col>2</xdr:col>
      <xdr:colOff>2359440</xdr:colOff>
      <xdr:row>10</xdr:row>
      <xdr:rowOff>313560</xdr:rowOff>
    </xdr:to>
    <xdr:sp>
      <xdr:nvSpPr>
        <xdr:cNvPr id="48" name="AutoShape 67">
          <a:hlinkClick r:id="rId4"/>
        </xdr:cNvPr>
        <xdr:cNvSpPr/>
      </xdr:nvSpPr>
      <xdr:spPr>
        <a:xfrm>
          <a:off x="2498760" y="1647720"/>
          <a:ext cx="686880" cy="31356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CFF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901080</xdr:colOff>
      <xdr:row>10</xdr:row>
      <xdr:rowOff>0</xdr:rowOff>
    </xdr:from>
    <xdr:to>
      <xdr:col>2</xdr:col>
      <xdr:colOff>1587960</xdr:colOff>
      <xdr:row>10</xdr:row>
      <xdr:rowOff>313560</xdr:rowOff>
    </xdr:to>
    <xdr:sp>
      <xdr:nvSpPr>
        <xdr:cNvPr id="49" name="AutoShape 67">
          <a:hlinkClick r:id="rId5"/>
        </xdr:cNvPr>
        <xdr:cNvSpPr/>
      </xdr:nvSpPr>
      <xdr:spPr>
        <a:xfrm>
          <a:off x="1727280" y="1647720"/>
          <a:ext cx="686880" cy="31356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PLQ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7</xdr:col>
      <xdr:colOff>142920</xdr:colOff>
      <xdr:row>3</xdr:row>
      <xdr:rowOff>85680</xdr:rowOff>
    </xdr:from>
    <xdr:to>
      <xdr:col>7</xdr:col>
      <xdr:colOff>729000</xdr:colOff>
      <xdr:row>4</xdr:row>
      <xdr:rowOff>189720</xdr:rowOff>
    </xdr:to>
    <xdr:sp>
      <xdr:nvSpPr>
        <xdr:cNvPr id="50" name="AutoShape 67">
          <a:hlinkClick r:id="rId1"/>
        </xdr:cNvPr>
        <xdr:cNvSpPr/>
      </xdr:nvSpPr>
      <xdr:spPr>
        <a:xfrm>
          <a:off x="394560" y="85680"/>
          <a:ext cx="586080" cy="29448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20</xdr:col>
      <xdr:colOff>66600</xdr:colOff>
      <xdr:row>8</xdr:row>
      <xdr:rowOff>93240</xdr:rowOff>
    </xdr:from>
    <xdr:to>
      <xdr:col>22</xdr:col>
      <xdr:colOff>697320</xdr:colOff>
      <xdr:row>10</xdr:row>
      <xdr:rowOff>75240</xdr:rowOff>
    </xdr:to>
    <xdr:sp>
      <xdr:nvSpPr>
        <xdr:cNvPr id="51" name="CRONO.b.preenchEventos"/>
        <xdr:cNvSpPr/>
      </xdr:nvSpPr>
      <xdr:spPr>
        <a:xfrm>
          <a:off x="5624640" y="960120"/>
          <a:ext cx="2181600" cy="3056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PREENCHIMENTO POR EVENTOS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8</xdr:col>
      <xdr:colOff>14400</xdr:colOff>
      <xdr:row>8</xdr:row>
      <xdr:rowOff>93240</xdr:rowOff>
    </xdr:from>
    <xdr:to>
      <xdr:col>10</xdr:col>
      <xdr:colOff>16560</xdr:colOff>
      <xdr:row>10</xdr:row>
      <xdr:rowOff>75240</xdr:rowOff>
    </xdr:to>
    <xdr:sp>
      <xdr:nvSpPr>
        <xdr:cNvPr id="52" name="AutoShape 67"/>
        <xdr:cNvSpPr/>
      </xdr:nvSpPr>
      <xdr:spPr>
        <a:xfrm>
          <a:off x="1151640" y="960120"/>
          <a:ext cx="1321560" cy="30564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ATUALIZAR LINHAS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25</xdr:col>
      <xdr:colOff>223200</xdr:colOff>
      <xdr:row>8</xdr:row>
      <xdr:rowOff>93240</xdr:rowOff>
    </xdr:from>
    <xdr:to>
      <xdr:col>27</xdr:col>
      <xdr:colOff>483480</xdr:colOff>
      <xdr:row>10</xdr:row>
      <xdr:rowOff>75240</xdr:rowOff>
    </xdr:to>
    <xdr:sp>
      <xdr:nvSpPr>
        <xdr:cNvPr id="53" name="AutoShape 67"/>
        <xdr:cNvSpPr/>
      </xdr:nvSpPr>
      <xdr:spPr>
        <a:xfrm>
          <a:off x="9658080" y="960120"/>
          <a:ext cx="1810800" cy="30564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ADICIONAR 12 PARCELAS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27</xdr:col>
      <xdr:colOff>604440</xdr:colOff>
      <xdr:row>8</xdr:row>
      <xdr:rowOff>93240</xdr:rowOff>
    </xdr:from>
    <xdr:to>
      <xdr:col>29</xdr:col>
      <xdr:colOff>684720</xdr:colOff>
      <xdr:row>10</xdr:row>
      <xdr:rowOff>75240</xdr:rowOff>
    </xdr:to>
    <xdr:sp>
      <xdr:nvSpPr>
        <xdr:cNvPr id="54" name="AutoShape 67"/>
        <xdr:cNvSpPr/>
      </xdr:nvSpPr>
      <xdr:spPr>
        <a:xfrm>
          <a:off x="11589840" y="960120"/>
          <a:ext cx="1631160" cy="30564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EXCLUIR 12 PARCELAS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8</xdr:col>
      <xdr:colOff>0</xdr:colOff>
      <xdr:row>3</xdr:row>
      <xdr:rowOff>21240</xdr:rowOff>
    </xdr:from>
    <xdr:to>
      <xdr:col>10</xdr:col>
      <xdr:colOff>371520</xdr:colOff>
      <xdr:row>5</xdr:row>
      <xdr:rowOff>24840</xdr:rowOff>
    </xdr:to>
    <xdr:pic>
      <xdr:nvPicPr>
        <xdr:cNvPr id="55" name="Picture 2" descr=""/>
        <xdr:cNvPicPr/>
      </xdr:nvPicPr>
      <xdr:blipFill>
        <a:blip r:embed="rId2"/>
        <a:stretch/>
      </xdr:blipFill>
      <xdr:spPr>
        <a:xfrm>
          <a:off x="1137240" y="21240"/>
          <a:ext cx="1690920" cy="3844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23</xdr:col>
      <xdr:colOff>714240</xdr:colOff>
      <xdr:row>8</xdr:row>
      <xdr:rowOff>93240</xdr:rowOff>
    </xdr:from>
    <xdr:to>
      <xdr:col>24</xdr:col>
      <xdr:colOff>567000</xdr:colOff>
      <xdr:row>10</xdr:row>
      <xdr:rowOff>64080</xdr:rowOff>
    </xdr:to>
    <xdr:sp>
      <xdr:nvSpPr>
        <xdr:cNvPr id="56" name="AutoShape 67">
          <a:hlinkClick r:id="rId3"/>
        </xdr:cNvPr>
        <xdr:cNvSpPr/>
      </xdr:nvSpPr>
      <xdr:spPr>
        <a:xfrm>
          <a:off x="8598240" y="960120"/>
          <a:ext cx="628200" cy="29448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QCI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23</xdr:col>
      <xdr:colOff>47520</xdr:colOff>
      <xdr:row>8</xdr:row>
      <xdr:rowOff>93240</xdr:rowOff>
    </xdr:from>
    <xdr:to>
      <xdr:col>23</xdr:col>
      <xdr:colOff>633600</xdr:colOff>
      <xdr:row>10</xdr:row>
      <xdr:rowOff>64080</xdr:rowOff>
    </xdr:to>
    <xdr:sp>
      <xdr:nvSpPr>
        <xdr:cNvPr id="57" name="AutoShape 67">
          <a:hlinkClick r:id="rId4"/>
        </xdr:cNvPr>
        <xdr:cNvSpPr/>
      </xdr:nvSpPr>
      <xdr:spPr>
        <a:xfrm>
          <a:off x="7931520" y="960120"/>
          <a:ext cx="586080" cy="29448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PO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13</xdr:col>
      <xdr:colOff>116280</xdr:colOff>
      <xdr:row>7</xdr:row>
      <xdr:rowOff>141120</xdr:rowOff>
    </xdr:from>
    <xdr:to>
      <xdr:col>15</xdr:col>
      <xdr:colOff>2160</xdr:colOff>
      <xdr:row>10</xdr:row>
      <xdr:rowOff>147600</xdr:rowOff>
    </xdr:to>
    <xdr:sp>
      <xdr:nvSpPr>
        <xdr:cNvPr id="58" name="AutoShape 317"/>
        <xdr:cNvSpPr/>
      </xdr:nvSpPr>
      <xdr:spPr>
        <a:xfrm>
          <a:off x="12679920" y="1388880"/>
          <a:ext cx="2221200" cy="492120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2680" bIns="0" anchor="t">
          <a:noAutofit/>
        </a:bodyPr>
        <a:p>
          <a:pPr>
            <a:lnSpc>
              <a:spcPct val="100000"/>
            </a:lnSpc>
          </a:pPr>
          <a:r>
            <a:rPr b="1" lang="pt-BR" sz="1000" spc="-1" strike="noStrike">
              <a:solidFill>
                <a:srgbClr val="000000"/>
              </a:solidFill>
              <a:latin typeface="Arial"/>
            </a:rPr>
            <a:t>Para inclusão de metas de outras Plan. Mult., digite a descrição e valores manualmente ao lado.</a:t>
          </a:r>
          <a:endParaRPr b="0" lang="pt-BR" sz="10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38160</xdr:colOff>
      <xdr:row>8</xdr:row>
      <xdr:rowOff>9360</xdr:rowOff>
    </xdr:from>
    <xdr:to>
      <xdr:col>4</xdr:col>
      <xdr:colOff>57600</xdr:colOff>
      <xdr:row>9</xdr:row>
      <xdr:rowOff>161640</xdr:rowOff>
    </xdr:to>
    <xdr:sp>
      <xdr:nvSpPr>
        <xdr:cNvPr id="59" name="AutoShape 67">
          <a:hlinkClick r:id="rId1"/>
        </xdr:cNvPr>
        <xdr:cNvSpPr/>
      </xdr:nvSpPr>
      <xdr:spPr>
        <a:xfrm>
          <a:off x="289800" y="1419120"/>
          <a:ext cx="482040" cy="31428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710280</xdr:colOff>
      <xdr:row>8</xdr:row>
      <xdr:rowOff>11520</xdr:rowOff>
    </xdr:from>
    <xdr:to>
      <xdr:col>5</xdr:col>
      <xdr:colOff>721800</xdr:colOff>
      <xdr:row>10</xdr:row>
      <xdr:rowOff>9000</xdr:rowOff>
    </xdr:to>
    <xdr:sp>
      <xdr:nvSpPr>
        <xdr:cNvPr id="60" name="AutoShape 67"/>
        <xdr:cNvSpPr/>
      </xdr:nvSpPr>
      <xdr:spPr>
        <a:xfrm>
          <a:off x="1424520" y="1421280"/>
          <a:ext cx="1320480" cy="32112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ADICIONAR LINHAS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777240</xdr:colOff>
      <xdr:row>8</xdr:row>
      <xdr:rowOff>9360</xdr:rowOff>
    </xdr:from>
    <xdr:to>
      <xdr:col>5</xdr:col>
      <xdr:colOff>1892520</xdr:colOff>
      <xdr:row>9</xdr:row>
      <xdr:rowOff>161640</xdr:rowOff>
    </xdr:to>
    <xdr:sp>
      <xdr:nvSpPr>
        <xdr:cNvPr id="61" name="AutoShape 67"/>
        <xdr:cNvSpPr/>
      </xdr:nvSpPr>
      <xdr:spPr>
        <a:xfrm>
          <a:off x="2800440" y="1419120"/>
          <a:ext cx="1115280" cy="31428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EXCLUIR LINHAS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904320</xdr:colOff>
      <xdr:row>8</xdr:row>
      <xdr:rowOff>9360</xdr:rowOff>
    </xdr:from>
    <xdr:to>
      <xdr:col>9</xdr:col>
      <xdr:colOff>485280</xdr:colOff>
      <xdr:row>10</xdr:row>
      <xdr:rowOff>2160</xdr:rowOff>
    </xdr:to>
    <xdr:sp>
      <xdr:nvSpPr>
        <xdr:cNvPr id="62" name="AutoShape 67"/>
        <xdr:cNvSpPr/>
      </xdr:nvSpPr>
      <xdr:spPr>
        <a:xfrm>
          <a:off x="7448040" y="1419120"/>
          <a:ext cx="1564200" cy="31644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CP QCI = CP CONTRATO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0</xdr:colOff>
      <xdr:row>0</xdr:row>
      <xdr:rowOff>21240</xdr:rowOff>
    </xdr:from>
    <xdr:to>
      <xdr:col>5</xdr:col>
      <xdr:colOff>127800</xdr:colOff>
      <xdr:row>1</xdr:row>
      <xdr:rowOff>24840</xdr:rowOff>
    </xdr:to>
    <xdr:pic>
      <xdr:nvPicPr>
        <xdr:cNvPr id="63" name="Picture 2" descr=""/>
        <xdr:cNvPicPr/>
      </xdr:nvPicPr>
      <xdr:blipFill>
        <a:blip r:embed="rId2"/>
        <a:stretch/>
      </xdr:blipFill>
      <xdr:spPr>
        <a:xfrm>
          <a:off x="251640" y="21240"/>
          <a:ext cx="1899360" cy="3844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4</xdr:col>
      <xdr:colOff>104760</xdr:colOff>
      <xdr:row>8</xdr:row>
      <xdr:rowOff>9360</xdr:rowOff>
    </xdr:from>
    <xdr:to>
      <xdr:col>4</xdr:col>
      <xdr:colOff>644040</xdr:colOff>
      <xdr:row>9</xdr:row>
      <xdr:rowOff>161640</xdr:rowOff>
    </xdr:to>
    <xdr:sp>
      <xdr:nvSpPr>
        <xdr:cNvPr id="64" name="AutoShape 67">
          <a:hlinkClick r:id="rId3"/>
        </xdr:cNvPr>
        <xdr:cNvSpPr/>
      </xdr:nvSpPr>
      <xdr:spPr>
        <a:xfrm>
          <a:off x="819000" y="1419120"/>
          <a:ext cx="539280" cy="31428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DADOS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42480</xdr:rowOff>
    </xdr:from>
    <xdr:to>
      <xdr:col>2</xdr:col>
      <xdr:colOff>27720</xdr:colOff>
      <xdr:row>9</xdr:row>
      <xdr:rowOff>3960</xdr:rowOff>
    </xdr:to>
    <xdr:sp>
      <xdr:nvSpPr>
        <xdr:cNvPr id="65" name="AutoShape 67">
          <a:hlinkClick r:id="rId1"/>
        </xdr:cNvPr>
        <xdr:cNvSpPr/>
      </xdr:nvSpPr>
      <xdr:spPr>
        <a:xfrm>
          <a:off x="251640" y="928440"/>
          <a:ext cx="602280" cy="32328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0</xdr:colOff>
      <xdr:row>9</xdr:row>
      <xdr:rowOff>19080</xdr:rowOff>
    </xdr:from>
    <xdr:to>
      <xdr:col>2</xdr:col>
      <xdr:colOff>30960</xdr:colOff>
      <xdr:row>10</xdr:row>
      <xdr:rowOff>159120</xdr:rowOff>
    </xdr:to>
    <xdr:sp>
      <xdr:nvSpPr>
        <xdr:cNvPr id="66" name="AutoShape 67">
          <a:hlinkClick r:id="rId2"/>
        </xdr:cNvPr>
        <xdr:cNvSpPr/>
      </xdr:nvSpPr>
      <xdr:spPr>
        <a:xfrm>
          <a:off x="251640" y="1266840"/>
          <a:ext cx="605520" cy="3020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PLQ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0</xdr:colOff>
      <xdr:row>10</xdr:row>
      <xdr:rowOff>500760</xdr:rowOff>
    </xdr:from>
    <xdr:to>
      <xdr:col>2</xdr:col>
      <xdr:colOff>30960</xdr:colOff>
      <xdr:row>10</xdr:row>
      <xdr:rowOff>802800</xdr:rowOff>
    </xdr:to>
    <xdr:sp>
      <xdr:nvSpPr>
        <xdr:cNvPr id="67" name="AutoShape 67">
          <a:hlinkClick r:id="rId3"/>
        </xdr:cNvPr>
        <xdr:cNvSpPr/>
      </xdr:nvSpPr>
      <xdr:spPr>
        <a:xfrm>
          <a:off x="251640" y="1910520"/>
          <a:ext cx="605520" cy="3020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RRE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0</xdr:colOff>
      <xdr:row>2</xdr:row>
      <xdr:rowOff>21240</xdr:rowOff>
    </xdr:from>
    <xdr:to>
      <xdr:col>3</xdr:col>
      <xdr:colOff>149040</xdr:colOff>
      <xdr:row>4</xdr:row>
      <xdr:rowOff>3600</xdr:rowOff>
    </xdr:to>
    <xdr:pic>
      <xdr:nvPicPr>
        <xdr:cNvPr id="68" name="Picture 2" descr=""/>
        <xdr:cNvPicPr/>
      </xdr:nvPicPr>
      <xdr:blipFill>
        <a:blip r:embed="rId4"/>
        <a:stretch/>
      </xdr:blipFill>
      <xdr:spPr>
        <a:xfrm>
          <a:off x="251640" y="21240"/>
          <a:ext cx="1921680" cy="3823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</xdr:col>
      <xdr:colOff>0</xdr:colOff>
      <xdr:row>10</xdr:row>
      <xdr:rowOff>181080</xdr:rowOff>
    </xdr:from>
    <xdr:to>
      <xdr:col>2</xdr:col>
      <xdr:colOff>30960</xdr:colOff>
      <xdr:row>10</xdr:row>
      <xdr:rowOff>483120</xdr:rowOff>
    </xdr:to>
    <xdr:sp>
      <xdr:nvSpPr>
        <xdr:cNvPr id="69" name="AutoShape 67">
          <a:hlinkClick r:id="rId5"/>
        </xdr:cNvPr>
        <xdr:cNvSpPr/>
      </xdr:nvSpPr>
      <xdr:spPr>
        <a:xfrm>
          <a:off x="251640" y="1590840"/>
          <a:ext cx="605520" cy="3020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CRONO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1275480</xdr:colOff>
      <xdr:row>8</xdr:row>
      <xdr:rowOff>57240</xdr:rowOff>
    </xdr:from>
    <xdr:to>
      <xdr:col>12</xdr:col>
      <xdr:colOff>444240</xdr:colOff>
      <xdr:row>10</xdr:row>
      <xdr:rowOff>84960</xdr:rowOff>
    </xdr:to>
    <xdr:sp>
      <xdr:nvSpPr>
        <xdr:cNvPr id="70" name="TextBoxArred"/>
        <xdr:cNvSpPr/>
      </xdr:nvSpPr>
      <xdr:spPr>
        <a:xfrm flipH="1">
          <a:off x="9268920" y="1314720"/>
          <a:ext cx="2923560" cy="351360"/>
        </a:xfrm>
        <a:prstGeom prst="rect">
          <a:avLst/>
        </a:prstGeom>
        <a:noFill/>
        <a:ln w="64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2680" bIns="0" anchor="t">
          <a:noAutofit/>
        </a:bodyPr>
        <a:p>
          <a:pPr algn="ctr">
            <a:lnSpc>
              <a:spcPct val="100000"/>
            </a:lnSpc>
          </a:pPr>
          <a:r>
            <a:rPr b="0" lang="pt-BR" sz="1000" spc="-1" strike="noStrike">
              <a:solidFill>
                <a:srgbClr val="000000"/>
              </a:solidFill>
              <a:latin typeface="Arial"/>
            </a:rPr>
            <a:t>Considerar valores arredondados com (0,00)</a:t>
          </a:r>
          <a:endParaRPr b="0" lang="pt-BR" sz="10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95400</xdr:colOff>
      <xdr:row>8</xdr:row>
      <xdr:rowOff>114480</xdr:rowOff>
    </xdr:from>
    <xdr:to>
      <xdr:col>3</xdr:col>
      <xdr:colOff>681480</xdr:colOff>
      <xdr:row>10</xdr:row>
      <xdr:rowOff>104400</xdr:rowOff>
    </xdr:to>
    <xdr:sp>
      <xdr:nvSpPr>
        <xdr:cNvPr id="71" name="AutoShape 67">
          <a:hlinkClick r:id="rId1"/>
        </xdr:cNvPr>
        <xdr:cNvSpPr/>
      </xdr:nvSpPr>
      <xdr:spPr>
        <a:xfrm>
          <a:off x="347040" y="1371960"/>
          <a:ext cx="586080" cy="31356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2213640</xdr:colOff>
      <xdr:row>8</xdr:row>
      <xdr:rowOff>112320</xdr:rowOff>
    </xdr:from>
    <xdr:to>
      <xdr:col>4</xdr:col>
      <xdr:colOff>4095000</xdr:colOff>
      <xdr:row>10</xdr:row>
      <xdr:rowOff>94680</xdr:rowOff>
    </xdr:to>
    <xdr:sp>
      <xdr:nvSpPr>
        <xdr:cNvPr id="72" name="ShapeModoBM"/>
        <xdr:cNvSpPr/>
      </xdr:nvSpPr>
      <xdr:spPr>
        <a:xfrm>
          <a:off x="3210120" y="1369800"/>
          <a:ext cx="1881360" cy="3060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Habilitar Modo CAIXA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27</xdr:col>
      <xdr:colOff>0</xdr:colOff>
      <xdr:row>6</xdr:row>
      <xdr:rowOff>42480</xdr:rowOff>
    </xdr:from>
    <xdr:to>
      <xdr:col>27</xdr:col>
      <xdr:colOff>360</xdr:colOff>
      <xdr:row>9</xdr:row>
      <xdr:rowOff>102240</xdr:rowOff>
    </xdr:to>
    <xdr:sp>
      <xdr:nvSpPr>
        <xdr:cNvPr id="73" name="ShapeCopiarMed"/>
        <xdr:cNvSpPr/>
      </xdr:nvSpPr>
      <xdr:spPr>
        <a:xfrm>
          <a:off x="16285680" y="975960"/>
          <a:ext cx="360" cy="545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Copiar da Medição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806400</xdr:colOff>
      <xdr:row>8</xdr:row>
      <xdr:rowOff>116280</xdr:rowOff>
    </xdr:from>
    <xdr:to>
      <xdr:col>4</xdr:col>
      <xdr:colOff>1392480</xdr:colOff>
      <xdr:row>10</xdr:row>
      <xdr:rowOff>100800</xdr:rowOff>
    </xdr:to>
    <xdr:sp>
      <xdr:nvSpPr>
        <xdr:cNvPr id="74" name="AutoShape 67">
          <a:hlinkClick r:id="rId2"/>
        </xdr:cNvPr>
        <xdr:cNvSpPr/>
      </xdr:nvSpPr>
      <xdr:spPr>
        <a:xfrm>
          <a:off x="1802880" y="1373760"/>
          <a:ext cx="586080" cy="30816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CFF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0</xdr:colOff>
      <xdr:row>0</xdr:row>
      <xdr:rowOff>21240</xdr:rowOff>
    </xdr:from>
    <xdr:to>
      <xdr:col>4</xdr:col>
      <xdr:colOff>1101600</xdr:colOff>
      <xdr:row>2</xdr:row>
      <xdr:rowOff>14040</xdr:rowOff>
    </xdr:to>
    <xdr:pic>
      <xdr:nvPicPr>
        <xdr:cNvPr id="75" name="Picture 2" descr=""/>
        <xdr:cNvPicPr/>
      </xdr:nvPicPr>
      <xdr:blipFill>
        <a:blip r:embed="rId3"/>
        <a:stretch/>
      </xdr:blipFill>
      <xdr:spPr>
        <a:xfrm>
          <a:off x="251640" y="21240"/>
          <a:ext cx="1846440" cy="383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4</xdr:col>
      <xdr:colOff>1512360</xdr:colOff>
      <xdr:row>8</xdr:row>
      <xdr:rowOff>116280</xdr:rowOff>
    </xdr:from>
    <xdr:to>
      <xdr:col>4</xdr:col>
      <xdr:colOff>2098440</xdr:colOff>
      <xdr:row>10</xdr:row>
      <xdr:rowOff>100800</xdr:rowOff>
    </xdr:to>
    <xdr:sp>
      <xdr:nvSpPr>
        <xdr:cNvPr id="76" name="AutoShape 67">
          <a:hlinkClick r:id="rId4"/>
        </xdr:cNvPr>
        <xdr:cNvSpPr/>
      </xdr:nvSpPr>
      <xdr:spPr>
        <a:xfrm>
          <a:off x="2508840" y="1373760"/>
          <a:ext cx="586080" cy="30816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RRE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104760</xdr:colOff>
      <xdr:row>8</xdr:row>
      <xdr:rowOff>114480</xdr:rowOff>
    </xdr:from>
    <xdr:to>
      <xdr:col>4</xdr:col>
      <xdr:colOff>690840</xdr:colOff>
      <xdr:row>10</xdr:row>
      <xdr:rowOff>104400</xdr:rowOff>
    </xdr:to>
    <xdr:sp>
      <xdr:nvSpPr>
        <xdr:cNvPr id="77" name="AutoShape 67">
          <a:hlinkClick r:id="rId5"/>
        </xdr:cNvPr>
        <xdr:cNvSpPr/>
      </xdr:nvSpPr>
      <xdr:spPr>
        <a:xfrm>
          <a:off x="1101240" y="1371960"/>
          <a:ext cx="586080" cy="31356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DADOS</a:t>
          </a:r>
          <a:endParaRPr b="0" lang="pt-BR" sz="1100" spc="-1" strike="noStrike">
            <a:latin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9088560</xdr:colOff>
          <xdr:row>6</xdr:row>
          <xdr:rowOff>37800</xdr:rowOff>
        </xdr:from>
        <xdr:to>
          <xdr:col>4</xdr:col>
          <xdr:colOff>186480</xdr:colOff>
          <xdr:row>7</xdr:row>
          <xdr:rowOff>75960</xdr:rowOff>
        </xdr:to>
        <xdr:sp>
          <xdr:nvSpPr>
            <xdr:cNvPr id="1001" name="CaixaArredMed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</xdr:row>
      <xdr:rowOff>0</xdr:rowOff>
    </xdr:from>
    <xdr:to>
      <xdr:col>2</xdr:col>
      <xdr:colOff>2087280</xdr:colOff>
      <xdr:row>2</xdr:row>
      <xdr:rowOff>258480</xdr:rowOff>
    </xdr:to>
    <xdr:pic>
      <xdr:nvPicPr>
        <xdr:cNvPr id="1" name="Imagem 23" descr=""/>
        <xdr:cNvPicPr/>
      </xdr:nvPicPr>
      <xdr:blipFill>
        <a:blip r:embed="rId1"/>
        <a:stretch/>
      </xdr:blipFill>
      <xdr:spPr>
        <a:xfrm>
          <a:off x="201240" y="190440"/>
          <a:ext cx="2479680" cy="5443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9</xdr:col>
      <xdr:colOff>66600</xdr:colOff>
      <xdr:row>6</xdr:row>
      <xdr:rowOff>159840</xdr:rowOff>
    </xdr:from>
    <xdr:to>
      <xdr:col>9</xdr:col>
      <xdr:colOff>1201320</xdr:colOff>
      <xdr:row>9</xdr:row>
      <xdr:rowOff>37080</xdr:rowOff>
    </xdr:to>
    <xdr:sp>
      <xdr:nvSpPr>
        <xdr:cNvPr id="2" name="Bot.ImprimirProposta"/>
        <xdr:cNvSpPr/>
      </xdr:nvSpPr>
      <xdr:spPr>
        <a:xfrm>
          <a:off x="10194120" y="1607760"/>
          <a:ext cx="1134720" cy="47736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IMPRIMIR DOCUMENTOS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9</xdr:col>
      <xdr:colOff>66600</xdr:colOff>
      <xdr:row>14</xdr:row>
      <xdr:rowOff>160200</xdr:rowOff>
    </xdr:from>
    <xdr:to>
      <xdr:col>9</xdr:col>
      <xdr:colOff>1201320</xdr:colOff>
      <xdr:row>17</xdr:row>
      <xdr:rowOff>37440</xdr:rowOff>
    </xdr:to>
    <xdr:sp>
      <xdr:nvSpPr>
        <xdr:cNvPr id="3" name="Bot.ImprimirLicitacao"/>
        <xdr:cNvSpPr/>
      </xdr:nvSpPr>
      <xdr:spPr>
        <a:xfrm>
          <a:off x="10194120" y="3236760"/>
          <a:ext cx="1134720" cy="47736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IMPRIMIR DOCUMENTOS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9</xdr:col>
      <xdr:colOff>57240</xdr:colOff>
      <xdr:row>18</xdr:row>
      <xdr:rowOff>142920</xdr:rowOff>
    </xdr:from>
    <xdr:to>
      <xdr:col>9</xdr:col>
      <xdr:colOff>1191960</xdr:colOff>
      <xdr:row>21</xdr:row>
      <xdr:rowOff>28080</xdr:rowOff>
    </xdr:to>
    <xdr:sp>
      <xdr:nvSpPr>
        <xdr:cNvPr id="4" name="Bot.ImprimirAcompanhamento"/>
        <xdr:cNvSpPr/>
      </xdr:nvSpPr>
      <xdr:spPr>
        <a:xfrm>
          <a:off x="10184760" y="4086360"/>
          <a:ext cx="1134720" cy="48528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IMPRIMIR DOCUMENTOS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9</xdr:col>
      <xdr:colOff>66600</xdr:colOff>
      <xdr:row>2</xdr:row>
      <xdr:rowOff>0</xdr:rowOff>
    </xdr:from>
    <xdr:to>
      <xdr:col>11</xdr:col>
      <xdr:colOff>218880</xdr:colOff>
      <xdr:row>5</xdr:row>
      <xdr:rowOff>65880</xdr:rowOff>
    </xdr:to>
    <xdr:sp>
      <xdr:nvSpPr>
        <xdr:cNvPr id="5" name="Bot.Importar"/>
        <xdr:cNvSpPr/>
      </xdr:nvSpPr>
      <xdr:spPr>
        <a:xfrm>
          <a:off x="10194120" y="476280"/>
          <a:ext cx="1703160" cy="77076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IMPORTAR DE OUTRA PLANILHA MÚLTIPLA</a:t>
          </a:r>
          <a:endParaRPr b="0" lang="pt-BR" sz="11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(A PARTIR DA VERSÃO 3)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11</xdr:col>
      <xdr:colOff>371520</xdr:colOff>
      <xdr:row>2</xdr:row>
      <xdr:rowOff>28440</xdr:rowOff>
    </xdr:from>
    <xdr:to>
      <xdr:col>13</xdr:col>
      <xdr:colOff>1168560</xdr:colOff>
      <xdr:row>5</xdr:row>
      <xdr:rowOff>89280</xdr:rowOff>
    </xdr:to>
    <xdr:sp>
      <xdr:nvSpPr>
        <xdr:cNvPr id="6" name="Bot.Importar"/>
        <xdr:cNvSpPr/>
      </xdr:nvSpPr>
      <xdr:spPr>
        <a:xfrm>
          <a:off x="12049920" y="504720"/>
          <a:ext cx="1518840" cy="76572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IMPORTAR DE OUTROS MODELOS CAIXA</a:t>
          </a:r>
          <a:endParaRPr b="0" lang="pt-BR" sz="11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i="1" lang="pt-BR" sz="1100" spc="-1" strike="noStrike">
              <a:solidFill>
                <a:srgbClr val="000000"/>
              </a:solidFill>
              <a:latin typeface="Calibri"/>
            </a:rPr>
            <a:t>(PO / PLE / QCI)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9</xdr:col>
      <xdr:colOff>28440</xdr:colOff>
      <xdr:row>9</xdr:row>
      <xdr:rowOff>171360</xdr:rowOff>
    </xdr:from>
    <xdr:to>
      <xdr:col>9</xdr:col>
      <xdr:colOff>1245960</xdr:colOff>
      <xdr:row>13</xdr:row>
      <xdr:rowOff>58680</xdr:rowOff>
    </xdr:to>
    <xdr:sp>
      <xdr:nvSpPr>
        <xdr:cNvPr id="7" name="Bot.ImprimirProposta"/>
        <xdr:cNvSpPr/>
      </xdr:nvSpPr>
      <xdr:spPr>
        <a:xfrm>
          <a:off x="10155960" y="2219400"/>
          <a:ext cx="1217520" cy="75384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GERAR ARQUIVO PARA UPLOAD NO TRANSFEREGOV</a:t>
          </a:r>
          <a:endParaRPr b="0" lang="pt-BR" sz="1100" spc="-1" strike="noStrike">
            <a:latin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442440</xdr:colOff>
          <xdr:row>0</xdr:row>
          <xdr:rowOff>47520</xdr:rowOff>
        </xdr:from>
        <xdr:to>
          <xdr:col>11</xdr:col>
          <xdr:colOff>40320</xdr:colOff>
          <xdr:row>1</xdr:row>
          <xdr:rowOff>56880</xdr:rowOff>
        </xdr:to>
        <xdr:sp>
          <xdr:nvSpPr>
            <xdr:cNvPr id="1001" name="Check Box 95" descr="Importar Fórmulas para o Custo Unitário (aba ORÇAMENTO)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Importar Fórmulas para o Custo Unitário (aba ORÇAMENTO)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38160</xdr:colOff>
          <xdr:row>1</xdr:row>
          <xdr:rowOff>66600</xdr:rowOff>
        </xdr:from>
        <xdr:to>
          <xdr:col>13</xdr:col>
          <xdr:colOff>2390400</xdr:colOff>
          <xdr:row>2</xdr:row>
          <xdr:rowOff>-57240</xdr:rowOff>
        </xdr:to>
        <xdr:sp>
          <xdr:nvSpPr>
            <xdr:cNvPr id="1002" name="Check Box 96" descr="Importar Fórmulas para as Quantidades da PLQ (aba CÁLCULO)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Importar Fórmulas para as Quantidades da PLQ (aba CÁLCULO)</a:t>
              </a:r>
            </a:p>
          </xdr:txBody>
        </xdr:sp>
        <xdr:clientData/>
      </xdr:twoCellAnchor>
    </mc:Choice>
  </mc:AlternateContent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14</xdr:col>
      <xdr:colOff>102960</xdr:colOff>
      <xdr:row>7</xdr:row>
      <xdr:rowOff>160200</xdr:rowOff>
    </xdr:from>
    <xdr:to>
      <xdr:col>24</xdr:col>
      <xdr:colOff>168840</xdr:colOff>
      <xdr:row>10</xdr:row>
      <xdr:rowOff>48960</xdr:rowOff>
    </xdr:to>
    <xdr:sp>
      <xdr:nvSpPr>
        <xdr:cNvPr id="78" name="AutoShape 317"/>
        <xdr:cNvSpPr/>
      </xdr:nvSpPr>
      <xdr:spPr>
        <a:xfrm>
          <a:off x="10974960" y="1407960"/>
          <a:ext cx="2833560" cy="374400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2680" bIns="0" anchor="t">
          <a:noAutofit/>
        </a:bodyPr>
        <a:p>
          <a:pPr>
            <a:lnSpc>
              <a:spcPct val="100000"/>
            </a:lnSpc>
          </a:pPr>
          <a:r>
            <a:rPr b="1" lang="pt-BR" sz="1000" spc="-1" strike="noStrike">
              <a:solidFill>
                <a:srgbClr val="000000"/>
              </a:solidFill>
              <a:latin typeface="Arial"/>
            </a:rPr>
            <a:t>Para Metas preenchidas manualmente, digite o valor medido nas colunas à direita.</a:t>
          </a:r>
          <a:endParaRPr b="0" lang="pt-BR" sz="10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85680</xdr:colOff>
      <xdr:row>8</xdr:row>
      <xdr:rowOff>28440</xdr:rowOff>
    </xdr:from>
    <xdr:to>
      <xdr:col>5</xdr:col>
      <xdr:colOff>142200</xdr:colOff>
      <xdr:row>10</xdr:row>
      <xdr:rowOff>10440</xdr:rowOff>
    </xdr:to>
    <xdr:sp>
      <xdr:nvSpPr>
        <xdr:cNvPr id="79" name="AutoShape 67">
          <a:hlinkClick r:id="rId1"/>
        </xdr:cNvPr>
        <xdr:cNvSpPr/>
      </xdr:nvSpPr>
      <xdr:spPr>
        <a:xfrm>
          <a:off x="337320" y="1438200"/>
          <a:ext cx="589680" cy="3056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240480</xdr:colOff>
      <xdr:row>8</xdr:row>
      <xdr:rowOff>31680</xdr:rowOff>
    </xdr:from>
    <xdr:to>
      <xdr:col>5</xdr:col>
      <xdr:colOff>1523160</xdr:colOff>
      <xdr:row>10</xdr:row>
      <xdr:rowOff>8640</xdr:rowOff>
    </xdr:to>
    <xdr:sp>
      <xdr:nvSpPr>
        <xdr:cNvPr id="80" name="AutoShape 67"/>
        <xdr:cNvSpPr/>
      </xdr:nvSpPr>
      <xdr:spPr>
        <a:xfrm>
          <a:off x="1025280" y="1441440"/>
          <a:ext cx="1282680" cy="3006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EDITAR MEDIÇÃO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0</xdr:row>
      <xdr:rowOff>21240</xdr:rowOff>
    </xdr:from>
    <xdr:to>
      <xdr:col>5</xdr:col>
      <xdr:colOff>1302840</xdr:colOff>
      <xdr:row>1</xdr:row>
      <xdr:rowOff>24840</xdr:rowOff>
    </xdr:to>
    <xdr:pic>
      <xdr:nvPicPr>
        <xdr:cNvPr id="81" name="Picture 2" descr=""/>
        <xdr:cNvPicPr/>
      </xdr:nvPicPr>
      <xdr:blipFill>
        <a:blip r:embed="rId2"/>
        <a:stretch/>
      </xdr:blipFill>
      <xdr:spPr>
        <a:xfrm>
          <a:off x="251640" y="21240"/>
          <a:ext cx="1836000" cy="3844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5</xdr:col>
      <xdr:colOff>1623600</xdr:colOff>
      <xdr:row>8</xdr:row>
      <xdr:rowOff>31680</xdr:rowOff>
    </xdr:from>
    <xdr:to>
      <xdr:col>5</xdr:col>
      <xdr:colOff>2209680</xdr:colOff>
      <xdr:row>10</xdr:row>
      <xdr:rowOff>8640</xdr:rowOff>
    </xdr:to>
    <xdr:sp>
      <xdr:nvSpPr>
        <xdr:cNvPr id="82" name="AutoShape 67">
          <a:hlinkClick r:id="rId3"/>
        </xdr:cNvPr>
        <xdr:cNvSpPr/>
      </xdr:nvSpPr>
      <xdr:spPr>
        <a:xfrm>
          <a:off x="2408400" y="1441440"/>
          <a:ext cx="586080" cy="3006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OFÍCIO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459360</xdr:colOff>
      <xdr:row>1</xdr:row>
      <xdr:rowOff>64440</xdr:rowOff>
    </xdr:from>
    <xdr:to>
      <xdr:col>5</xdr:col>
      <xdr:colOff>485280</xdr:colOff>
      <xdr:row>2</xdr:row>
      <xdr:rowOff>207360</xdr:rowOff>
    </xdr:to>
    <xdr:sp>
      <xdr:nvSpPr>
        <xdr:cNvPr id="83" name="ShapeBrasao"/>
        <xdr:cNvSpPr/>
      </xdr:nvSpPr>
      <xdr:spPr>
        <a:xfrm>
          <a:off x="3610080" y="226440"/>
          <a:ext cx="1475640" cy="30492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INSERIR BRASÃO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653400</xdr:colOff>
      <xdr:row>1</xdr:row>
      <xdr:rowOff>66600</xdr:rowOff>
    </xdr:from>
    <xdr:to>
      <xdr:col>3</xdr:col>
      <xdr:colOff>1192680</xdr:colOff>
      <xdr:row>2</xdr:row>
      <xdr:rowOff>209520</xdr:rowOff>
    </xdr:to>
    <xdr:sp>
      <xdr:nvSpPr>
        <xdr:cNvPr id="84" name="AutoShape 67">
          <a:hlinkClick r:id="rId1"/>
        </xdr:cNvPr>
        <xdr:cNvSpPr/>
      </xdr:nvSpPr>
      <xdr:spPr>
        <a:xfrm>
          <a:off x="2354400" y="228600"/>
          <a:ext cx="539280" cy="30492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DADOS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1236960</xdr:colOff>
      <xdr:row>1</xdr:row>
      <xdr:rowOff>63360</xdr:rowOff>
    </xdr:from>
    <xdr:to>
      <xdr:col>4</xdr:col>
      <xdr:colOff>398160</xdr:colOff>
      <xdr:row>2</xdr:row>
      <xdr:rowOff>206640</xdr:rowOff>
    </xdr:to>
    <xdr:sp>
      <xdr:nvSpPr>
        <xdr:cNvPr id="85" name="AutoShape 67">
          <a:hlinkClick r:id="rId2"/>
        </xdr:cNvPr>
        <xdr:cNvSpPr/>
      </xdr:nvSpPr>
      <xdr:spPr>
        <a:xfrm>
          <a:off x="2937960" y="225360"/>
          <a:ext cx="610920" cy="30528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RRE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72360</xdr:colOff>
      <xdr:row>1</xdr:row>
      <xdr:rowOff>66600</xdr:rowOff>
    </xdr:from>
    <xdr:to>
      <xdr:col>3</xdr:col>
      <xdr:colOff>611640</xdr:colOff>
      <xdr:row>2</xdr:row>
      <xdr:rowOff>209520</xdr:rowOff>
    </xdr:to>
    <xdr:sp>
      <xdr:nvSpPr>
        <xdr:cNvPr id="86" name="AutoShape 67">
          <a:hlinkClick r:id="rId3"/>
        </xdr:cNvPr>
        <xdr:cNvSpPr/>
      </xdr:nvSpPr>
      <xdr:spPr>
        <a:xfrm>
          <a:off x="1773360" y="228600"/>
          <a:ext cx="539280" cy="30492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64800</xdr:colOff>
      <xdr:row>0</xdr:row>
      <xdr:rowOff>38160</xdr:rowOff>
    </xdr:from>
    <xdr:to>
      <xdr:col>0</xdr:col>
      <xdr:colOff>635760</xdr:colOff>
      <xdr:row>1</xdr:row>
      <xdr:rowOff>134640</xdr:rowOff>
    </xdr:to>
    <xdr:sp>
      <xdr:nvSpPr>
        <xdr:cNvPr id="8" name="AutoShape 67">
          <a:hlinkClick r:id="rId1"/>
        </xdr:cNvPr>
        <xdr:cNvSpPr/>
      </xdr:nvSpPr>
      <xdr:spPr>
        <a:xfrm>
          <a:off x="64800" y="38160"/>
          <a:ext cx="570960" cy="2966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2809800</xdr:colOff>
      <xdr:row>0</xdr:row>
      <xdr:rowOff>14760</xdr:rowOff>
    </xdr:from>
    <xdr:to>
      <xdr:col>2</xdr:col>
      <xdr:colOff>3528000</xdr:colOff>
      <xdr:row>1</xdr:row>
      <xdr:rowOff>123120</xdr:rowOff>
    </xdr:to>
    <xdr:sp>
      <xdr:nvSpPr>
        <xdr:cNvPr id="9" name="AutoShape 67">
          <a:hlinkClick r:id="rId2"/>
        </xdr:cNvPr>
        <xdr:cNvSpPr/>
      </xdr:nvSpPr>
      <xdr:spPr>
        <a:xfrm>
          <a:off x="6554880" y="14760"/>
          <a:ext cx="718200" cy="30852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BDI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1738080</xdr:colOff>
      <xdr:row>32</xdr:row>
      <xdr:rowOff>0</xdr:rowOff>
    </xdr:from>
    <xdr:to>
      <xdr:col>2</xdr:col>
      <xdr:colOff>3528000</xdr:colOff>
      <xdr:row>33</xdr:row>
      <xdr:rowOff>142200</xdr:rowOff>
    </xdr:to>
    <xdr:sp>
      <xdr:nvSpPr>
        <xdr:cNvPr id="10" name="AutoShape 67"/>
        <xdr:cNvSpPr/>
      </xdr:nvSpPr>
      <xdr:spPr>
        <a:xfrm>
          <a:off x="5483160" y="5495760"/>
          <a:ext cx="1789920" cy="3042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ORÇAMENTO LICITADO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2324160</xdr:colOff>
      <xdr:row>43</xdr:row>
      <xdr:rowOff>0</xdr:rowOff>
    </xdr:from>
    <xdr:to>
      <xdr:col>2</xdr:col>
      <xdr:colOff>3528000</xdr:colOff>
      <xdr:row>44</xdr:row>
      <xdr:rowOff>142200</xdr:rowOff>
    </xdr:to>
    <xdr:sp>
      <xdr:nvSpPr>
        <xdr:cNvPr id="11" name="AutoShape 67"/>
        <xdr:cNvSpPr/>
      </xdr:nvSpPr>
      <xdr:spPr>
        <a:xfrm>
          <a:off x="6069240" y="7372440"/>
          <a:ext cx="1203840" cy="3042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MEDIÇÃO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30600</xdr:colOff>
      <xdr:row>0</xdr:row>
      <xdr:rowOff>15120</xdr:rowOff>
    </xdr:from>
    <xdr:to>
      <xdr:col>11</xdr:col>
      <xdr:colOff>403200</xdr:colOff>
      <xdr:row>2</xdr:row>
      <xdr:rowOff>37440</xdr:rowOff>
    </xdr:to>
    <xdr:pic>
      <xdr:nvPicPr>
        <xdr:cNvPr id="12" name="Logo1" descr=""/>
        <xdr:cNvPicPr/>
      </xdr:nvPicPr>
      <xdr:blipFill>
        <a:blip r:embed="rId1"/>
        <a:stretch/>
      </xdr:blipFill>
      <xdr:spPr>
        <a:xfrm>
          <a:off x="1027080" y="15120"/>
          <a:ext cx="1862280" cy="3841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7</xdr:col>
      <xdr:colOff>176760</xdr:colOff>
      <xdr:row>0</xdr:row>
      <xdr:rowOff>50760</xdr:rowOff>
    </xdr:from>
    <xdr:to>
      <xdr:col>8</xdr:col>
      <xdr:colOff>27720</xdr:colOff>
      <xdr:row>1</xdr:row>
      <xdr:rowOff>151560</xdr:rowOff>
    </xdr:to>
    <xdr:sp>
      <xdr:nvSpPr>
        <xdr:cNvPr id="13" name="AutoShape 67">
          <a:hlinkClick r:id="rId2"/>
        </xdr:cNvPr>
        <xdr:cNvSpPr/>
      </xdr:nvSpPr>
      <xdr:spPr>
        <a:xfrm>
          <a:off x="176760" y="50760"/>
          <a:ext cx="595800" cy="30096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176760</xdr:colOff>
      <xdr:row>2</xdr:row>
      <xdr:rowOff>14760</xdr:rowOff>
    </xdr:from>
    <xdr:to>
      <xdr:col>8</xdr:col>
      <xdr:colOff>27720</xdr:colOff>
      <xdr:row>3</xdr:row>
      <xdr:rowOff>161280</xdr:rowOff>
    </xdr:to>
    <xdr:sp>
      <xdr:nvSpPr>
        <xdr:cNvPr id="14" name="AutoShape 67">
          <a:hlinkClick r:id="rId3"/>
        </xdr:cNvPr>
        <xdr:cNvSpPr/>
      </xdr:nvSpPr>
      <xdr:spPr>
        <a:xfrm>
          <a:off x="176760" y="376560"/>
          <a:ext cx="595800" cy="30852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PO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148320</xdr:colOff>
      <xdr:row>6</xdr:row>
      <xdr:rowOff>0</xdr:rowOff>
    </xdr:from>
    <xdr:to>
      <xdr:col>7</xdr:col>
      <xdr:colOff>744120</xdr:colOff>
      <xdr:row>6</xdr:row>
      <xdr:rowOff>269280</xdr:rowOff>
    </xdr:to>
    <xdr:sp>
      <xdr:nvSpPr>
        <xdr:cNvPr id="15" name="AutoShape 67"/>
        <xdr:cNvSpPr/>
      </xdr:nvSpPr>
      <xdr:spPr>
        <a:xfrm>
          <a:off x="148320" y="1009800"/>
          <a:ext cx="595800" cy="26928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BDI 1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148320</xdr:colOff>
      <xdr:row>7</xdr:row>
      <xdr:rowOff>0</xdr:rowOff>
    </xdr:from>
    <xdr:to>
      <xdr:col>7</xdr:col>
      <xdr:colOff>744120</xdr:colOff>
      <xdr:row>8</xdr:row>
      <xdr:rowOff>107280</xdr:rowOff>
    </xdr:to>
    <xdr:sp>
      <xdr:nvSpPr>
        <xdr:cNvPr id="16" name="AutoShape 67"/>
        <xdr:cNvSpPr/>
      </xdr:nvSpPr>
      <xdr:spPr>
        <a:xfrm>
          <a:off x="148320" y="1333440"/>
          <a:ext cx="595800" cy="3074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BDI 2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148320</xdr:colOff>
      <xdr:row>8</xdr:row>
      <xdr:rowOff>158760</xdr:rowOff>
    </xdr:from>
    <xdr:to>
      <xdr:col>7</xdr:col>
      <xdr:colOff>744120</xdr:colOff>
      <xdr:row>10</xdr:row>
      <xdr:rowOff>104040</xdr:rowOff>
    </xdr:to>
    <xdr:sp>
      <xdr:nvSpPr>
        <xdr:cNvPr id="17" name="AutoShape 67"/>
        <xdr:cNvSpPr/>
      </xdr:nvSpPr>
      <xdr:spPr>
        <a:xfrm>
          <a:off x="148320" y="1692360"/>
          <a:ext cx="595800" cy="26892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BDI 3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14</xdr:col>
      <xdr:colOff>60840</xdr:colOff>
      <xdr:row>0</xdr:row>
      <xdr:rowOff>15120</xdr:rowOff>
    </xdr:from>
    <xdr:to>
      <xdr:col>15</xdr:col>
      <xdr:colOff>1035360</xdr:colOff>
      <xdr:row>1</xdr:row>
      <xdr:rowOff>166680</xdr:rowOff>
    </xdr:to>
    <xdr:pic>
      <xdr:nvPicPr>
        <xdr:cNvPr id="18" name="Picture 2" descr=""/>
        <xdr:cNvPicPr/>
      </xdr:nvPicPr>
      <xdr:blipFill>
        <a:blip r:embed="rId1"/>
        <a:stretch/>
      </xdr:blipFill>
      <xdr:spPr>
        <a:xfrm>
          <a:off x="1519920" y="15120"/>
          <a:ext cx="1860480" cy="3801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19</xdr:col>
      <xdr:colOff>8280</xdr:colOff>
      <xdr:row>8</xdr:row>
      <xdr:rowOff>95400</xdr:rowOff>
    </xdr:from>
    <xdr:to>
      <xdr:col>24</xdr:col>
      <xdr:colOff>2160</xdr:colOff>
      <xdr:row>10</xdr:row>
      <xdr:rowOff>140400</xdr:rowOff>
    </xdr:to>
    <xdr:sp>
      <xdr:nvSpPr>
        <xdr:cNvPr id="19" name="TextBoxArred"/>
        <xdr:cNvSpPr/>
      </xdr:nvSpPr>
      <xdr:spPr>
        <a:xfrm flipH="1">
          <a:off x="9914400" y="1381320"/>
          <a:ext cx="4916160" cy="368640"/>
        </a:xfrm>
        <a:prstGeom prst="rect">
          <a:avLst/>
        </a:prstGeom>
        <a:noFill/>
        <a:ln w="64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2680" bIns="0" anchor="t">
          <a:noAutofit/>
        </a:bodyPr>
        <a:p>
          <a:pPr algn="ctr">
            <a:lnSpc>
              <a:spcPct val="100000"/>
            </a:lnSpc>
          </a:pPr>
          <a:r>
            <a:rPr b="0" lang="pt-BR" sz="1000" spc="-1" strike="noStrike">
              <a:solidFill>
                <a:srgbClr val="000000"/>
              </a:solidFill>
              <a:latin typeface="Arial"/>
            </a:rPr>
            <a:t>Considerar valores arredondados com (0,00)</a:t>
          </a:r>
          <a:endParaRPr b="0" lang="pt-BR" sz="1000" spc="-1" strike="noStrike">
            <a:latin typeface="Times New Roman"/>
          </a:endParaRPr>
        </a:p>
      </xdr:txBody>
    </xdr:sp>
    <xdr:clientData/>
  </xdr:twoCellAnchor>
  <xdr:twoCellAnchor editAs="twoCell">
    <xdr:from>
      <xdr:col>12</xdr:col>
      <xdr:colOff>302760</xdr:colOff>
      <xdr:row>0</xdr:row>
      <xdr:rowOff>60120</xdr:rowOff>
    </xdr:from>
    <xdr:to>
      <xdr:col>13</xdr:col>
      <xdr:colOff>439920</xdr:colOff>
      <xdr:row>1</xdr:row>
      <xdr:rowOff>143280</xdr:rowOff>
    </xdr:to>
    <xdr:sp>
      <xdr:nvSpPr>
        <xdr:cNvPr id="20" name="AutoShape 67">
          <a:hlinkClick r:id="rId2"/>
        </xdr:cNvPr>
        <xdr:cNvSpPr/>
      </xdr:nvSpPr>
      <xdr:spPr>
        <a:xfrm>
          <a:off x="554400" y="60120"/>
          <a:ext cx="740880" cy="31176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MENU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14</xdr:col>
      <xdr:colOff>3960</xdr:colOff>
      <xdr:row>8</xdr:row>
      <xdr:rowOff>45720</xdr:rowOff>
    </xdr:from>
    <xdr:to>
      <xdr:col>15</xdr:col>
      <xdr:colOff>396360</xdr:colOff>
      <xdr:row>11</xdr:row>
      <xdr:rowOff>17640</xdr:rowOff>
    </xdr:to>
    <xdr:sp>
      <xdr:nvSpPr>
        <xdr:cNvPr id="21" name="AutoShape 67"/>
        <xdr:cNvSpPr/>
      </xdr:nvSpPr>
      <xdr:spPr>
        <a:xfrm>
          <a:off x="1463040" y="1331640"/>
          <a:ext cx="1278360" cy="45756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ADICIONAR LINHAS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16</xdr:col>
      <xdr:colOff>836280</xdr:colOff>
      <xdr:row>8</xdr:row>
      <xdr:rowOff>41760</xdr:rowOff>
    </xdr:from>
    <xdr:to>
      <xdr:col>17</xdr:col>
      <xdr:colOff>1024920</xdr:colOff>
      <xdr:row>11</xdr:row>
      <xdr:rowOff>19440</xdr:rowOff>
    </xdr:to>
    <xdr:sp>
      <xdr:nvSpPr>
        <xdr:cNvPr id="22" name="AutoShape 67"/>
        <xdr:cNvSpPr/>
      </xdr:nvSpPr>
      <xdr:spPr>
        <a:xfrm>
          <a:off x="4278600" y="1327680"/>
          <a:ext cx="1285920" cy="46332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FIXAR DESCRIÇÕES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15</xdr:col>
      <xdr:colOff>527760</xdr:colOff>
      <xdr:row>8</xdr:row>
      <xdr:rowOff>38160</xdr:rowOff>
    </xdr:from>
    <xdr:to>
      <xdr:col>16</xdr:col>
      <xdr:colOff>716400</xdr:colOff>
      <xdr:row>11</xdr:row>
      <xdr:rowOff>19800</xdr:rowOff>
    </xdr:to>
    <xdr:sp>
      <xdr:nvSpPr>
        <xdr:cNvPr id="23" name="AutoShape 67"/>
        <xdr:cNvSpPr/>
      </xdr:nvSpPr>
      <xdr:spPr>
        <a:xfrm>
          <a:off x="2872800" y="1324080"/>
          <a:ext cx="1285920" cy="46728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EXCLUIR LINHAS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17</xdr:col>
      <xdr:colOff>2535480</xdr:colOff>
      <xdr:row>8</xdr:row>
      <xdr:rowOff>38160</xdr:rowOff>
    </xdr:from>
    <xdr:to>
      <xdr:col>17</xdr:col>
      <xdr:colOff>3764160</xdr:colOff>
      <xdr:row>11</xdr:row>
      <xdr:rowOff>19800</xdr:rowOff>
    </xdr:to>
    <xdr:sp>
      <xdr:nvSpPr>
        <xdr:cNvPr id="24" name="AutoShape 67"/>
        <xdr:cNvSpPr/>
      </xdr:nvSpPr>
      <xdr:spPr>
        <a:xfrm>
          <a:off x="7075080" y="1324080"/>
          <a:ext cx="1228680" cy="46728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RECUPERAR FÓRMULAS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17</xdr:col>
      <xdr:colOff>3889800</xdr:colOff>
      <xdr:row>8</xdr:row>
      <xdr:rowOff>39960</xdr:rowOff>
    </xdr:from>
    <xdr:to>
      <xdr:col>18</xdr:col>
      <xdr:colOff>640080</xdr:colOff>
      <xdr:row>11</xdr:row>
      <xdr:rowOff>8280</xdr:rowOff>
    </xdr:to>
    <xdr:sp>
      <xdr:nvSpPr>
        <xdr:cNvPr id="25" name="AutoShape 67"/>
        <xdr:cNvSpPr/>
      </xdr:nvSpPr>
      <xdr:spPr>
        <a:xfrm>
          <a:off x="8429400" y="1325880"/>
          <a:ext cx="1371960" cy="45396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BUSCAR CÓDIGO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12</xdr:col>
      <xdr:colOff>303840</xdr:colOff>
      <xdr:row>2</xdr:row>
      <xdr:rowOff>21240</xdr:rowOff>
    </xdr:from>
    <xdr:to>
      <xdr:col>13</xdr:col>
      <xdr:colOff>441000</xdr:colOff>
      <xdr:row>4</xdr:row>
      <xdr:rowOff>5760</xdr:rowOff>
    </xdr:to>
    <xdr:sp>
      <xdr:nvSpPr>
        <xdr:cNvPr id="26" name="AutoShape 67">
          <a:hlinkClick r:id="rId3"/>
        </xdr:cNvPr>
        <xdr:cNvSpPr/>
      </xdr:nvSpPr>
      <xdr:spPr>
        <a:xfrm>
          <a:off x="555480" y="440280"/>
          <a:ext cx="740880" cy="30852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BDI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12</xdr:col>
      <xdr:colOff>308160</xdr:colOff>
      <xdr:row>4</xdr:row>
      <xdr:rowOff>67680</xdr:rowOff>
    </xdr:from>
    <xdr:to>
      <xdr:col>13</xdr:col>
      <xdr:colOff>445320</xdr:colOff>
      <xdr:row>6</xdr:row>
      <xdr:rowOff>158040</xdr:rowOff>
    </xdr:to>
    <xdr:sp>
      <xdr:nvSpPr>
        <xdr:cNvPr id="27" name="AutoShape 67">
          <a:hlinkClick r:id="rId4"/>
        </xdr:cNvPr>
        <xdr:cNvSpPr/>
      </xdr:nvSpPr>
      <xdr:spPr>
        <a:xfrm>
          <a:off x="559800" y="810720"/>
          <a:ext cx="740880" cy="30924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CÁLCULO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12</xdr:col>
      <xdr:colOff>308160</xdr:colOff>
      <xdr:row>7</xdr:row>
      <xdr:rowOff>52920</xdr:rowOff>
    </xdr:from>
    <xdr:to>
      <xdr:col>13</xdr:col>
      <xdr:colOff>445320</xdr:colOff>
      <xdr:row>9</xdr:row>
      <xdr:rowOff>37440</xdr:rowOff>
    </xdr:to>
    <xdr:sp>
      <xdr:nvSpPr>
        <xdr:cNvPr id="28" name="AutoShape 67"/>
        <xdr:cNvSpPr/>
      </xdr:nvSpPr>
      <xdr:spPr>
        <a:xfrm>
          <a:off x="559800" y="1176840"/>
          <a:ext cx="740880" cy="30852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000" spc="-1" strike="noStrike">
              <a:solidFill>
                <a:srgbClr val="000000"/>
              </a:solidFill>
              <a:latin typeface="Calibri"/>
            </a:rPr>
            <a:t>EVENTOS</a:t>
          </a:r>
          <a:endParaRPr b="0" lang="pt-BR" sz="1000" spc="-1" strike="noStrike">
            <a:latin typeface="Times New Roman"/>
          </a:endParaRPr>
        </a:p>
      </xdr:txBody>
    </xdr:sp>
    <xdr:clientData/>
  </xdr:twoCellAnchor>
  <xdr:twoCellAnchor editAs="twoCell">
    <xdr:from>
      <xdr:col>12</xdr:col>
      <xdr:colOff>308160</xdr:colOff>
      <xdr:row>9</xdr:row>
      <xdr:rowOff>105840</xdr:rowOff>
    </xdr:from>
    <xdr:to>
      <xdr:col>13</xdr:col>
      <xdr:colOff>445320</xdr:colOff>
      <xdr:row>11</xdr:row>
      <xdr:rowOff>90000</xdr:rowOff>
    </xdr:to>
    <xdr:sp>
      <xdr:nvSpPr>
        <xdr:cNvPr id="29" name="AutoShape 67"/>
        <xdr:cNvSpPr/>
      </xdr:nvSpPr>
      <xdr:spPr>
        <a:xfrm>
          <a:off x="559800" y="1553760"/>
          <a:ext cx="740880" cy="307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CRONO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17</xdr:col>
      <xdr:colOff>1161720</xdr:colOff>
      <xdr:row>8</xdr:row>
      <xdr:rowOff>41760</xdr:rowOff>
    </xdr:from>
    <xdr:to>
      <xdr:col>17</xdr:col>
      <xdr:colOff>2390400</xdr:colOff>
      <xdr:row>11</xdr:row>
      <xdr:rowOff>19440</xdr:rowOff>
    </xdr:to>
    <xdr:sp>
      <xdr:nvSpPr>
        <xdr:cNvPr id="30" name="AutoShape 67"/>
        <xdr:cNvSpPr/>
      </xdr:nvSpPr>
      <xdr:spPr>
        <a:xfrm>
          <a:off x="5701320" y="1327680"/>
          <a:ext cx="1228680" cy="46332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27360" tIns="27360" bIns="27360" anchor="ctr">
          <a:noAutofit/>
        </a:bodyPr>
        <a:p>
          <a:pPr algn="ctr"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PADRONIZAR UNIDADES</a:t>
          </a:r>
          <a:endParaRPr b="0" lang="pt-BR" sz="1100" spc="-1" strike="noStrike">
            <a:latin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9115560</xdr:colOff>
          <xdr:row>6</xdr:row>
          <xdr:rowOff>85680</xdr:rowOff>
        </xdr:from>
        <xdr:to>
          <xdr:col>4</xdr:col>
          <xdr:colOff>358200</xdr:colOff>
          <xdr:row>7</xdr:row>
          <xdr:rowOff>133200</xdr:rowOff>
        </xdr:to>
        <xdr:sp>
          <xdr:nvSpPr>
            <xdr:cNvPr id="1001" name="CaixaArredQuant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447480</xdr:colOff>
          <xdr:row>9</xdr:row>
          <xdr:rowOff>66600</xdr:rowOff>
        </xdr:from>
        <xdr:to>
          <xdr:col>21</xdr:col>
          <xdr:colOff>-152640</xdr:colOff>
          <xdr:row>10</xdr:row>
          <xdr:rowOff>142920</xdr:rowOff>
        </xdr:to>
        <xdr:sp>
          <xdr:nvSpPr>
            <xdr:cNvPr id="1002" name="CaixaArredCustoUnit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295200</xdr:colOff>
          <xdr:row>9</xdr:row>
          <xdr:rowOff>66600</xdr:rowOff>
        </xdr:from>
        <xdr:to>
          <xdr:col>22</xdr:col>
          <xdr:colOff>-28440</xdr:colOff>
          <xdr:row>10</xdr:row>
          <xdr:rowOff>142920</xdr:rowOff>
        </xdr:to>
        <xdr:sp>
          <xdr:nvSpPr>
            <xdr:cNvPr id="1003" name="CaixaArredBDI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371520</xdr:colOff>
          <xdr:row>9</xdr:row>
          <xdr:rowOff>66600</xdr:rowOff>
        </xdr:from>
        <xdr:to>
          <xdr:col>23</xdr:col>
          <xdr:colOff>-237960</xdr:colOff>
          <xdr:row>10</xdr:row>
          <xdr:rowOff>142920</xdr:rowOff>
        </xdr:to>
        <xdr:sp>
          <xdr:nvSpPr>
            <xdr:cNvPr id="1004" name="CaixaArredPrecoUnit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447480</xdr:colOff>
          <xdr:row>9</xdr:row>
          <xdr:rowOff>47520</xdr:rowOff>
        </xdr:from>
        <xdr:to>
          <xdr:col>24</xdr:col>
          <xdr:colOff>-219240</xdr:colOff>
          <xdr:row>10</xdr:row>
          <xdr:rowOff>142920</xdr:rowOff>
        </xdr:to>
        <xdr:sp>
          <xdr:nvSpPr>
            <xdr:cNvPr id="1005" name="CaixaArredPrecoTotal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drawing" Target="../drawings/drawing17.xml"/><Relationship Id="rId3" Type="http://schemas.openxmlformats.org/officeDocument/2006/relationships/vmlDrawing" Target="../drawings/vmlDrawing6.v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comments" Target="../comments12.xml"/><Relationship Id="rId2" Type="http://schemas.openxmlformats.org/officeDocument/2006/relationships/drawing" Target="../drawings/drawing19.xml"/><Relationship Id="rId3" Type="http://schemas.openxmlformats.org/officeDocument/2006/relationships/vmlDrawing" Target="../drawings/vmlDrawing7.vml"/><Relationship Id="rId4" Type="http://schemas.openxmlformats.org/officeDocument/2006/relationships/ctrlProp" Target="../ctrlProps/ctrlProps20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comments" Target="../comments13.xml"/><Relationship Id="rId2" Type="http://schemas.openxmlformats.org/officeDocument/2006/relationships/drawing" Target="../drawings/drawing21.xml"/><Relationship Id="rId3" Type="http://schemas.openxmlformats.org/officeDocument/2006/relationships/vmlDrawing" Target="../drawings/vmlDrawing8.v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s3.xml"/><Relationship Id="rId4" Type="http://schemas.openxmlformats.org/officeDocument/2006/relationships/ctrlProp" Target="../ctrlProps/ctrlProps4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2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3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4.vml"/><Relationship Id="rId4" Type="http://schemas.openxmlformats.org/officeDocument/2006/relationships/ctrlProp" Target="../ctrlProps/ctrlProps8.xml"/><Relationship Id="rId5" Type="http://schemas.openxmlformats.org/officeDocument/2006/relationships/ctrlProp" Target="../ctrlProps/ctrlProps9.xml"/><Relationship Id="rId6" Type="http://schemas.openxmlformats.org/officeDocument/2006/relationships/ctrlProp" Target="../ctrlProps/ctrlProps10.xml"/><Relationship Id="rId7" Type="http://schemas.openxmlformats.org/officeDocument/2006/relationships/ctrlProp" Target="../ctrlProps/ctrlProps11.xml"/><Relationship Id="rId8" Type="http://schemas.openxmlformats.org/officeDocument/2006/relationships/ctrlProp" Target="../ctrlProps/ctrlProps1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13.xml"/><Relationship Id="rId3" Type="http://schemas.openxmlformats.org/officeDocument/2006/relationships/vmlDrawing" Target="../drawings/vmlDrawing5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E12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8.57"/>
    <col collapsed="false" customWidth="true" hidden="false" outlineLevel="0" max="2" min="2" style="1" width="5.57"/>
    <col collapsed="false" customWidth="true" hidden="false" outlineLevel="0" max="3" min="3" style="1" width="3.57"/>
    <col collapsed="false" customWidth="true" hidden="false" outlineLevel="0" max="4" min="4" style="1" width="130.57"/>
  </cols>
  <sheetData>
    <row r="3" customFormat="false" ht="36.75" hidden="false" customHeight="true" outlineLevel="0" collapsed="false">
      <c r="B3" s="2" t="s">
        <v>0</v>
      </c>
    </row>
    <row r="5" customFormat="false" ht="18.75" hidden="false" customHeight="false" outlineLevel="0" collapsed="false">
      <c r="A5" s="3"/>
      <c r="B5" s="4"/>
      <c r="C5" s="4"/>
      <c r="D5" s="5"/>
    </row>
    <row r="6" customFormat="false" ht="18.75" hidden="false" customHeight="false" outlineLevel="0" collapsed="false">
      <c r="A6" s="6" t="s">
        <v>1</v>
      </c>
      <c r="B6" s="7"/>
      <c r="C6" s="7"/>
      <c r="D6" s="8"/>
    </row>
    <row r="7" customFormat="false" ht="15" hidden="false" customHeight="false" outlineLevel="0" collapsed="false">
      <c r="A7" s="9"/>
      <c r="B7" s="10" t="s">
        <v>2</v>
      </c>
      <c r="C7" s="10"/>
      <c r="D7" s="8"/>
    </row>
    <row r="8" customFormat="false" ht="15" hidden="false" customHeight="false" outlineLevel="0" collapsed="false">
      <c r="A8" s="9"/>
      <c r="B8" s="10"/>
      <c r="C8" s="11" t="str">
        <f aca="false">IF(D8&lt;&gt;"","▪","")</f>
        <v>▪</v>
      </c>
      <c r="D8" s="12" t="s">
        <v>3</v>
      </c>
    </row>
    <row r="9" customFormat="false" ht="15" hidden="false" customHeight="false" outlineLevel="0" collapsed="false">
      <c r="A9" s="9"/>
      <c r="B9" s="10"/>
      <c r="C9" s="11" t="n">
        <f aca="false">IF(D9&lt;&gt;"","▪","")</f>
        <v>0</v>
      </c>
      <c r="D9" s="12"/>
    </row>
    <row r="10" customFormat="false" ht="18.75" hidden="false" customHeight="false" outlineLevel="0" collapsed="false">
      <c r="A10" s="13" t="s">
        <v>4</v>
      </c>
      <c r="B10" s="14"/>
      <c r="C10" s="14"/>
      <c r="D10" s="15"/>
    </row>
    <row r="11" customFormat="false" ht="15" hidden="false" customHeight="false" outlineLevel="0" collapsed="false">
      <c r="A11" s="9"/>
      <c r="B11" s="10" t="s">
        <v>2</v>
      </c>
      <c r="C11" s="10"/>
      <c r="D11" s="12"/>
    </row>
    <row r="12" customFormat="false" ht="15" hidden="false" customHeight="false" outlineLevel="0" collapsed="false">
      <c r="A12" s="9"/>
      <c r="B12" s="10"/>
      <c r="C12" s="11" t="str">
        <f aca="false">IF(D12&lt;&gt;"","▪","")</f>
        <v>▪</v>
      </c>
      <c r="D12" s="12" t="s">
        <v>5</v>
      </c>
    </row>
    <row r="13" customFormat="false" ht="15" hidden="false" customHeight="false" outlineLevel="0" collapsed="false">
      <c r="A13" s="9"/>
      <c r="B13" s="10" t="s">
        <v>6</v>
      </c>
      <c r="C13" s="10"/>
      <c r="D13" s="12"/>
    </row>
    <row r="14" customFormat="false" ht="15" hidden="false" customHeight="false" outlineLevel="0" collapsed="false">
      <c r="A14" s="9"/>
      <c r="B14" s="10"/>
      <c r="C14" s="11" t="str">
        <f aca="false">IF(D14&lt;&gt;"","▪","")</f>
        <v>▪</v>
      </c>
      <c r="D14" s="12" t="s">
        <v>7</v>
      </c>
    </row>
    <row r="15" customFormat="false" ht="15" hidden="false" customHeight="false" outlineLevel="0" collapsed="false">
      <c r="A15" s="9"/>
      <c r="C15" s="11" t="str">
        <f aca="false">IF(D15&lt;&gt;"","▪","")</f>
        <v>▪</v>
      </c>
      <c r="D15" s="12" t="s">
        <v>8</v>
      </c>
    </row>
    <row r="16" customFormat="false" ht="12.75" hidden="false" customHeight="false" outlineLevel="0" collapsed="false">
      <c r="A16" s="3"/>
      <c r="D16" s="16"/>
    </row>
    <row r="17" customFormat="false" ht="18.75" hidden="false" customHeight="false" outlineLevel="0" collapsed="false">
      <c r="A17" s="13" t="s">
        <v>9</v>
      </c>
      <c r="B17" s="14"/>
      <c r="C17" s="14"/>
      <c r="D17" s="15"/>
    </row>
    <row r="18" customFormat="false" ht="15" hidden="false" customHeight="false" outlineLevel="0" collapsed="false">
      <c r="A18" s="9"/>
      <c r="B18" s="10" t="s">
        <v>2</v>
      </c>
      <c r="C18" s="10"/>
      <c r="D18" s="12"/>
    </row>
    <row r="19" customFormat="false" ht="15" hidden="false" customHeight="false" outlineLevel="0" collapsed="false">
      <c r="A19" s="9"/>
      <c r="B19" s="10"/>
      <c r="C19" s="11" t="str">
        <f aca="false">IF(D19&lt;&gt;"","▪","")</f>
        <v>▪</v>
      </c>
      <c r="D19" s="12" t="s">
        <v>5</v>
      </c>
    </row>
    <row r="20" customFormat="false" ht="15" hidden="false" customHeight="false" outlineLevel="0" collapsed="false">
      <c r="A20" s="9"/>
      <c r="B20" s="10"/>
      <c r="C20" s="11" t="str">
        <f aca="false">IF(D20&lt;&gt;"","▪","")</f>
        <v>▪</v>
      </c>
      <c r="D20" s="12" t="s">
        <v>10</v>
      </c>
    </row>
    <row r="21" customFormat="false" ht="15" hidden="false" customHeight="false" outlineLevel="0" collapsed="false">
      <c r="A21" s="9"/>
      <c r="B21" s="10" t="s">
        <v>11</v>
      </c>
      <c r="C21" s="10"/>
      <c r="D21" s="12"/>
    </row>
    <row r="22" customFormat="false" ht="15" hidden="false" customHeight="false" outlineLevel="0" collapsed="false">
      <c r="A22" s="9"/>
      <c r="B22" s="10"/>
      <c r="C22" s="11" t="str">
        <f aca="false">IF(D22&lt;&gt;"","▪","")</f>
        <v>▪</v>
      </c>
      <c r="D22" s="12" t="s">
        <v>12</v>
      </c>
    </row>
    <row r="23" customFormat="false" ht="15" hidden="false" customHeight="false" outlineLevel="0" collapsed="false">
      <c r="A23" s="9"/>
      <c r="B23" s="10" t="s">
        <v>13</v>
      </c>
      <c r="C23" s="10"/>
      <c r="D23" s="12"/>
    </row>
    <row r="24" customFormat="false" ht="15" hidden="false" customHeight="false" outlineLevel="0" collapsed="false">
      <c r="A24" s="9"/>
      <c r="B24" s="10"/>
      <c r="C24" s="11" t="str">
        <f aca="false">IF(D24&lt;&gt;"","▪","")</f>
        <v>▪</v>
      </c>
      <c r="D24" s="12" t="s">
        <v>14</v>
      </c>
    </row>
    <row r="25" customFormat="false" ht="15" hidden="false" customHeight="false" outlineLevel="0" collapsed="false">
      <c r="A25" s="9"/>
      <c r="B25" s="10" t="s">
        <v>15</v>
      </c>
      <c r="C25" s="10"/>
      <c r="D25" s="12"/>
    </row>
    <row r="26" customFormat="false" ht="15" hidden="false" customHeight="false" outlineLevel="0" collapsed="false">
      <c r="A26" s="9"/>
      <c r="B26" s="10"/>
      <c r="C26" s="11" t="str">
        <f aca="false">IF(D26&lt;&gt;"","▪","")</f>
        <v>▪</v>
      </c>
      <c r="D26" s="12" t="s">
        <v>16</v>
      </c>
    </row>
    <row r="27" customFormat="false" ht="15" hidden="false" customHeight="false" outlineLevel="0" collapsed="false">
      <c r="A27" s="9"/>
      <c r="B27" s="10" t="s">
        <v>17</v>
      </c>
      <c r="C27" s="10"/>
      <c r="D27" s="12"/>
    </row>
    <row r="28" customFormat="false" ht="15" hidden="false" customHeight="false" outlineLevel="0" collapsed="false">
      <c r="A28" s="9"/>
      <c r="B28" s="10"/>
      <c r="C28" s="11" t="str">
        <f aca="false">IF(D28&lt;&gt;"","▪","")</f>
        <v>▪</v>
      </c>
      <c r="D28" s="12" t="s">
        <v>18</v>
      </c>
    </row>
    <row r="29" customFormat="false" ht="12.75" hidden="false" customHeight="false" outlineLevel="0" collapsed="false">
      <c r="A29" s="3"/>
      <c r="D29" s="16"/>
    </row>
    <row r="30" customFormat="false" ht="18.75" hidden="false" customHeight="false" outlineLevel="0" collapsed="false">
      <c r="A30" s="13" t="s">
        <v>19</v>
      </c>
      <c r="B30" s="14"/>
      <c r="C30" s="14"/>
      <c r="D30" s="15"/>
    </row>
    <row r="31" customFormat="false" ht="15" hidden="false" customHeight="false" outlineLevel="0" collapsed="false">
      <c r="A31" s="9"/>
      <c r="B31" s="10" t="s">
        <v>2</v>
      </c>
      <c r="C31" s="10"/>
      <c r="D31" s="12"/>
    </row>
    <row r="32" customFormat="false" ht="15" hidden="false" customHeight="false" outlineLevel="0" collapsed="false">
      <c r="A32" s="9"/>
      <c r="B32" s="10"/>
      <c r="C32" s="11" t="str">
        <f aca="false">IF(D32&lt;&gt;"","▪","")</f>
        <v>▪</v>
      </c>
      <c r="D32" s="12" t="s">
        <v>10</v>
      </c>
    </row>
    <row r="33" customFormat="false" ht="15" hidden="false" customHeight="false" outlineLevel="0" collapsed="false">
      <c r="A33" s="9"/>
      <c r="B33" s="10" t="s">
        <v>20</v>
      </c>
      <c r="C33" s="11"/>
      <c r="D33" s="12"/>
    </row>
    <row r="34" customFormat="false" ht="15" hidden="false" customHeight="false" outlineLevel="0" collapsed="false">
      <c r="A34" s="9"/>
      <c r="B34" s="10"/>
      <c r="C34" s="11" t="str">
        <f aca="false">IF(D34&lt;&gt;"","▪","")</f>
        <v>▪</v>
      </c>
      <c r="D34" s="12" t="s">
        <v>21</v>
      </c>
    </row>
    <row r="35" customFormat="false" ht="15" hidden="false" customHeight="false" outlineLevel="0" collapsed="false">
      <c r="A35" s="9"/>
      <c r="B35" s="10"/>
      <c r="C35" s="10"/>
      <c r="D35" s="17"/>
      <c r="E35" s="10"/>
    </row>
    <row r="36" customFormat="false" ht="12.75" hidden="false" customHeight="false" outlineLevel="0" collapsed="false">
      <c r="A36" s="3"/>
      <c r="D36" s="16"/>
    </row>
    <row r="37" customFormat="false" ht="18.75" hidden="false" customHeight="false" outlineLevel="0" collapsed="false">
      <c r="A37" s="13" t="s">
        <v>22</v>
      </c>
      <c r="B37" s="14"/>
      <c r="C37" s="14"/>
      <c r="D37" s="15"/>
    </row>
    <row r="38" customFormat="false" ht="15" hidden="false" customHeight="false" outlineLevel="0" collapsed="false">
      <c r="A38" s="9"/>
      <c r="B38" s="10" t="s">
        <v>23</v>
      </c>
      <c r="C38" s="10"/>
      <c r="D38" s="12"/>
    </row>
    <row r="39" customFormat="false" ht="15" hidden="false" customHeight="false" outlineLevel="0" collapsed="false">
      <c r="A39" s="9"/>
      <c r="B39" s="10"/>
      <c r="C39" s="11" t="str">
        <f aca="false">IF(D39&lt;&gt;"","▪","")</f>
        <v>▪</v>
      </c>
      <c r="D39" s="12" t="s">
        <v>24</v>
      </c>
    </row>
    <row r="40" customFormat="false" ht="15" hidden="false" customHeight="false" outlineLevel="0" collapsed="false">
      <c r="A40" s="9"/>
      <c r="B40" s="10" t="s">
        <v>13</v>
      </c>
      <c r="C40" s="10"/>
      <c r="D40" s="12"/>
    </row>
    <row r="41" customFormat="false" ht="15" hidden="false" customHeight="false" outlineLevel="0" collapsed="false">
      <c r="A41" s="9"/>
      <c r="B41" s="10"/>
      <c r="C41" s="11" t="str">
        <f aca="false">IF(D41&lt;&gt;"","▪","")</f>
        <v>▪</v>
      </c>
      <c r="D41" s="12" t="s">
        <v>25</v>
      </c>
    </row>
    <row r="42" customFormat="false" ht="15" hidden="false" customHeight="false" outlineLevel="0" collapsed="false">
      <c r="A42" s="9"/>
      <c r="B42" s="10" t="s">
        <v>15</v>
      </c>
      <c r="C42" s="10"/>
      <c r="D42" s="12"/>
      <c r="E42" s="10"/>
    </row>
    <row r="43" customFormat="false" ht="15" hidden="false" customHeight="false" outlineLevel="0" collapsed="false">
      <c r="A43" s="9"/>
      <c r="B43" s="10"/>
      <c r="C43" s="11" t="str">
        <f aca="false">IF(D43&lt;&gt;"","▪","")</f>
        <v>▪</v>
      </c>
      <c r="D43" s="12" t="s">
        <v>26</v>
      </c>
    </row>
    <row r="44" customFormat="false" ht="15" hidden="false" customHeight="false" outlineLevel="0" collapsed="false">
      <c r="A44" s="9"/>
      <c r="B44" s="10"/>
      <c r="C44" s="10"/>
      <c r="D44" s="17"/>
    </row>
    <row r="45" customFormat="false" ht="18.75" hidden="false" customHeight="false" outlineLevel="0" collapsed="false">
      <c r="A45" s="13" t="s">
        <v>27</v>
      </c>
      <c r="B45" s="14"/>
      <c r="C45" s="14"/>
      <c r="D45" s="15"/>
    </row>
    <row r="46" customFormat="false" ht="15" hidden="false" customHeight="false" outlineLevel="0" collapsed="false">
      <c r="A46" s="9"/>
      <c r="B46" s="10" t="s">
        <v>2</v>
      </c>
      <c r="C46" s="10"/>
      <c r="D46" s="12"/>
    </row>
    <row r="47" customFormat="false" ht="15" hidden="false" customHeight="false" outlineLevel="0" collapsed="false">
      <c r="A47" s="9"/>
      <c r="B47" s="10"/>
      <c r="C47" s="11" t="str">
        <f aca="false">IF(D47&lt;&gt;"","▪","")</f>
        <v>▪</v>
      </c>
      <c r="D47" s="12" t="s">
        <v>28</v>
      </c>
    </row>
    <row r="48" customFormat="false" ht="15" hidden="false" customHeight="false" outlineLevel="0" collapsed="false">
      <c r="A48" s="9"/>
      <c r="B48" s="10"/>
      <c r="C48" s="10"/>
      <c r="D48" s="17"/>
    </row>
    <row r="49" customFormat="false" ht="18.75" hidden="false" customHeight="false" outlineLevel="0" collapsed="false">
      <c r="A49" s="13" t="s">
        <v>29</v>
      </c>
      <c r="B49" s="14"/>
      <c r="C49" s="14"/>
      <c r="D49" s="15"/>
    </row>
    <row r="50" customFormat="false" ht="15" hidden="false" customHeight="false" outlineLevel="0" collapsed="false">
      <c r="A50" s="9"/>
      <c r="B50" s="10" t="s">
        <v>2</v>
      </c>
      <c r="C50" s="10"/>
      <c r="D50" s="12"/>
    </row>
    <row r="51" customFormat="false" ht="15" hidden="false" customHeight="false" outlineLevel="0" collapsed="false">
      <c r="A51" s="9"/>
      <c r="B51" s="10"/>
      <c r="C51" s="11" t="str">
        <f aca="false">IF(D51&lt;&gt;"","▪","")</f>
        <v>▪</v>
      </c>
      <c r="D51" s="12" t="s">
        <v>30</v>
      </c>
    </row>
    <row r="52" customFormat="false" ht="15" hidden="false" customHeight="false" outlineLevel="0" collapsed="false">
      <c r="A52" s="9"/>
      <c r="B52" s="10"/>
      <c r="C52" s="11" t="str">
        <f aca="false">IF(D52&lt;&gt;"","▪","")</f>
        <v>▪</v>
      </c>
      <c r="D52" s="12" t="s">
        <v>31</v>
      </c>
    </row>
    <row r="53" customFormat="false" ht="15" hidden="false" customHeight="false" outlineLevel="0" collapsed="false">
      <c r="A53" s="9"/>
      <c r="B53" s="10"/>
      <c r="C53" s="10"/>
      <c r="D53" s="17"/>
    </row>
    <row r="54" customFormat="false" ht="18.75" hidden="false" customHeight="false" outlineLevel="0" collapsed="false">
      <c r="A54" s="13" t="s">
        <v>32</v>
      </c>
      <c r="B54" s="14"/>
      <c r="C54" s="14"/>
      <c r="D54" s="15"/>
    </row>
    <row r="55" customFormat="false" ht="15" hidden="false" customHeight="false" outlineLevel="0" collapsed="false">
      <c r="A55" s="9"/>
      <c r="B55" s="10" t="s">
        <v>2</v>
      </c>
      <c r="C55" s="10"/>
      <c r="D55" s="12"/>
    </row>
    <row r="56" customFormat="false" ht="15" hidden="false" customHeight="false" outlineLevel="0" collapsed="false">
      <c r="A56" s="9"/>
      <c r="B56" s="10"/>
      <c r="C56" s="11" t="str">
        <f aca="false">IF(D56&lt;&gt;"","▪","")</f>
        <v>▪</v>
      </c>
      <c r="D56" s="12" t="s">
        <v>33</v>
      </c>
    </row>
    <row r="57" customFormat="false" ht="30" hidden="false" customHeight="true" outlineLevel="0" collapsed="false">
      <c r="A57" s="9"/>
      <c r="B57" s="10"/>
      <c r="C57" s="11" t="str">
        <f aca="false">IF(D57&lt;&gt;"","▪","")</f>
        <v>▪</v>
      </c>
      <c r="D57" s="12" t="s">
        <v>34</v>
      </c>
    </row>
    <row r="58" customFormat="false" ht="30" hidden="false" customHeight="true" outlineLevel="0" collapsed="false">
      <c r="A58" s="9"/>
      <c r="B58" s="10"/>
      <c r="C58" s="11" t="str">
        <f aca="false">IF(D58&lt;&gt;"","▪","")</f>
        <v>▪</v>
      </c>
      <c r="D58" s="12" t="s">
        <v>35</v>
      </c>
    </row>
    <row r="59" customFormat="false" ht="30" hidden="false" customHeight="true" outlineLevel="0" collapsed="false">
      <c r="A59" s="9"/>
      <c r="B59" s="10"/>
      <c r="C59" s="11" t="str">
        <f aca="false">IF(D59&lt;&gt;"","▪","")</f>
        <v>▪</v>
      </c>
      <c r="D59" s="12" t="s">
        <v>36</v>
      </c>
    </row>
    <row r="60" customFormat="false" ht="25.5" hidden="false" customHeight="false" outlineLevel="0" collapsed="false">
      <c r="A60" s="9"/>
      <c r="B60" s="10"/>
      <c r="C60" s="11" t="str">
        <f aca="false">IF(D60&lt;&gt;"","▪","")</f>
        <v>▪</v>
      </c>
      <c r="D60" s="12" t="s">
        <v>37</v>
      </c>
    </row>
    <row r="61" customFormat="false" ht="15" hidden="false" customHeight="false" outlineLevel="0" collapsed="false">
      <c r="A61" s="9"/>
      <c r="B61" s="10"/>
      <c r="C61" s="11" t="str">
        <f aca="false">IF(D61&lt;&gt;"","▪","")</f>
        <v>▪</v>
      </c>
      <c r="D61" s="12" t="s">
        <v>38</v>
      </c>
    </row>
    <row r="62" customFormat="false" ht="30" hidden="false" customHeight="true" outlineLevel="0" collapsed="false">
      <c r="A62" s="9"/>
      <c r="B62" s="10"/>
      <c r="C62" s="11" t="str">
        <f aca="false">IF(D62&lt;&gt;"","▪","")</f>
        <v>▪</v>
      </c>
      <c r="D62" s="12" t="s">
        <v>39</v>
      </c>
    </row>
    <row r="63" customFormat="false" ht="15" hidden="false" customHeight="false" outlineLevel="0" collapsed="false">
      <c r="A63" s="9"/>
      <c r="B63" s="10" t="s">
        <v>40</v>
      </c>
      <c r="C63" s="10"/>
      <c r="D63" s="12"/>
    </row>
    <row r="64" customFormat="false" ht="15" hidden="false" customHeight="false" outlineLevel="0" collapsed="false">
      <c r="A64" s="9"/>
      <c r="B64" s="10"/>
      <c r="C64" s="11" t="str">
        <f aca="false">IF(D64&lt;&gt;"","▪","")</f>
        <v>▪</v>
      </c>
      <c r="D64" s="12" t="s">
        <v>41</v>
      </c>
    </row>
    <row r="65" customFormat="false" ht="15" hidden="false" customHeight="false" outlineLevel="0" collapsed="false">
      <c r="A65" s="9"/>
      <c r="B65" s="10"/>
      <c r="C65" s="11" t="str">
        <f aca="false">IF(D65&lt;&gt;"","▪","")</f>
        <v>▪</v>
      </c>
      <c r="D65" s="12" t="s">
        <v>42</v>
      </c>
    </row>
    <row r="66" customFormat="false" ht="15" hidden="false" customHeight="false" outlineLevel="0" collapsed="false">
      <c r="A66" s="9"/>
      <c r="B66" s="10"/>
      <c r="C66" s="11"/>
      <c r="D66" s="18" t="s">
        <v>43</v>
      </c>
    </row>
    <row r="67" customFormat="false" ht="15" hidden="false" customHeight="false" outlineLevel="0" collapsed="false">
      <c r="A67" s="9"/>
      <c r="B67" s="10"/>
      <c r="C67" s="11" t="str">
        <f aca="false">IF(D67&lt;&gt;"","▪","")</f>
        <v>▪</v>
      </c>
      <c r="D67" s="12" t="s">
        <v>44</v>
      </c>
    </row>
    <row r="68" customFormat="false" ht="15" hidden="false" customHeight="false" outlineLevel="0" collapsed="false">
      <c r="A68" s="9"/>
      <c r="B68" s="10"/>
      <c r="C68" s="11"/>
      <c r="D68" s="18" t="s">
        <v>45</v>
      </c>
    </row>
    <row r="69" customFormat="false" ht="15" hidden="false" customHeight="false" outlineLevel="0" collapsed="false">
      <c r="A69" s="9"/>
      <c r="B69" s="10"/>
      <c r="C69" s="11" t="str">
        <f aca="false">IF(D69&lt;&gt;"","▪","")</f>
        <v>▪</v>
      </c>
      <c r="D69" s="12" t="s">
        <v>46</v>
      </c>
    </row>
    <row r="70" customFormat="false" ht="15" hidden="false" customHeight="false" outlineLevel="0" collapsed="false">
      <c r="A70" s="9"/>
      <c r="B70" s="10"/>
      <c r="C70" s="11" t="str">
        <f aca="false">IF(D70&lt;&gt;"","▪","")</f>
        <v>▪</v>
      </c>
      <c r="D70" s="12" t="s">
        <v>47</v>
      </c>
    </row>
    <row r="71" customFormat="false" ht="15" hidden="false" customHeight="false" outlineLevel="0" collapsed="false">
      <c r="A71" s="9"/>
      <c r="B71" s="10" t="s">
        <v>23</v>
      </c>
      <c r="C71" s="10"/>
      <c r="D71" s="12"/>
    </row>
    <row r="72" customFormat="false" ht="15" hidden="false" customHeight="false" outlineLevel="0" collapsed="false">
      <c r="A72" s="9"/>
      <c r="B72" s="10"/>
      <c r="C72" s="11" t="str">
        <f aca="false">IF(D72&lt;&gt;"","▪","")</f>
        <v>▪</v>
      </c>
      <c r="D72" s="12" t="s">
        <v>48</v>
      </c>
    </row>
    <row r="73" customFormat="false" ht="15" hidden="false" customHeight="false" outlineLevel="0" collapsed="false">
      <c r="A73" s="9"/>
      <c r="B73" s="10" t="s">
        <v>49</v>
      </c>
      <c r="C73" s="10"/>
      <c r="D73" s="12"/>
    </row>
    <row r="74" customFormat="false" ht="15" hidden="false" customHeight="false" outlineLevel="0" collapsed="false">
      <c r="A74" s="9"/>
      <c r="B74" s="10"/>
      <c r="C74" s="11" t="str">
        <f aca="false">IF(D74&lt;&gt;"","▪","")</f>
        <v>▪</v>
      </c>
      <c r="D74" s="12" t="s">
        <v>50</v>
      </c>
    </row>
    <row r="75" customFormat="false" ht="15" hidden="false" customHeight="false" outlineLevel="0" collapsed="false">
      <c r="A75" s="9"/>
      <c r="B75" s="10"/>
      <c r="C75" s="11" t="str">
        <f aca="false">IF(D75&lt;&gt;"","▪","")</f>
        <v>▪</v>
      </c>
      <c r="D75" s="12" t="s">
        <v>51</v>
      </c>
    </row>
    <row r="76" customFormat="false" ht="15" hidden="false" customHeight="false" outlineLevel="0" collapsed="false">
      <c r="A76" s="9"/>
      <c r="B76" s="10"/>
      <c r="C76" s="11" t="str">
        <f aca="false">IF(D76&lt;&gt;"","▪","")</f>
        <v>▪</v>
      </c>
      <c r="D76" s="12" t="s">
        <v>52</v>
      </c>
    </row>
    <row r="77" customFormat="false" ht="15" hidden="false" customHeight="false" outlineLevel="0" collapsed="false">
      <c r="A77" s="9"/>
      <c r="B77" s="10"/>
      <c r="C77" s="11" t="str">
        <f aca="false">IF(D77&lt;&gt;"","▪","")</f>
        <v>▪</v>
      </c>
      <c r="D77" s="12" t="s">
        <v>53</v>
      </c>
    </row>
    <row r="78" customFormat="false" ht="15" hidden="false" customHeight="false" outlineLevel="0" collapsed="false">
      <c r="A78" s="9"/>
      <c r="B78" s="10" t="s">
        <v>54</v>
      </c>
      <c r="C78" s="10"/>
      <c r="D78" s="12"/>
    </row>
    <row r="79" customFormat="false" ht="15" hidden="false" customHeight="false" outlineLevel="0" collapsed="false">
      <c r="A79" s="9"/>
      <c r="B79" s="10"/>
      <c r="C79" s="11" t="str">
        <f aca="false">IF(D79&lt;&gt;"","▪","")</f>
        <v>▪</v>
      </c>
      <c r="D79" s="12" t="s">
        <v>50</v>
      </c>
    </row>
    <row r="80" customFormat="false" ht="15" hidden="false" customHeight="false" outlineLevel="0" collapsed="false">
      <c r="A80" s="9"/>
      <c r="B80" s="10"/>
      <c r="C80" s="11" t="str">
        <f aca="false">IF(D80&lt;&gt;"","▪","")</f>
        <v>▪</v>
      </c>
      <c r="D80" s="12" t="s">
        <v>55</v>
      </c>
    </row>
    <row r="81" customFormat="false" ht="15" hidden="false" customHeight="false" outlineLevel="0" collapsed="false">
      <c r="A81" s="9"/>
      <c r="B81" s="10"/>
      <c r="C81" s="11" t="str">
        <f aca="false">IF(D81&lt;&gt;"","▪","")</f>
        <v>▪</v>
      </c>
      <c r="D81" s="12" t="s">
        <v>52</v>
      </c>
    </row>
    <row r="82" customFormat="false" ht="15" hidden="false" customHeight="false" outlineLevel="0" collapsed="false">
      <c r="A82" s="9"/>
      <c r="B82" s="10"/>
      <c r="C82" s="11" t="str">
        <f aca="false">IF(D82&lt;&gt;"","▪","")</f>
        <v>▪</v>
      </c>
      <c r="D82" s="12" t="s">
        <v>53</v>
      </c>
    </row>
    <row r="83" customFormat="false" ht="15" hidden="false" customHeight="false" outlineLevel="0" collapsed="false">
      <c r="A83" s="9"/>
      <c r="B83" s="10" t="s">
        <v>17</v>
      </c>
      <c r="C83" s="10"/>
      <c r="D83" s="12"/>
    </row>
    <row r="84" customFormat="false" ht="19.5" hidden="false" customHeight="true" outlineLevel="0" collapsed="false">
      <c r="A84" s="9"/>
      <c r="B84" s="10"/>
      <c r="C84" s="11" t="str">
        <f aca="false">IF(D84&lt;&gt;"","▪","")</f>
        <v>▪</v>
      </c>
      <c r="D84" s="12" t="s">
        <v>56</v>
      </c>
    </row>
    <row r="85" customFormat="false" ht="15" hidden="false" customHeight="false" outlineLevel="0" collapsed="false">
      <c r="A85" s="9"/>
      <c r="B85" s="10" t="s">
        <v>57</v>
      </c>
      <c r="C85" s="10"/>
      <c r="D85" s="12"/>
    </row>
    <row r="86" customFormat="false" ht="19.5" hidden="false" customHeight="true" outlineLevel="0" collapsed="false">
      <c r="A86" s="9"/>
      <c r="B86" s="10"/>
      <c r="C86" s="11" t="str">
        <f aca="false">IF(D86&lt;&gt;"","▪","")</f>
        <v>▪</v>
      </c>
      <c r="D86" s="12" t="s">
        <v>58</v>
      </c>
    </row>
    <row r="87" customFormat="false" ht="15" hidden="false" customHeight="false" outlineLevel="0" collapsed="false">
      <c r="A87" s="3"/>
      <c r="B87" s="19"/>
      <c r="C87" s="19"/>
      <c r="D87" s="20"/>
    </row>
    <row r="88" customFormat="false" ht="18.75" hidden="false" customHeight="false" outlineLevel="0" collapsed="false">
      <c r="A88" s="13" t="s">
        <v>59</v>
      </c>
      <c r="B88" s="14"/>
      <c r="C88" s="14"/>
      <c r="D88" s="15"/>
    </row>
    <row r="89" customFormat="false" ht="15" hidden="false" customHeight="false" outlineLevel="0" collapsed="false">
      <c r="A89" s="9"/>
      <c r="B89" s="10" t="s">
        <v>2</v>
      </c>
      <c r="C89" s="10"/>
      <c r="D89" s="12"/>
    </row>
    <row r="90" customFormat="false" ht="15" hidden="false" customHeight="false" outlineLevel="0" collapsed="false">
      <c r="A90" s="9"/>
      <c r="B90" s="10"/>
      <c r="C90" s="11" t="str">
        <f aca="false">IF(D90&lt;&gt;"","▪","")</f>
        <v>▪</v>
      </c>
      <c r="D90" s="12" t="s">
        <v>60</v>
      </c>
    </row>
    <row r="91" customFormat="false" ht="15" hidden="false" customHeight="false" outlineLevel="0" collapsed="false">
      <c r="A91" s="9"/>
      <c r="B91" s="10" t="s">
        <v>40</v>
      </c>
      <c r="C91" s="10"/>
      <c r="D91" s="12"/>
    </row>
    <row r="92" customFormat="false" ht="15" hidden="false" customHeight="false" outlineLevel="0" collapsed="false">
      <c r="A92" s="9"/>
      <c r="B92" s="10"/>
      <c r="C92" s="11" t="str">
        <f aca="false">IF(D92&lt;&gt;"","▪","")</f>
        <v>▪</v>
      </c>
      <c r="D92" s="12" t="s">
        <v>61</v>
      </c>
    </row>
    <row r="93" customFormat="false" ht="38.25" hidden="false" customHeight="false" outlineLevel="0" collapsed="false">
      <c r="A93" s="9"/>
      <c r="B93" s="10"/>
      <c r="C93" s="11" t="str">
        <f aca="false">IF(D93&lt;&gt;"","▪","")</f>
        <v>▪</v>
      </c>
      <c r="D93" s="12" t="s">
        <v>62</v>
      </c>
    </row>
    <row r="94" customFormat="false" ht="25.5" hidden="false" customHeight="false" outlineLevel="0" collapsed="false">
      <c r="A94" s="9"/>
      <c r="B94" s="10"/>
      <c r="C94" s="11" t="str">
        <f aca="false">IF(D94&lt;&gt;"","▪","")</f>
        <v>▪</v>
      </c>
      <c r="D94" s="12" t="s">
        <v>63</v>
      </c>
    </row>
    <row r="95" customFormat="false" ht="15" hidden="false" customHeight="false" outlineLevel="0" collapsed="false">
      <c r="A95" s="9"/>
      <c r="B95" s="10" t="s">
        <v>23</v>
      </c>
      <c r="C95" s="10"/>
      <c r="D95" s="12"/>
    </row>
    <row r="96" customFormat="false" ht="15" hidden="false" customHeight="false" outlineLevel="0" collapsed="false">
      <c r="A96" s="9"/>
      <c r="B96" s="10"/>
      <c r="C96" s="11" t="str">
        <f aca="false">IF(D96&lt;&gt;"","▪","")</f>
        <v>▪</v>
      </c>
      <c r="D96" s="12" t="s">
        <v>64</v>
      </c>
    </row>
    <row r="97" customFormat="false" ht="15" hidden="false" customHeight="false" outlineLevel="0" collapsed="false">
      <c r="A97" s="9"/>
      <c r="B97" s="10" t="s">
        <v>11</v>
      </c>
      <c r="C97" s="10"/>
      <c r="D97" s="12"/>
    </row>
    <row r="98" customFormat="false" ht="15" hidden="false" customHeight="false" outlineLevel="0" collapsed="false">
      <c r="A98" s="9"/>
      <c r="B98" s="10"/>
      <c r="C98" s="11" t="str">
        <f aca="false">IF(D98&lt;&gt;"","▪","")</f>
        <v>▪</v>
      </c>
      <c r="D98" s="12" t="s">
        <v>65</v>
      </c>
    </row>
    <row r="99" customFormat="false" ht="15" hidden="false" customHeight="false" outlineLevel="0" collapsed="false">
      <c r="A99" s="9"/>
      <c r="B99" s="10" t="s">
        <v>49</v>
      </c>
      <c r="C99" s="10"/>
      <c r="D99" s="12"/>
    </row>
    <row r="100" customFormat="false" ht="25.5" hidden="false" customHeight="false" outlineLevel="0" collapsed="false">
      <c r="A100" s="9"/>
      <c r="B100" s="10"/>
      <c r="C100" s="11" t="str">
        <f aca="false">IF(D100&lt;&gt;"","▪","")</f>
        <v>▪</v>
      </c>
      <c r="D100" s="12" t="s">
        <v>66</v>
      </c>
    </row>
    <row r="101" customFormat="false" ht="15" hidden="false" customHeight="false" outlineLevel="0" collapsed="false">
      <c r="A101" s="9"/>
      <c r="B101" s="10"/>
      <c r="C101" s="11" t="str">
        <f aca="false">IF(D101&lt;&gt;"","▪","")</f>
        <v>▪</v>
      </c>
      <c r="D101" s="12" t="s">
        <v>67</v>
      </c>
    </row>
    <row r="102" customFormat="false" ht="15" hidden="false" customHeight="false" outlineLevel="0" collapsed="false">
      <c r="A102" s="9"/>
      <c r="B102" s="10" t="s">
        <v>20</v>
      </c>
      <c r="C102" s="10"/>
      <c r="D102" s="12"/>
    </row>
    <row r="103" customFormat="false" ht="15" hidden="false" customHeight="false" outlineLevel="0" collapsed="false">
      <c r="A103" s="9"/>
      <c r="B103" s="10"/>
      <c r="C103" s="11" t="str">
        <f aca="false">IF(D103&lt;&gt;"","▪","")</f>
        <v>▪</v>
      </c>
      <c r="D103" s="12" t="s">
        <v>68</v>
      </c>
    </row>
    <row r="104" customFormat="false" ht="15" hidden="false" customHeight="false" outlineLevel="0" collapsed="false">
      <c r="A104" s="9"/>
      <c r="B104" s="10" t="s">
        <v>54</v>
      </c>
      <c r="C104" s="10"/>
      <c r="D104" s="12"/>
    </row>
    <row r="105" customFormat="false" ht="15" hidden="false" customHeight="false" outlineLevel="0" collapsed="false">
      <c r="A105" s="9"/>
      <c r="B105" s="10"/>
      <c r="C105" s="11" t="str">
        <f aca="false">IF(D105&lt;&gt;"","▪","")</f>
        <v>▪</v>
      </c>
      <c r="D105" s="12" t="s">
        <v>69</v>
      </c>
    </row>
    <row r="106" customFormat="false" ht="15" hidden="false" customHeight="false" outlineLevel="0" collapsed="false">
      <c r="A106" s="9"/>
      <c r="B106" s="10"/>
      <c r="C106" s="11" t="str">
        <f aca="false">IF(D106&lt;&gt;"","▪","")</f>
        <v>▪</v>
      </c>
      <c r="D106" s="12" t="s">
        <v>70</v>
      </c>
    </row>
    <row r="107" customFormat="false" ht="15" hidden="false" customHeight="false" outlineLevel="0" collapsed="false">
      <c r="A107" s="9"/>
      <c r="B107" s="10" t="s">
        <v>71</v>
      </c>
      <c r="C107" s="10"/>
      <c r="D107" s="12"/>
    </row>
    <row r="108" customFormat="false" ht="15" hidden="false" customHeight="false" outlineLevel="0" collapsed="false">
      <c r="A108" s="9"/>
      <c r="B108" s="10"/>
      <c r="C108" s="11" t="str">
        <f aca="false">IF(D108&lt;&gt;"","▪","")</f>
        <v>▪</v>
      </c>
      <c r="D108" s="12" t="s">
        <v>72</v>
      </c>
    </row>
    <row r="109" customFormat="false" ht="15" hidden="false" customHeight="false" outlineLevel="0" collapsed="false">
      <c r="A109" s="9"/>
      <c r="B109" s="10"/>
      <c r="C109" s="11" t="str">
        <f aca="false">IF(D109&lt;&gt;"","▪","")</f>
        <v>▪</v>
      </c>
      <c r="D109" s="12" t="s">
        <v>73</v>
      </c>
    </row>
    <row r="110" customFormat="false" ht="15" hidden="false" customHeight="false" outlineLevel="0" collapsed="false">
      <c r="A110" s="9"/>
      <c r="B110" s="10"/>
      <c r="C110" s="11" t="str">
        <f aca="false">IF(D110&lt;&gt;"","▪","")</f>
        <v>▪</v>
      </c>
      <c r="D110" s="12" t="s">
        <v>74</v>
      </c>
    </row>
    <row r="111" customFormat="false" ht="15" hidden="false" customHeight="false" outlineLevel="0" collapsed="false">
      <c r="A111" s="9"/>
      <c r="B111" s="10" t="s">
        <v>17</v>
      </c>
      <c r="C111" s="10"/>
      <c r="D111" s="12"/>
    </row>
    <row r="112" customFormat="false" ht="15" hidden="false" customHeight="false" outlineLevel="0" collapsed="false">
      <c r="A112" s="9"/>
      <c r="B112" s="10"/>
      <c r="C112" s="11" t="str">
        <f aca="false">IF(D112&lt;&gt;"","▪","")</f>
        <v>▪</v>
      </c>
      <c r="D112" s="12" t="s">
        <v>75</v>
      </c>
    </row>
    <row r="113" customFormat="false" ht="15" hidden="false" customHeight="false" outlineLevel="0" collapsed="false">
      <c r="A113" s="9"/>
      <c r="B113" s="10" t="s">
        <v>76</v>
      </c>
      <c r="C113" s="10"/>
      <c r="D113" s="12"/>
    </row>
    <row r="114" customFormat="false" ht="15" hidden="false" customHeight="false" outlineLevel="0" collapsed="false">
      <c r="A114" s="9"/>
      <c r="B114" s="10"/>
      <c r="C114" s="11" t="str">
        <f aca="false">IF(D114&lt;&gt;"","▪","")</f>
        <v>▪</v>
      </c>
      <c r="D114" s="12" t="s">
        <v>77</v>
      </c>
    </row>
    <row r="115" customFormat="false" ht="15" hidden="false" customHeight="false" outlineLevel="0" collapsed="false">
      <c r="A115" s="9"/>
      <c r="B115" s="10" t="s">
        <v>78</v>
      </c>
      <c r="C115" s="10"/>
      <c r="D115" s="12"/>
    </row>
    <row r="116" customFormat="false" ht="15" hidden="false" customHeight="false" outlineLevel="0" collapsed="false">
      <c r="A116" s="9"/>
      <c r="B116" s="10"/>
      <c r="C116" s="11" t="str">
        <f aca="false">IF(D116&lt;&gt;"","▪","")</f>
        <v>▪</v>
      </c>
      <c r="D116" s="12" t="s">
        <v>79</v>
      </c>
    </row>
    <row r="117" customFormat="false" ht="15" hidden="false" customHeight="false" outlineLevel="0" collapsed="false">
      <c r="A117" s="3"/>
      <c r="B117" s="19"/>
      <c r="C117" s="19"/>
      <c r="D117" s="20"/>
    </row>
    <row r="118" customFormat="false" ht="18.75" hidden="false" customHeight="false" outlineLevel="0" collapsed="false">
      <c r="A118" s="13" t="s">
        <v>80</v>
      </c>
      <c r="B118" s="14"/>
      <c r="C118" s="14"/>
      <c r="D118" s="15"/>
    </row>
    <row r="119" customFormat="false" ht="15" hidden="false" customHeight="false" outlineLevel="0" collapsed="false">
      <c r="A119" s="9"/>
      <c r="B119" s="10" t="s">
        <v>40</v>
      </c>
      <c r="C119" s="10"/>
      <c r="D119" s="12"/>
    </row>
    <row r="120" customFormat="false" ht="25.5" hidden="false" customHeight="false" outlineLevel="0" collapsed="false">
      <c r="A120" s="9"/>
      <c r="B120" s="10"/>
      <c r="C120" s="11" t="str">
        <f aca="false">IF(D120&lt;&gt;"","▪","")</f>
        <v>▪</v>
      </c>
      <c r="D120" s="12" t="s">
        <v>81</v>
      </c>
    </row>
    <row r="121" customFormat="false" ht="15" hidden="false" customHeight="false" outlineLevel="0" collapsed="false">
      <c r="A121" s="9"/>
      <c r="B121" s="10" t="s">
        <v>11</v>
      </c>
      <c r="C121" s="10"/>
      <c r="D121" s="12"/>
    </row>
    <row r="122" customFormat="false" ht="15" hidden="false" customHeight="false" outlineLevel="0" collapsed="false">
      <c r="A122" s="9"/>
      <c r="B122" s="10"/>
      <c r="C122" s="11" t="str">
        <f aca="false">IF(D122&lt;&gt;"","▪","")</f>
        <v>▪</v>
      </c>
      <c r="D122" s="12" t="s">
        <v>82</v>
      </c>
    </row>
    <row r="123" customFormat="false" ht="15" hidden="false" customHeight="false" outlineLevel="0" collapsed="false">
      <c r="A123" s="9"/>
      <c r="B123" s="10" t="s">
        <v>23</v>
      </c>
      <c r="C123" s="10"/>
      <c r="D123" s="12"/>
    </row>
    <row r="124" customFormat="false" ht="15" hidden="false" customHeight="false" outlineLevel="0" collapsed="false">
      <c r="A124" s="9"/>
      <c r="B124" s="10"/>
      <c r="C124" s="11" t="str">
        <f aca="false">IF(D124&lt;&gt;"","▪","")</f>
        <v>▪</v>
      </c>
      <c r="D124" s="12" t="s">
        <v>83</v>
      </c>
    </row>
    <row r="125" customFormat="false" ht="15" hidden="false" customHeight="false" outlineLevel="0" collapsed="false">
      <c r="A125" s="3"/>
      <c r="B125" s="19"/>
      <c r="C125" s="19"/>
      <c r="D125" s="20"/>
    </row>
    <row r="126" customFormat="false" ht="18.75" hidden="false" customHeight="false" outlineLevel="0" collapsed="false">
      <c r="A126" s="13" t="s">
        <v>84</v>
      </c>
      <c r="B126" s="14"/>
      <c r="C126" s="14"/>
      <c r="D126" s="15"/>
    </row>
    <row r="127" customFormat="false" ht="15" hidden="false" customHeight="false" outlineLevel="0" collapsed="false">
      <c r="A127" s="9"/>
      <c r="B127" s="10" t="s">
        <v>2</v>
      </c>
      <c r="C127" s="10"/>
      <c r="D127" s="12"/>
    </row>
    <row r="128" customFormat="false" ht="15" hidden="false" customHeight="false" outlineLevel="0" collapsed="false">
      <c r="A128" s="9"/>
      <c r="B128" s="10"/>
      <c r="C128" s="11" t="str">
        <f aca="false">IF(D128&lt;&gt;"","▪","")</f>
        <v>▪</v>
      </c>
      <c r="D128" s="12" t="s">
        <v>85</v>
      </c>
    </row>
    <row r="129" customFormat="false" ht="15" hidden="false" customHeight="false" outlineLevel="0" collapsed="false">
      <c r="A129" s="3"/>
      <c r="B129" s="19"/>
      <c r="C129" s="19"/>
      <c r="D129" s="20"/>
    </row>
  </sheetData>
  <sheetProtection sheet="true" password="bd1f" objects="true" scenarios="true" autoFilter="false"/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29"/>
  <sheetViews>
    <sheetView showFormulas="false" showGridLines="false" showRowColHeaders="true" showZeros="true" rightToLeft="false" tabSelected="false" showOutlineSymbols="true" defaultGridColor="true" view="pageBreakPreview" topLeftCell="A1" colorId="64" zoomScale="90" zoomScaleNormal="100" zoomScalePageLayoutView="90" workbookViewId="0">
      <pane xSplit="7" ySplit="13" topLeftCell="H14" activePane="bottomRight" state="frozen"/>
      <selection pane="topLeft" activeCell="A1" activeCellId="0" sqref="A1"/>
      <selection pane="topRight" activeCell="H1" activeCellId="0" sqref="H1"/>
      <selection pane="bottomLeft" activeCell="A14" activeCellId="0" sqref="A14"/>
      <selection pane="bottomRight" activeCell="A1" activeCellId="0" sqref="A1"/>
    </sheetView>
  </sheetViews>
  <sheetFormatPr defaultColWidth="8.6796875" defaultRowHeight="12.75" zeroHeight="false" outlineLevelRow="0" outlineLevelCol="0"/>
  <cols>
    <col collapsed="false" customWidth="true" hidden="true" outlineLevel="0" max="1" min="1" style="1" width="15.85"/>
    <col collapsed="false" customWidth="true" hidden="true" outlineLevel="0" max="2" min="2" style="1" width="10.42"/>
    <col collapsed="false" customWidth="true" hidden="false" outlineLevel="0" max="3" min="3" style="1" width="3.57"/>
    <col collapsed="false" customWidth="true" hidden="false" outlineLevel="0" max="4" min="4" style="1" width="6.57"/>
    <col collapsed="false" customWidth="true" hidden="false" outlineLevel="0" max="5" min="5" style="1" width="18.57"/>
    <col collapsed="false" customWidth="true" hidden="false" outlineLevel="0" max="6" min="6" style="1" width="28.57"/>
    <col collapsed="false" customWidth="true" hidden="false" outlineLevel="0" max="7" min="7" style="1" width="35.57"/>
    <col collapsed="false" customWidth="true" hidden="false" outlineLevel="0" max="8" min="8" style="1" width="15.57"/>
    <col collapsed="false" customWidth="true" hidden="false" outlineLevel="0" max="9" min="9" style="1" width="12.57"/>
    <col collapsed="false" customWidth="true" hidden="false" outlineLevel="0" max="10" min="10" style="1" width="7.57"/>
    <col collapsed="false" customWidth="true" hidden="false" outlineLevel="0" max="15" min="11" style="1" width="16.57"/>
    <col collapsed="false" customWidth="true" hidden="false" outlineLevel="0" max="17" min="16" style="1" width="5.57"/>
    <col collapsed="false" customWidth="true" hidden="false" outlineLevel="0" max="18" min="18" style="1" width="35.57"/>
    <col collapsed="false" customWidth="true" hidden="false" outlineLevel="0" max="19" min="19" style="1" width="1.57"/>
    <col collapsed="false" customWidth="true" hidden="false" outlineLevel="0" max="21" min="20" style="1" width="16.57"/>
    <col collapsed="false" customWidth="true" hidden="false" outlineLevel="0" max="22" min="22" style="1" width="13.57"/>
    <col collapsed="false" customWidth="true" hidden="false" outlineLevel="0" max="24" min="23" style="1" width="16.57"/>
    <col collapsed="false" customWidth="true" hidden="false" outlineLevel="0" max="25" min="25" style="1" width="1.57"/>
    <col collapsed="false" customWidth="true" hidden="true" outlineLevel="0" max="28" min="26" style="1" width="9.14"/>
    <col collapsed="false" customWidth="true" hidden="true" outlineLevel="0" max="29" min="29" style="1" width="3.57"/>
    <col collapsed="false" customWidth="true" hidden="true" outlineLevel="0" max="30" min="30" style="1" width="13.42"/>
    <col collapsed="false" customWidth="true" hidden="true" outlineLevel="0" max="31" min="31" style="1" width="9.14"/>
  </cols>
  <sheetData>
    <row r="1" customFormat="false" ht="30" hidden="false" customHeight="true" outlineLevel="0" collapsed="false">
      <c r="F1" s="526" t="s">
        <v>850</v>
      </c>
      <c r="I1" s="50"/>
      <c r="J1" s="50"/>
      <c r="O1" s="385" t="s">
        <v>799</v>
      </c>
      <c r="P1" s="16"/>
    </row>
    <row r="2" customFormat="false" ht="12.75" hidden="false" customHeight="false" outlineLevel="0" collapsed="false">
      <c r="Z2" s="1" t="s">
        <v>851</v>
      </c>
      <c r="AA2" s="170" t="s">
        <v>852</v>
      </c>
      <c r="AB2" s="150"/>
    </row>
    <row r="3" customFormat="false" ht="12.75" hidden="false" customHeight="false" outlineLevel="0" collapsed="false">
      <c r="D3" s="103" t="s">
        <v>665</v>
      </c>
      <c r="E3" s="103"/>
      <c r="F3" s="162" t="s">
        <v>724</v>
      </c>
      <c r="G3" s="103" t="s">
        <v>667</v>
      </c>
      <c r="H3" s="103"/>
      <c r="I3" s="103"/>
      <c r="J3" s="527" t="s">
        <v>853</v>
      </c>
      <c r="K3" s="527"/>
      <c r="L3" s="527"/>
      <c r="M3" s="528" t="s">
        <v>854</v>
      </c>
      <c r="N3" s="528"/>
      <c r="O3" s="528"/>
      <c r="Z3" s="182" t="n">
        <f aca="false">MAX(Z7:AB7)</f>
        <v>0</v>
      </c>
      <c r="AA3" s="529" t="n">
        <f aca="false">IF(OR($O$16=ORÇAMENTO.SumINVMANUAL+QCI.SumINVMANUAL,$O$16=0),0,MIN(MAX(0,($Z$3*$O$16-ORÇAMENTO.SumCPMANUAL-QCI.SumCPMANUAL)/($O$16-ORÇAMENTO.SumINVMANUAL-QCI.SumINVMANUAL)),1))</f>
        <v>0</v>
      </c>
      <c r="AB3" s="165"/>
    </row>
    <row r="4" customFormat="false" ht="12.75" hidden="false" customHeight="false" outlineLevel="0" collapsed="false">
      <c r="D4" s="104" t="str">
        <f aca="false">Import.CR</f>
        <v>-</v>
      </c>
      <c r="E4" s="104"/>
      <c r="F4" s="104" t="str">
        <f aca="false">Import.TransfereGOV</f>
        <v>-</v>
      </c>
      <c r="G4" s="104" t="str">
        <f aca="false">Import.Proponente</f>
        <v>PREFEITURA MUNICIPAL DE CAÇAPAVA DO SUL</v>
      </c>
      <c r="H4" s="104"/>
      <c r="I4" s="104"/>
      <c r="J4" s="530" t="str">
        <f aca="false">Import.Município</f>
        <v>CAÇÃPAVA DO SUL</v>
      </c>
      <c r="K4" s="530"/>
      <c r="L4" s="530"/>
      <c r="M4" s="528"/>
      <c r="N4" s="528"/>
      <c r="O4" s="528"/>
      <c r="R4" s="111"/>
      <c r="Z4" s="165"/>
      <c r="AA4" s="165"/>
      <c r="AB4" s="165"/>
    </row>
    <row r="5" customFormat="false" ht="4.5" hidden="false" customHeight="true" outlineLevel="0" collapsed="false">
      <c r="M5" s="36"/>
      <c r="O5" s="9"/>
    </row>
    <row r="6" customFormat="false" ht="12.75" hidden="false" customHeight="false" outlineLevel="0" collapsed="false">
      <c r="D6" s="103" t="s">
        <v>725</v>
      </c>
      <c r="E6" s="103"/>
      <c r="F6" s="103"/>
      <c r="G6" s="103"/>
      <c r="H6" s="103"/>
      <c r="I6" s="103"/>
      <c r="J6" s="103"/>
      <c r="K6" s="103"/>
      <c r="L6" s="531" t="s">
        <v>732</v>
      </c>
      <c r="M6" s="162" t="str">
        <f aca="false">IF(import.recurso="FGTS","FINANCIAMENTO","REPASSE")</f>
        <v>REPASSE</v>
      </c>
      <c r="N6" s="162" t="s">
        <v>855</v>
      </c>
      <c r="O6" s="162" t="s">
        <v>856</v>
      </c>
      <c r="Z6" s="1" t="s">
        <v>857</v>
      </c>
      <c r="AA6" s="1" t="s">
        <v>858</v>
      </c>
      <c r="AB6" s="1" t="s">
        <v>859</v>
      </c>
    </row>
    <row r="7" customFormat="false" ht="12.75" hidden="false" customHeight="true" outlineLevel="0" collapsed="false">
      <c r="C7" s="105" t="s">
        <v>670</v>
      </c>
      <c r="D7" s="104" t="str">
        <f aca="false">Import.Apelido</f>
        <v>EMEF INSTITUTO AUGUSTA MARIA LIMA MARQUES</v>
      </c>
      <c r="E7" s="104"/>
      <c r="F7" s="104"/>
      <c r="G7" s="104"/>
      <c r="H7" s="104"/>
      <c r="I7" s="104"/>
      <c r="J7" s="104"/>
      <c r="K7" s="104"/>
      <c r="L7" s="532" t="str">
        <f aca="false">import.recurso</f>
        <v>OGU</v>
      </c>
      <c r="M7" s="533" t="n">
        <f aca="false">Import.Repasse</f>
        <v>4413.98727</v>
      </c>
      <c r="N7" s="533" t="n">
        <f aca="false">Import.Contrapartida</f>
        <v>0</v>
      </c>
      <c r="O7" s="533" t="n">
        <f aca="false">M7+N7</f>
        <v>4413.98727</v>
      </c>
      <c r="Z7" s="182" t="n">
        <f aca="false">ROUND(Import.CPMinPerc,4)</f>
        <v>0</v>
      </c>
      <c r="AA7" s="182" t="n">
        <f aca="false">IF($O$16=0,0,Import.CPMinAbsoluta/$O$16)</f>
        <v>0</v>
      </c>
      <c r="AB7" s="182" t="n">
        <f aca="false">IF($O$16=0,0,($O$16-$AB$16-Import.Repasse)/($O$16))</f>
        <v>0</v>
      </c>
    </row>
    <row r="8" customFormat="false" ht="12.75" hidden="false" customHeight="false" outlineLevel="0" collapsed="false">
      <c r="C8" s="105"/>
      <c r="D8" s="165"/>
      <c r="E8" s="165"/>
      <c r="F8" s="534"/>
      <c r="G8" s="165"/>
      <c r="H8" s="165"/>
      <c r="I8" s="165"/>
      <c r="J8" s="165"/>
      <c r="K8" s="165"/>
      <c r="L8" s="165"/>
      <c r="M8" s="165"/>
      <c r="N8" s="165"/>
      <c r="O8" s="165"/>
    </row>
    <row r="9" customFormat="false" ht="12.75" hidden="false" customHeight="true" outlineLevel="0" collapsed="false">
      <c r="C9" s="105"/>
      <c r="G9" s="535" t="str">
        <f aca="true">IF($T$11&lt;&gt;"","PREENCHIMENTO INCOMPLETO DA TABELA AUXILIAR DO QCI",
  IF($G$11&lt;&gt;"","PREENCHIMENTO INCOMPLETO DA TABELA PRINCIPAL DO QCI",
  IF(AND($O$16&gt;0,$M$17&gt;Import.CPMaxPerc,Import.CPMaxPerc&gt;0),"ERRO: CONTRAPARTIDA MAIOR QUE A MÁXIMA",
  IF(OR(AND($O$16&gt;0,$M$17&lt;QCI!$Z$7),$M$16&lt;ROUND(Import.CPMinAbsoluta,2)),"ERRO: CONTRAPARTIDA MENOR QUE A MÍNIMA",
  IF(OR($L$10&lt;0,$M$10&lt;0),"ERRO: SALDO NEGATIVO",
  IF(COUNTIF($L$13:$L$16,"&lt;0")&gt;0,"ERRO: VALORES DE REPASSE NEGATIVOS",
  IF(OFFSET($A$16,-1,0)&lt;OFFSET(ORÇAMENTO!$E$40,-1,0),"ERRO: NÚMERO DE LINHAS DO QCI INSUFICIENTE. CLIQUE NO BOTÃO ADICIONAR LINHAS",
  "")))))))</f>
        <v>PREENCHIMENTO INCOMPLETO DA TABELA AUXILIAR DO QCI</v>
      </c>
      <c r="H9" s="535"/>
      <c r="I9" s="536"/>
      <c r="J9" s="537"/>
      <c r="K9" s="538" t="s">
        <v>860</v>
      </c>
      <c r="L9" s="539" t="str">
        <f aca="false">$L$13</f>
        <v>Repasse (R$)</v>
      </c>
      <c r="M9" s="539" t="s">
        <v>758</v>
      </c>
      <c r="AD9" s="540"/>
      <c r="AE9" s="540"/>
    </row>
    <row r="10" customFormat="false" ht="12.75" hidden="false" customHeight="true" outlineLevel="0" collapsed="false">
      <c r="A10" s="541" t="s">
        <v>861</v>
      </c>
      <c r="C10" s="105"/>
      <c r="G10" s="535"/>
      <c r="H10" s="535"/>
      <c r="I10" s="536"/>
      <c r="J10" s="537"/>
      <c r="K10" s="538"/>
      <c r="L10" s="542" t="n">
        <f aca="false">Import.Repasse-L16</f>
        <v>-0.0027299999992465</v>
      </c>
      <c r="M10" s="543" t="n">
        <f aca="false">Import.Contrapartida-M16</f>
        <v>0</v>
      </c>
      <c r="Z10" s="187" t="s">
        <v>738</v>
      </c>
      <c r="AA10" s="187"/>
      <c r="AB10" s="187"/>
      <c r="AD10" s="540" t="s">
        <v>862</v>
      </c>
      <c r="AE10" s="540"/>
    </row>
    <row r="11" customFormat="false" ht="19.5" hidden="false" customHeight="true" outlineLevel="0" collapsed="false">
      <c r="A11" s="541"/>
      <c r="C11" s="105"/>
      <c r="G11" s="544" t="str">
        <f aca="false">IF(COUNTIF($P$13:$P$16,"ITEM")&gt;0,"Falta definir o ITEM de Investimento da Meta "&amp;INDEX($D$13:$D$16,MATCH("ITEM",$P$13:$P$16,0)),
  IF(COUNTIF($P$13:$P$16,"SUBITEM")&gt;0,"Falta definir o SUBITEM de Investimento da Meta "&amp;INDEX($D$13:$D$16,MATCH("SUBITEM",$P$13:$P$16,0)),
  IF(COUNTIF($P$13:$P$16,"SITUAÇÃO")&gt;0,"Falta definir a SITUAÇÃO do Investimento da Meta "&amp;INDEX($D$13:$D$16,MATCH("SITUAÇÃO",$P$13:$P$16,0)),
  IF(COUNTIF($P$13:$P$16,"QUANT.")&gt;0,"Falta preencher a QUANTIDADE da Meta "&amp;INDEX($D$13:$D$16,MATCH("QUANT.",$P$13:$P$16,0)),
  ""))))</f>
        <v/>
      </c>
      <c r="T11" s="52" t="n">
        <f aca="false">IF(COUNTIF($S$13:$S$16,"► LOTE")&gt;0,"Falta preencher o LOTE/CTEF da Meta "&amp;INDEX($D$13:$D$16,MATCH("► LOTE",$S$13:$S$16,0)),
  IF(COUNTIF($S$13:$S$16,"► INVEST")&gt;0,"Falta preencher o valor do INVESTIMENTO da Meta "&amp;INDEX($D$13:$D$16,MATCH("► INVEST",$S$13:$S$16,0)),
  IF(COUNTIF($S$13:$S$16,"► DIV")&gt;0,"Falta definir a DIVISÃO do Investimento da Meta "&amp;INDEX($D$13:$D$16,MATCH("► DIV",$S$13:$S$16,0)),
  IF(COUNTIF($S$13:$S$16,"► CP")&gt;0,"Falta preencher o valor da CONTRAPARTIDA da Meta "&amp;INDEX($D$13:$D$16,MATCH("► CP",$S$13:$S$16,0)),
  IF(COUNTIF($S$13:$S$16,"► OU")&gt;0,"Falta preencher o valor de OUTROS recursos da Meta "&amp;INDEX($D$13:$D$16,MATCH("► OU",$S$13:$S$16,0)),
  "")))))</f>
        <v>0</v>
      </c>
      <c r="Z11" s="192" t="s">
        <v>863</v>
      </c>
      <c r="AA11" s="192" t="s">
        <v>758</v>
      </c>
      <c r="AB11" s="193" t="s">
        <v>759</v>
      </c>
    </row>
    <row r="12" customFormat="false" ht="12.75" hidden="true" customHeight="false" outlineLevel="0" collapsed="false">
      <c r="A12" s="1" t="n">
        <f aca="true">IF(NOT(ISBLANK(QCI.DescManual)),OFFSET(A12,-1,0),D12)</f>
        <v>-1</v>
      </c>
      <c r="B12" s="1" t="str">
        <f aca="false">IF(NOT(ISBLANK(QCI.DescManual)),IF(QCI.Divisao="Calculado","Manual","SemiAuto"),IF(ISERROR(MATCH($A12,ORÇAMENTO!$E$15:$E$40,0)),"Branco","Automático"))</f>
        <v>Branco</v>
      </c>
      <c r="C12" s="1" t="str">
        <f aca="false">IF(O12&gt;0,"F","")</f>
        <v/>
      </c>
      <c r="D12" s="545" t="n">
        <f aca="false">ROW()-ROW($D$13)</f>
        <v>-1</v>
      </c>
      <c r="E12" s="546"/>
      <c r="F12" s="546"/>
      <c r="G12" s="346" t="str">
        <f aca="false">IF(OR($B12="Manual",$B12="SemiAuto"),QCI.DescManual,IF($B12="Automático",INDEX(ORÇAMENTO!$R$15:$R$40,MATCH($A12,ORÇAMENTO!$E$15:$E$40,0)),""))</f>
        <v/>
      </c>
      <c r="H12" s="546"/>
      <c r="I12" s="547"/>
      <c r="J12" s="548" t="str">
        <f aca="true">IF(AND(ISBLANK(E12),ISBLANK(F12)),"",VLOOKUP($F12,OFFSET(DADOS!$A$2,1,MATCH(QCI!$E12,DADOS!$2:$2,0)-1,100,50),2,FALSE()))</f>
        <v/>
      </c>
      <c r="K12" s="549" t="str">
        <f aca="false">IF(OR($B12="Manual",$B12="SemiAuto"),QCI.LoteManual,IF($B12="Automático",IF(TIPOORCAMENTO="Licitado",Import.CTEF,"LOTE 1"),""))</f>
        <v/>
      </c>
      <c r="L12" s="550" t="n">
        <f aca="false">ROUND($O12,2)-ROUND($M12,2)-ROUND($N12,2)</f>
        <v>0</v>
      </c>
      <c r="M12" s="551" t="n">
        <f aca="false">ROUND($AA12,2)-ROUND($AE12,2)</f>
        <v>0</v>
      </c>
      <c r="N12" s="552" t="n">
        <f aca="false">ROUND($AB12,2)</f>
        <v>0</v>
      </c>
      <c r="O12" s="553" t="n">
        <f aca="false">IF($B12="Branco",0,IF(OR($B12="Manual",$B12="SemiAuto"),QCI.InvManual,INDEX(ORÇAMENTO!X$15:X$40,MATCH($A12,ORÇAMENTO!$E$15:$E$40,0))))</f>
        <v>0</v>
      </c>
      <c r="P12" s="554" t="str">
        <f aca="false">IF(O12=0,"",
  IF(E12="","ITEM",
  IF(F12="","SUBITEM",
  IF(H12="","SITUAÇÃO",
  IF(I12=0,"QUANT.","")))))</f>
        <v/>
      </c>
      <c r="R12" s="555"/>
      <c r="S12" s="556" t="n">
        <f aca="false">IF(R12="","",
  IF(T12=0,"► LOTE",
  IF(U12=0,"► INVEST",
  IF(V12=0,"► DIV",
  IF(AND(V12="Calculado",W12=""),"► CP",
  IF(AND(V12="Calculado",X12=""),"► OU",""))))))</f>
        <v>0</v>
      </c>
      <c r="T12" s="557"/>
      <c r="U12" s="558"/>
      <c r="V12" s="559" t="s">
        <v>864</v>
      </c>
      <c r="W12" s="560"/>
      <c r="X12" s="561"/>
      <c r="Z12" s="1" t="n">
        <f aca="false">$O12-$AA12-$AB12</f>
        <v>0</v>
      </c>
      <c r="AA12" s="1" t="n">
        <f aca="false">IF($B12="Branco",0,IF($B12="Manual",QCI.CPManual,IF($B12="SemiAuto",ROUND(QCI!$AA$3*QCI.InvManual,2),INDEX(ORÇAMENTO!$AA$15:$AA$40,MATCH($A12,ORÇAMENTO!$E$15:$E$40,0)))))</f>
        <v>0</v>
      </c>
      <c r="AB12" s="1" t="n">
        <f aca="false">IF($B12="Branco",0,IF($B12="Manual",QCI.OutrosManual,IF($B12="SemiAuto",0,INDEX(ORÇAMENTO!$AB$15:$AB$40,MATCH($A12,ORÇAMENTO!$E$15:$E$40,0)))))</f>
        <v>0</v>
      </c>
      <c r="AD12" s="562" t="n">
        <f aca="false">AND($AA$3&gt;0,$AA$3&lt;1,$O12&gt;0,OR($B12="Automático",$B12="SemiAuto"),OR(QCI!$Z$3=QCI!$Z$7,QCI!$Z$3=QCI!$AA$7,QCI!$Z$3=QCI!$AB$7))</f>
        <v>0</v>
      </c>
      <c r="AE12" s="562" t="n">
        <f aca="true">IF(AND($AD12,$O12&gt;0,COUNTIF(OFFSET($AD12,1,0):$AD$16,TRUE())=0),CHOOSE(1+LOG(1+2*(QCI!$Z$3=QCI!$Z$7)+4*(QCI!$Z$3=QCI!$AA$7)+8*(QCI!$Z$3=QCI!$AB$7),2),0,$AA$16-ROUND(Import.CPMinPerc*$O$16,2),$AA$16-Import.CPMinAbsoluta,Import.Repasse-$Z$16),0)</f>
        <v>0</v>
      </c>
    </row>
    <row r="13" customFormat="false" ht="25.5" hidden="false" customHeight="true" outlineLevel="0" collapsed="false">
      <c r="A13" s="16" t="n">
        <v>0</v>
      </c>
      <c r="B13" s="563" t="s">
        <v>865</v>
      </c>
      <c r="C13" s="112" t="s">
        <v>675</v>
      </c>
      <c r="D13" s="189" t="s">
        <v>718</v>
      </c>
      <c r="E13" s="189" t="s">
        <v>866</v>
      </c>
      <c r="F13" s="189" t="s">
        <v>867</v>
      </c>
      <c r="G13" s="189" t="s">
        <v>868</v>
      </c>
      <c r="H13" s="189" t="s">
        <v>683</v>
      </c>
      <c r="I13" s="189" t="s">
        <v>729</v>
      </c>
      <c r="J13" s="189" t="s">
        <v>869</v>
      </c>
      <c r="K13" s="189" t="s">
        <v>870</v>
      </c>
      <c r="L13" s="564" t="str">
        <f aca="false">IF(import.recurso="FGTS","Financiamento (R$)","Repasse (R$)")</f>
        <v>Repasse (R$)</v>
      </c>
      <c r="M13" s="565" t="s">
        <v>871</v>
      </c>
      <c r="N13" s="566" t="s">
        <v>759</v>
      </c>
      <c r="O13" s="189" t="s">
        <v>872</v>
      </c>
      <c r="R13" s="197" t="s">
        <v>868</v>
      </c>
      <c r="T13" s="197" t="s">
        <v>870</v>
      </c>
      <c r="U13" s="195" t="s">
        <v>872</v>
      </c>
      <c r="V13" s="567" t="s">
        <v>873</v>
      </c>
      <c r="W13" s="568" t="s">
        <v>871</v>
      </c>
      <c r="X13" s="198" t="s">
        <v>759</v>
      </c>
    </row>
    <row r="14" s="1" customFormat="true" ht="25.5" hidden="false" customHeight="false" outlineLevel="0" collapsed="false">
      <c r="A14" s="569" t="n">
        <f aca="true">IF(NOT(ISBLANK(QCI.DescManual)),OFFSET(A14,-1,0),D14)</f>
        <v>1</v>
      </c>
      <c r="B14" s="1" t="str">
        <f aca="false">IF(NOT(ISBLANK(QCI.DescManual)),IF(QCI.Divisao="Calculado","Manual","SemiAuto"),IF(ISERROR(MATCH($A14,ORÇAMENTO!$E$15:$E$40,0)),"Branco","Automático"))</f>
        <v>Automático</v>
      </c>
      <c r="C14" s="1" t="str">
        <f aca="false">IF(O14&gt;0,"F","")</f>
        <v>F</v>
      </c>
      <c r="D14" s="545" t="n">
        <f aca="false">ROW()-ROW($D$13)</f>
        <v>1</v>
      </c>
      <c r="E14" s="546" t="s">
        <v>104</v>
      </c>
      <c r="F14" s="546" t="s">
        <v>144</v>
      </c>
      <c r="G14" s="346" t="str">
        <f aca="false">IF(OR($B14="Manual",$B14="SemiAuto"),QCI.DescManual,IF($B14="Automático",INDEX(ORÇAMENTO!$R$15:$R$40,MATCH($A14,ORÇAMENTO!$E$15:$E$40,0)),""))</f>
        <v>REFORMA DO TELHADO</v>
      </c>
      <c r="H14" s="546" t="s">
        <v>874</v>
      </c>
      <c r="I14" s="547" t="n">
        <v>866.98</v>
      </c>
      <c r="J14" s="548" t="str">
        <f aca="true">IF(AND(ISBLANK(E14),ISBLANK(F14)),"",VLOOKUP($F14,OFFSET(DADOS!$A$2,1,MATCH(QCI!$E14,DADOS!$2:$2,0)-1,100,50),2,FALSE()))</f>
        <v>m²</v>
      </c>
      <c r="K14" s="549" t="str">
        <f aca="false">IF(OR($B14="Manual",$B14="SemiAuto"),QCI.LoteManual,IF($B14="Automático",IF(TIPOORCAMENTO="Licitado",Import.CTEF,"LOTE 1"),""))</f>
        <v>LOTE 1</v>
      </c>
      <c r="L14" s="550" t="n">
        <f aca="false">ROUND($O14,2)-ROUND($M14,2)-ROUND($N14,2)</f>
        <v>4413.99</v>
      </c>
      <c r="M14" s="551" t="n">
        <f aca="false">ROUND($AA14,2)-ROUND($AE14,2)</f>
        <v>0</v>
      </c>
      <c r="N14" s="552" t="n">
        <f aca="false">ROUND($AB14,2)</f>
        <v>0</v>
      </c>
      <c r="O14" s="553" t="n">
        <f aca="false">IF($B14="Branco",0,IF(OR($B14="Manual",$B14="SemiAuto"),QCI.InvManual,INDEX(ORÇAMENTO!X$15:X$40,MATCH($A14,ORÇAMENTO!$E$15:$E$40,0))))</f>
        <v>4413.98727</v>
      </c>
      <c r="P14" s="554" t="str">
        <f aca="false">IF(O14=0,"",
  IF(E14="","ITEM",
  IF(F14="","SUBITEM",
  IF(H14="","SITUAÇÃO",
  IF(I14=0,"QUANT.","")))))</f>
        <v/>
      </c>
      <c r="R14" s="555"/>
      <c r="S14" s="556" t="str">
        <f aca="false">IF(R14="","",
  IF(T14=0,"► LOTE",
  IF(U14=0,"► INVEST",
  IF(V14=0,"► DIV",
  IF(AND(V14="Calculado",W14=""),"► CP",
  IF(AND(V14="Calculado",X14=""),"► OU",""))))))</f>
        <v/>
      </c>
      <c r="T14" s="557"/>
      <c r="U14" s="558"/>
      <c r="V14" s="559" t="s">
        <v>864</v>
      </c>
      <c r="W14" s="560" t="n">
        <v>97761.15</v>
      </c>
      <c r="X14" s="561" t="n">
        <v>0</v>
      </c>
      <c r="Z14" s="1" t="n">
        <f aca="false">$O14-$AA14-$AB14</f>
        <v>4413.98727</v>
      </c>
      <c r="AA14" s="1" t="n">
        <f aca="false">IF($B14="Branco",0,IF($B14="Manual",QCI.CPManual,IF($B14="SemiAuto",ROUND(QCI!$AA$3*QCI.InvManual,2),INDEX(ORÇAMENTO!$AA$15:$AA$40,MATCH($A14,ORÇAMENTO!$E$15:$E$40,0)))))</f>
        <v>0</v>
      </c>
      <c r="AB14" s="1" t="n">
        <f aca="false">IF($B14="Branco",0,IF($B14="Manual",QCI.OutrosManual,IF($B14="SemiAuto",0,INDEX(ORÇAMENTO!$AB$15:$AB$40,MATCH($A14,ORÇAMENTO!$E$15:$E$40,0)))))</f>
        <v>0</v>
      </c>
      <c r="AD14" s="562" t="n">
        <f aca="false">AND($AA$3&gt;0,$AA$3&lt;1,$O14&gt;0,OR($B14="Automático",$B14="SemiAuto"),OR(QCI!$Z$3=QCI!$Z$7,QCI!$Z$3=QCI!$AA$7,QCI!$Z$3=QCI!$AB$7))</f>
        <v>0</v>
      </c>
      <c r="AE14" s="562" t="n">
        <f aca="true">IF(AND($AD14,$O14&gt;0,COUNTIF(OFFSET($AD14,1,0):$AD$16,TRUE())=0),CHOOSE(1+LOG(1+2*(QCI!$Z$3=QCI!$Z$7)+4*(QCI!$Z$3=QCI!$AA$7)+8*(QCI!$Z$3=QCI!$AB$7),2),0,$AA$16-ROUND(Import.CPMinPerc*$O$16,2),$AA$16-Import.CPMinAbsoluta,Import.Repasse-$Z$16),0)</f>
        <v>0</v>
      </c>
    </row>
    <row r="15" s="1" customFormat="true" ht="25.5" hidden="false" customHeight="false" outlineLevel="0" collapsed="false">
      <c r="A15" s="569" t="n">
        <f aca="true">IF(NOT(ISBLANK(QCI.DescManual)),OFFSET(A15,-1,0),D15)</f>
        <v>2</v>
      </c>
      <c r="B15" s="1" t="str">
        <f aca="false">IF(NOT(ISBLANK(QCI.DescManual)),IF(QCI.Divisao="Calculado","Manual","SemiAuto"),IF(ISERROR(MATCH($A15,ORÇAMENTO!$E$15:$E$40,0)),"Branco","Automático"))</f>
        <v>Branco</v>
      </c>
      <c r="C15" s="1" t="str">
        <f aca="false">IF(O15&gt;0,"F","")</f>
        <v/>
      </c>
      <c r="D15" s="545" t="n">
        <f aca="false">ROW()-ROW($D$13)</f>
        <v>2</v>
      </c>
      <c r="E15" s="546" t="s">
        <v>104</v>
      </c>
      <c r="F15" s="546" t="s">
        <v>144</v>
      </c>
      <c r="G15" s="346" t="str">
        <f aca="false">IF(OR($B15="Manual",$B15="SemiAuto"),QCI.DescManual,IF($B15="Automático",INDEX(ORÇAMENTO!$R$15:$R$40,MATCH($A15,ORÇAMENTO!$E$15:$E$40,0)),""))</f>
        <v/>
      </c>
      <c r="H15" s="546" t="s">
        <v>874</v>
      </c>
      <c r="I15" s="547" t="n">
        <v>866.98</v>
      </c>
      <c r="J15" s="548" t="str">
        <f aca="true">IF(AND(ISBLANK(E15),ISBLANK(F15)),"",VLOOKUP($F15,OFFSET(DADOS!$A$2,1,MATCH(QCI!$E15,DADOS!$2:$2,0)-1,100,50),2,FALSE()))</f>
        <v>m²</v>
      </c>
      <c r="K15" s="549" t="str">
        <f aca="false">IF(OR($B15="Manual",$B15="SemiAuto"),QCI.LoteManual,IF($B15="Automático",IF(TIPOORCAMENTO="Licitado",Import.CTEF,"LOTE 1"),""))</f>
        <v/>
      </c>
      <c r="L15" s="550" t="n">
        <f aca="false">ROUND($O15,2)-ROUND($M15,2)-ROUND($N15,2)</f>
        <v>0</v>
      </c>
      <c r="M15" s="551" t="n">
        <f aca="false">ROUND($AA15,2)-ROUND($AE15,2)</f>
        <v>0</v>
      </c>
      <c r="N15" s="552" t="n">
        <f aca="false">ROUND($AB15,2)</f>
        <v>0</v>
      </c>
      <c r="O15" s="553" t="n">
        <f aca="false">IF($B15="Branco",0,IF(OR($B15="Manual",$B15="SemiAuto"),QCI.InvManual,INDEX(ORÇAMENTO!X$15:X$40,MATCH($A15,ORÇAMENTO!$E$15:$E$40,0))))</f>
        <v>0</v>
      </c>
      <c r="P15" s="554" t="str">
        <f aca="false">IF(O15=0,"",
  IF(E15="","ITEM",
  IF(F15="","SUBITEM",
  IF(H15="","SITUAÇÃO",
  IF(I15=0,"QUANT.","")))))</f>
        <v/>
      </c>
      <c r="R15" s="555"/>
      <c r="S15" s="556" t="n">
        <f aca="false">IF(R15="","",
  IF(T15=0,"► LOTE",
  IF(U15=0,"► INVEST",
  IF(V15=0,"► DIV",
  IF(AND(V15="Calculado",W15=""),"► CP",
  IF(AND(V15="Calculado",X15=""),"► OU",""))))))</f>
        <v>0</v>
      </c>
      <c r="T15" s="557"/>
      <c r="U15" s="558"/>
      <c r="V15" s="559" t="s">
        <v>864</v>
      </c>
      <c r="W15" s="560" t="n">
        <v>0</v>
      </c>
      <c r="X15" s="561" t="n">
        <v>0</v>
      </c>
      <c r="Z15" s="1" t="n">
        <f aca="false">$O15-$AA15-$AB15</f>
        <v>0</v>
      </c>
      <c r="AA15" s="1" t="n">
        <f aca="false">IF($B15="Branco",0,IF($B15="Manual",QCI.CPManual,IF($B15="SemiAuto",ROUND(QCI!$AA$3*QCI.InvManual,2),INDEX(ORÇAMENTO!$AA$15:$AA$40,MATCH($A15,ORÇAMENTO!$E$15:$E$40,0)))))</f>
        <v>0</v>
      </c>
      <c r="AB15" s="1" t="n">
        <f aca="false">IF($B15="Branco",0,IF($B15="Manual",QCI.OutrosManual,IF($B15="SemiAuto",0,INDEX(ORÇAMENTO!$AB$15:$AB$40,MATCH($A15,ORÇAMENTO!$E$15:$E$40,0)))))</f>
        <v>0</v>
      </c>
      <c r="AD15" s="562" t="n">
        <f aca="false">AND($AA$3&gt;0,$AA$3&lt;1,$O15&gt;0,OR($B15="Automático",$B15="SemiAuto"),OR(QCI!$Z$3=QCI!$Z$7,QCI!$Z$3=QCI!$AA$7,QCI!$Z$3=QCI!$AB$7))</f>
        <v>0</v>
      </c>
      <c r="AE15" s="562" t="n">
        <f aca="true">IF(AND($AD15,$O15&gt;0,COUNTIF(OFFSET($AD15,1,0):$AD$16,TRUE())=0),CHOOSE(1+LOG(1+2*(QCI!$Z$3=QCI!$Z$7)+4*(QCI!$Z$3=QCI!$AA$7)+8*(QCI!$Z$3=QCI!$AB$7),2),0,$AA$16-ROUND(Import.CPMinPerc*$O$16,2),$AA$16-Import.CPMinAbsoluta,Import.Repasse-$Z$16),0)</f>
        <v>0</v>
      </c>
    </row>
    <row r="16" customFormat="false" ht="15" hidden="false" customHeight="false" outlineLevel="0" collapsed="false">
      <c r="B16" s="1" t="s">
        <v>875</v>
      </c>
      <c r="C16" s="1" t="s">
        <v>551</v>
      </c>
      <c r="D16" s="570"/>
      <c r="E16" s="571"/>
      <c r="F16" s="571"/>
      <c r="G16" s="571"/>
      <c r="H16" s="571"/>
      <c r="I16" s="571"/>
      <c r="J16" s="571"/>
      <c r="K16" s="572" t="s">
        <v>876</v>
      </c>
      <c r="L16" s="573" t="n">
        <f aca="true">SUM(L13:OFFSET(L16,-1,0))</f>
        <v>4413.99</v>
      </c>
      <c r="M16" s="574" t="n">
        <f aca="true">SUM(M13:OFFSET(M16,-1,0))</f>
        <v>0</v>
      </c>
      <c r="N16" s="575" t="n">
        <f aca="true">SUM(N13:OFFSET(N16,-1,0))</f>
        <v>0</v>
      </c>
      <c r="O16" s="576" t="n">
        <f aca="true">SUM(O13:OFFSET(O16,-1,0))</f>
        <v>4413.98727</v>
      </c>
      <c r="R16" s="577"/>
      <c r="T16" s="578"/>
      <c r="U16" s="579"/>
      <c r="V16" s="580"/>
      <c r="W16" s="581"/>
      <c r="X16" s="582"/>
      <c r="Z16" s="170" t="n">
        <f aca="true">SUMPRODUCT(ROUND(Z13:OFFSET(Z16,-1,0),2))</f>
        <v>4413.99</v>
      </c>
      <c r="AA16" s="170" t="n">
        <f aca="true">SUMPRODUCT(ROUND(AA13:OFFSET(AA16,-1,0),2))</f>
        <v>0</v>
      </c>
      <c r="AB16" s="170" t="n">
        <f aca="true">SUM(AB13:OFFSET(AB16,-1,0))</f>
        <v>0</v>
      </c>
    </row>
    <row r="17" customFormat="false" ht="12.75" hidden="false" customHeight="false" outlineLevel="0" collapsed="false">
      <c r="B17" s="1" t="s">
        <v>877</v>
      </c>
      <c r="C17" s="1" t="s">
        <v>551</v>
      </c>
      <c r="D17" s="583"/>
      <c r="E17" s="584"/>
      <c r="F17" s="584"/>
      <c r="G17" s="584"/>
      <c r="H17" s="584"/>
      <c r="I17" s="584"/>
      <c r="J17" s="584"/>
      <c r="K17" s="572"/>
      <c r="L17" s="585" t="n">
        <f aca="false">IF(ISERROR(L16/$O16),0,ROUND(L16/$O16,4))</f>
        <v>1</v>
      </c>
      <c r="M17" s="586" t="n">
        <f aca="false">IF(ISERROR(M16/$O16),0,ROUND(M16/$O16,4))</f>
        <v>0</v>
      </c>
      <c r="N17" s="587" t="n">
        <f aca="false">IF(ISERROR(N16/$O16),0,ROUND(N16/$O16,4))</f>
        <v>0</v>
      </c>
      <c r="O17" s="588" t="n">
        <f aca="false">IF(ISERROR(O16/$O16),0,ROUND(O16/$O16,4))</f>
        <v>1</v>
      </c>
      <c r="R17" s="589"/>
      <c r="T17" s="590"/>
      <c r="U17" s="591"/>
      <c r="V17" s="592"/>
      <c r="W17" s="593"/>
      <c r="X17" s="594"/>
    </row>
    <row r="19" customFormat="false" ht="14.25" hidden="false" customHeight="false" outlineLevel="0" collapsed="false">
      <c r="D19" s="248" t="s">
        <v>704</v>
      </c>
    </row>
    <row r="20" customFormat="false" ht="12.75" hidden="false" customHeight="true" outlineLevel="0" collapsed="false"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</row>
    <row r="21" customFormat="false" ht="12.75" hidden="false" customHeight="true" outlineLevel="0" collapsed="false"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</row>
    <row r="22" customFormat="false" ht="12.75" hidden="false" customHeight="true" outlineLevel="0" collapsed="false"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</row>
    <row r="25" customFormat="false" ht="15" hidden="false" customHeight="false" outlineLevel="0" collapsed="false">
      <c r="D25" s="255" t="str">
        <f aca="false">Import.Município</f>
        <v>CAÇÃPAVA DO SUL</v>
      </c>
      <c r="E25" s="255"/>
      <c r="F25" s="255"/>
      <c r="I25" s="256"/>
      <c r="J25" s="256"/>
      <c r="K25" s="47"/>
      <c r="L25" s="47"/>
    </row>
    <row r="26" customFormat="false" ht="12.75" hidden="false" customHeight="false" outlineLevel="0" collapsed="false">
      <c r="D26" s="57" t="s">
        <v>709</v>
      </c>
      <c r="I26" s="257" t="s">
        <v>878</v>
      </c>
      <c r="J26" s="257"/>
    </row>
    <row r="27" customFormat="false" ht="12.75" hidden="false" customHeight="false" outlineLevel="0" collapsed="false">
      <c r="I27" s="150" t="str">
        <f aca="false">"Nome:" &amp;  " " &amp; DADOS!C28</f>
        <v>Nome: MARCELO SPODE</v>
      </c>
    </row>
    <row r="28" customFormat="false" ht="12.75" hidden="false" customHeight="false" outlineLevel="0" collapsed="false">
      <c r="D28" s="258" t="n">
        <f aca="false">DADOS!$C$25</f>
        <v>46087</v>
      </c>
      <c r="E28" s="258"/>
      <c r="F28" s="258"/>
      <c r="I28" s="150" t="str">
        <f aca="false">"Cargo:"  &amp; " " &amp; DADOS!C29</f>
        <v>Cargo: PREFEITO MUNICIPAL</v>
      </c>
    </row>
    <row r="29" customFormat="false" ht="12.75" hidden="false" customHeight="false" outlineLevel="0" collapsed="false">
      <c r="D29" s="259" t="s">
        <v>710</v>
      </c>
      <c r="E29" s="33"/>
      <c r="F29" s="33"/>
      <c r="K29" s="150"/>
      <c r="L29" s="151"/>
    </row>
  </sheetData>
  <sheetProtection sheet="true" password="bd1f" objects="true" scenarios="true" autoFilter="false"/>
  <autoFilter ref="C13:C17"/>
  <mergeCells count="20">
    <mergeCell ref="D3:E3"/>
    <mergeCell ref="G3:I3"/>
    <mergeCell ref="J3:L3"/>
    <mergeCell ref="M3:O4"/>
    <mergeCell ref="D4:E4"/>
    <mergeCell ref="G4:I4"/>
    <mergeCell ref="J4:L4"/>
    <mergeCell ref="D6:K6"/>
    <mergeCell ref="C7:C11"/>
    <mergeCell ref="D7:K7"/>
    <mergeCell ref="G9:H10"/>
    <mergeCell ref="K9:K10"/>
    <mergeCell ref="AD9:AE9"/>
    <mergeCell ref="A10:A11"/>
    <mergeCell ref="Z10:AB10"/>
    <mergeCell ref="AD10:AE10"/>
    <mergeCell ref="K16:K17"/>
    <mergeCell ref="D20:O22"/>
    <mergeCell ref="D25:F25"/>
    <mergeCell ref="D28:F28"/>
  </mergeCells>
  <conditionalFormatting sqref="T14:V15">
    <cfRule type="expression" priority="2" aboveAverage="0" equalAverage="0" bottom="0" percent="0" rank="0" text="" dxfId="427">
      <formula>OR($B14="Automático",$B14="Branco")</formula>
    </cfRule>
  </conditionalFormatting>
  <conditionalFormatting sqref="L14:L15">
    <cfRule type="expression" priority="3" aboveAverage="0" equalAverage="0" bottom="0" percent="0" rank="0" text="" dxfId="428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conditionalFormatting sqref="W14:X15">
    <cfRule type="expression" priority="4" aboveAverage="0" equalAverage="0" bottom="0" percent="0" rank="0" text="" dxfId="429">
      <formula>OR($B14="Automático",$B14="Branco",$V14&lt;&gt;"Calculado")</formula>
    </cfRule>
  </conditionalFormatting>
  <conditionalFormatting sqref="G14:G15">
    <cfRule type="cellIs" priority="5" operator="equal" aboveAverage="0" equalAverage="0" bottom="0" percent="0" rank="0" text="" dxfId="430">
      <formula>"(digite a descrição aqui)"</formula>
    </cfRule>
  </conditionalFormatting>
  <conditionalFormatting sqref="T12:V12">
    <cfRule type="expression" priority="6" aboveAverage="0" equalAverage="0" bottom="0" percent="0" rank="0" text="" dxfId="431">
      <formula>OR($B12="Automático",$B12="Branco")</formula>
    </cfRule>
  </conditionalFormatting>
  <conditionalFormatting sqref="L12">
    <cfRule type="expression" priority="7" aboveAverage="0" equalAverage="0" bottom="0" percent="0" rank="0" text="" dxfId="432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priority="8" aboveAverage="0" equalAverage="0" bottom="0" percent="0" rank="0" text="" dxfId="433">
      <formula>OR($B12="Automático",$B12="Branco",$V12&lt;&gt;"Calculado")</formula>
    </cfRule>
  </conditionalFormatting>
  <conditionalFormatting sqref="M17">
    <cfRule type="expression" priority="9" aboveAverage="0" equalAverage="0" bottom="0" percent="0" rank="0" text="" dxfId="434">
      <formula>AND($G$9&lt;&gt;"",OR($M$17&lt;Import.CPMinPerc,$M$17&gt;Import.CPMaxPerc))</formula>
    </cfRule>
  </conditionalFormatting>
  <conditionalFormatting sqref="M16">
    <cfRule type="expression" priority="10" aboveAverage="0" equalAverage="0" bottom="0" percent="0" rank="0" text="" dxfId="435">
      <formula>AND($G$9&lt;&gt;"",$M$16&lt;Import.CPMinAbsoluta)</formula>
    </cfRule>
  </conditionalFormatting>
  <conditionalFormatting sqref="L10:M10">
    <cfRule type="cellIs" priority="11" operator="lessThan" aboveAverage="0" equalAverage="0" bottom="0" percent="0" rank="0" text="" dxfId="436">
      <formula>0</formula>
    </cfRule>
  </conditionalFormatting>
  <conditionalFormatting sqref="G12">
    <cfRule type="cellIs" priority="12" operator="equal" aboveAverage="0" equalAverage="0" bottom="0" percent="0" rank="0" text="" dxfId="437">
      <formula>"(digite a descrição aqui)"</formula>
    </cfRule>
  </conditionalFormatting>
  <dataValidations count="9">
    <dataValidation allowBlank="true" error="Digite apenas números decimais maiores do que 0." errorStyle="stop" operator="greaterThan" showDropDown="false" showErrorMessage="true" showInputMessage="false" sqref="U12 U14:U15" type="decimal">
      <formula1>0</formula1>
      <formula2>0</formula2>
    </dataValidation>
    <dataValidation allowBlank="true" errorStyle="stop" operator="between" showDropDown="false" showErrorMessage="false" showInputMessage="false" sqref="E12 E14:E15" type="list">
      <formula1>QCI.ItemInvestimento</formula1>
      <formula2>0</formula2>
    </dataValidation>
    <dataValidation allowBlank="true" errorStyle="stop" operator="between" showDropDown="false" showErrorMessage="false" showInputMessage="false" sqref="F12 F14:F15" type="list">
      <formula1>QCI.SubItemInvestimento</formula1>
      <formula2>0</formula2>
    </dataValidation>
    <dataValidation allowBlank="true" errorStyle="stop" operator="between" showDropDown="false" showErrorMessage="false" showInputMessage="false" sqref="H12 H14:H15" type="list">
      <formula1>"Sem Projeto,Em Análise,Análise Concluída / A Licitar,Licitado / Em Execução,Concluído"</formula1>
      <formula2>0</formula2>
    </dataValidation>
    <dataValidation allowBlank="true" error="Digite valores maiores do que 0." errorStyle="stop" errorTitle="Erro" operator="greaterThan" showDropDown="false" showErrorMessage="true" showInputMessage="false" sqref="I12 I14:I15" type="decimal">
      <formula1>0</formula1>
      <formula2>0</formula2>
    </dataValidation>
    <dataValidation allowBlank="true" errorStyle="stop" operator="between" showDropDown="false" showErrorMessage="true" showInputMessage="false" sqref="V12 V14:V15" type="list">
      <formula1>"Proporcional,Calculado"</formula1>
      <formula2>0</formula2>
    </dataValidation>
    <dataValidation allowBlank="true" error="Digite somente valor de 0,00 ao valor do Investimento. A Somatória dos valores não deve ultrapassar o valor de Investimento." errorStyle="stop" errorTitle="Erro de valor" operator="between" prompt="Digite o valor de Contrapartida Financeira para esta Meta." promptTitle="Contrapartida Financeira:" showDropDown="false" showErrorMessage="true" showInputMessage="true" sqref="W12 W14:W15" type="decimal">
      <formula1>0</formula1>
      <formula2>QCI.MaxCPManual</formula2>
    </dataValidation>
    <dataValidation allowBlank="true" error="Digite somente valor de 0,00 ao valor do Investimento. A Somatória dos valores não deve ultrapassar o valor de Investimento." errorStyle="stop" errorTitle="Erro de valor" operator="between" prompt="Digite o valor de Contrapartida Física / Outros para esta Meta." promptTitle="Contrapartida Física / Outros:" showDropDown="false" showErrorMessage="true" showInputMessage="true" sqref="X12 X14:X15" type="decimal">
      <formula1>0</formula1>
      <formula2>QCI.MaxOUManual</formula2>
    </dataValidation>
    <dataValidation allowBlank="true" errorStyle="stop" operator="between" prompt="Preencha somente se a meta não fizer parte do Orçamento desta Plan. Mult." showDropDown="false" showErrorMessage="true" showInputMessage="true" sqref="R12 R14:R15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0.590277777777778" footer="0.590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&amp;L_&amp;C&amp;14I</oddHeader>
    <oddFooter>&amp;LPMv3.10&amp;R&amp;P / &amp;N</oddFooter>
  </headerFooter>
  <colBreaks count="1" manualBreakCount="1">
    <brk id="15" man="true" max="65535" min="0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3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pane xSplit="4" ySplit="13" topLeftCell="E14" activePane="bottomRight" state="frozen"/>
      <selection pane="topLeft" activeCell="A1" activeCellId="0" sqref="A1"/>
      <selection pane="topRight" activeCell="E1" activeCellId="0" sqref="E1"/>
      <selection pane="bottomLeft" activeCell="A14" activeCellId="0" sqref="A14"/>
      <selection pane="bottomRigh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8.15"/>
    <col collapsed="false" customWidth="true" hidden="false" outlineLevel="0" max="3" min="3" style="1" width="17"/>
    <col collapsed="false" customWidth="true" hidden="false" outlineLevel="0" max="4" min="4" style="1" width="19.86"/>
    <col collapsed="false" customWidth="true" hidden="false" outlineLevel="0" max="5" min="5" style="1" width="0.86"/>
    <col collapsed="false" customWidth="true" hidden="true" outlineLevel="0" max="6" min="6" style="1" width="5.57"/>
    <col collapsed="false" customWidth="true" hidden="true" outlineLevel="0" max="7" min="7" style="1" width="9.14"/>
    <col collapsed="false" customWidth="true" hidden="false" outlineLevel="0" max="32" min="8" style="1" width="5.57"/>
    <col collapsed="false" customWidth="true" hidden="true" outlineLevel="0" max="33" min="33" style="1" width="8.57"/>
    <col collapsed="false" customWidth="true" hidden="false" outlineLevel="0" max="34" min="34" style="1" width="8.57"/>
  </cols>
  <sheetData>
    <row r="1" customFormat="false" ht="12.75" hidden="true" customHeight="false" outlineLevel="0" collapsed="false">
      <c r="A1" s="49" t="e">
        <f aca="true">IF(AUTOEVENTO="Manual",IF(OFFSET(EVENTOS!$F$14,PLE!$B1,0)&gt;0,"F",""),IF(PLE!B1&lt;=MAX(CÁLCULO!$M$15:$M$40),"F",""))</f>
        <v>#VALUE!</v>
      </c>
      <c r="B1" s="380" t="e">
        <f aca="true">OFFSET(B1,-1,0)+1</f>
        <v>#VALUE!</v>
      </c>
      <c r="C1" s="381" t="e">
        <f aca="true">IF(AUTOEVENTO="Manual",OFFSET(EVENTOS!$D$15,$B1-$B$15,0),IF(B1&lt;=MAX(CÁLCULO!$M$15:$M$40),VLOOKUP($B1,CÁLCULO!$M$15:$N$40,2,FALSE()),0))</f>
        <v>#VALUE!</v>
      </c>
      <c r="D1" s="381"/>
      <c r="F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  <c r="AC1" s="383"/>
      <c r="AD1" s="383"/>
      <c r="AE1" s="383"/>
      <c r="AF1" s="383"/>
    </row>
    <row r="2" customFormat="false" ht="12.75" hidden="true" customHeight="false" outlineLevel="0" collapsed="false">
      <c r="A2" s="49"/>
      <c r="B2" s="49"/>
      <c r="C2" s="64"/>
      <c r="D2" s="64"/>
      <c r="F2" s="595"/>
    </row>
    <row r="3" customFormat="false" ht="15.75" hidden="false" customHeight="false" outlineLevel="0" collapsed="false">
      <c r="H3" s="451" t="s">
        <v>879</v>
      </c>
      <c r="AD3" s="99" t="s">
        <v>659</v>
      </c>
      <c r="AE3" s="99"/>
      <c r="AF3" s="99"/>
    </row>
    <row r="4" customFormat="false" ht="15.75" hidden="false" customHeight="false" outlineLevel="0" collapsed="false">
      <c r="B4" s="158"/>
      <c r="C4" s="158"/>
      <c r="H4" s="159" t="str">
        <f aca="false">import.recurso</f>
        <v>OGU</v>
      </c>
      <c r="AD4" s="102" t="s">
        <v>662</v>
      </c>
      <c r="AE4" s="102"/>
      <c r="AF4" s="102"/>
    </row>
    <row r="6" customFormat="false" ht="12.75" hidden="false" customHeight="false" outlineLevel="0" collapsed="false">
      <c r="B6" s="268" t="s">
        <v>665</v>
      </c>
      <c r="C6" s="596"/>
      <c r="D6" s="455" t="s">
        <v>724</v>
      </c>
      <c r="E6" s="9"/>
      <c r="H6" s="456" t="s">
        <v>833</v>
      </c>
      <c r="I6" s="388"/>
      <c r="J6" s="388"/>
      <c r="K6" s="388"/>
      <c r="L6" s="427"/>
      <c r="M6" s="427"/>
      <c r="N6" s="597"/>
      <c r="O6" s="268" t="s">
        <v>800</v>
      </c>
      <c r="P6" s="387"/>
      <c r="R6" s="388"/>
      <c r="S6" s="388"/>
      <c r="T6" s="388"/>
      <c r="U6" s="454"/>
      <c r="V6" s="268" t="str">
        <f aca="false">IF(TIPOORCAMENTO="Licitado","NOME DA EMPRESA","DESCRIÇÃO DO LOTE")</f>
        <v>DESCRIÇÃO DO LOTE</v>
      </c>
      <c r="W6" s="388"/>
      <c r="X6" s="388"/>
      <c r="Y6" s="388"/>
      <c r="AD6" s="9"/>
      <c r="AE6" s="458" t="n">
        <f aca="false">IF(TIPOORCAMENTO="Licitado","Nº CTEF","")</f>
        <v>0</v>
      </c>
      <c r="AF6" s="458"/>
    </row>
    <row r="7" customFormat="false" ht="12.75" hidden="false" customHeight="false" outlineLevel="0" collapsed="false">
      <c r="B7" s="273" t="str">
        <f aca="false">Import.CR</f>
        <v>-</v>
      </c>
      <c r="C7" s="273"/>
      <c r="D7" s="459" t="str">
        <f aca="false">Import.TransfereGOV</f>
        <v>-</v>
      </c>
      <c r="E7" s="3"/>
      <c r="H7" s="460" t="str">
        <f aca="false">Import.Proponente</f>
        <v>PREFEITURA MUNICIPAL DE CAÇAPAVA DO SUL</v>
      </c>
      <c r="I7" s="460"/>
      <c r="J7" s="460"/>
      <c r="K7" s="460"/>
      <c r="L7" s="460"/>
      <c r="M7" s="460"/>
      <c r="N7" s="460"/>
      <c r="O7" s="273" t="str">
        <f aca="false">Import.Apelido</f>
        <v>EMEF INSTITUTO AUGUSTA MARIA LIMA MARQUES</v>
      </c>
      <c r="P7" s="273"/>
      <c r="Q7" s="273"/>
      <c r="R7" s="273"/>
      <c r="S7" s="273"/>
      <c r="T7" s="273"/>
      <c r="U7" s="273"/>
      <c r="V7" s="273" t="str">
        <f aca="false">IF(TIPOORCAMENTO="Licitado",Import.empresa,Import.DescLote)</f>
        <v>REFORMA DO TELHADO</v>
      </c>
      <c r="W7" s="273"/>
      <c r="X7" s="273"/>
      <c r="Y7" s="273"/>
      <c r="Z7" s="273"/>
      <c r="AA7" s="273"/>
      <c r="AB7" s="273"/>
      <c r="AC7" s="273"/>
      <c r="AD7" s="273"/>
      <c r="AE7" s="462" t="n">
        <f aca="false">IF(TIPOORCAMENTO="Licitado",Import.CTEF,"")</f>
        <v>0</v>
      </c>
      <c r="AF7" s="462"/>
      <c r="AG7" s="36"/>
    </row>
    <row r="9" customFormat="false" ht="15.75" hidden="false" customHeight="false" outlineLevel="0" collapsed="false">
      <c r="A9" s="351" t="n">
        <v>0</v>
      </c>
      <c r="B9" s="598"/>
      <c r="C9" s="598"/>
      <c r="I9" s="599" t="s">
        <v>880</v>
      </c>
      <c r="J9" s="600" t="n">
        <v>1</v>
      </c>
      <c r="K9" s="600"/>
      <c r="M9" s="599" t="s">
        <v>844</v>
      </c>
      <c r="N9" s="601" t="str">
        <f aca="true">TEXT(IF(PLE.Medicao=1,Import.DataInicioObra,OFFSET($H$25,0,1+(PLE.Medicao-$I$26)*2-2)+1),"dd/mm/aaaa")&amp;" a "&amp;TEXT(OFFSET($H$25,0,1+(PLE.Medicao-$I$26)*2),"dd/mm/aaaa")</f>
        <v>30/12/1899 a 30/12/1899</v>
      </c>
      <c r="O9" s="601"/>
      <c r="P9" s="601"/>
      <c r="Q9" s="601"/>
      <c r="R9" s="601"/>
      <c r="S9" s="601"/>
      <c r="T9" s="601"/>
      <c r="U9" s="602"/>
      <c r="X9" s="599" t="s">
        <v>881</v>
      </c>
      <c r="Y9" s="603" t="n">
        <f aca="true">OFFSET($I$26,1+8*(ROUNDUP(($J$9-0)/((COLUMN($AG$14)-COLUMN($G$14)-1)/25*12),0)-1),ROUNDDOWN((($J$9-0)-OFFSET($I$26,8*(ROUNDUP(($J$9-0)/((COLUMN($AG$14)-COLUMN($G$14)-1)/25*12),0)-1),0))*(2+1/12),0))</f>
        <v>0</v>
      </c>
      <c r="Z9" s="603"/>
      <c r="AD9" s="599" t="s">
        <v>882</v>
      </c>
      <c r="AE9" s="603" t="n">
        <f aca="true">OFFSET($I$26,3+8*(ROUNDUP(($J$9-0)/((COLUMN($AG$14)-COLUMN($G$14)-1)/25*12),0)-1),ROUNDDOWN((($J$9-0)-OFFSET($I$26,8*(ROUNDUP(($J$9-0)/((COLUMN($AG$14)-COLUMN($G$14)-1)/25*12),0)-1),0))*(2+1/12),0))</f>
        <v>0</v>
      </c>
      <c r="AF9" s="603"/>
    </row>
    <row r="11" customFormat="false" ht="65.25" hidden="false" customHeight="true" outlineLevel="0" collapsed="false">
      <c r="A11" s="604" t="s">
        <v>883</v>
      </c>
      <c r="C11" s="605" t="e">
        <f aca="false">IF(_xlfn.single(TIPOORCAMENTO)="proposto","ALTERE O TIPO DE ORÇAMENTO NA ABA 'MENU' PARA LICITADO.",
 IF(_xlfn.single(ACOMPANHAMENTO)="BM","FOI SELECIONADO NA ABA 'MENU' O ACOMPANHAMENTO POR BM.",
 IF(AND(PLE.Medicao=1,DADOS!$C$47=0),"PREENCHER A DATA DE INÍCIO DA OBRA, NA ABA DADOS",
 IF($Y$9=0,"PREENCHER A MEDIÇÃO "&amp;PLE.Medicao,
 IF($H$25&lt;&gt;"",UPPER($H$25),
 IF($S$34&lt;&gt;"",UPPER($S$34),""))))))</f>
        <v>#NAME?</v>
      </c>
      <c r="D11" s="605"/>
      <c r="F11" s="393" t="n">
        <f aca="true">IF(F$12&gt;CÁLCULO.NúmeroDeFrentes,"",OFFSET(CÁLCULO!$P$12,0,F$12))</f>
        <v>0</v>
      </c>
      <c r="H11" s="393" t="n">
        <f aca="true">IF(H$12&gt;CÁLCULO.NúmeroDeFrentes,"",OFFSET(CÁLCULO!$P$12,0,H$12))</f>
        <v>0</v>
      </c>
      <c r="I11" s="393" t="n">
        <f aca="true">IF(I$12&gt;CÁLCULO.NúmeroDeFrentes,"",OFFSET(CÁLCULO!$P$12,0,I$12))</f>
        <v>0</v>
      </c>
      <c r="J11" s="393" t="n">
        <f aca="true">IF(J$12&gt;CÁLCULO.NúmeroDeFrentes,"",OFFSET(CÁLCULO!$P$12,0,J$12))</f>
        <v>0</v>
      </c>
      <c r="K11" s="393" t="n">
        <f aca="true">IF(K$12&gt;CÁLCULO.NúmeroDeFrentes,"",OFFSET(CÁLCULO!$P$12,0,K$12))</f>
        <v>0</v>
      </c>
      <c r="L11" s="393" t="n">
        <f aca="true">IF(L$12&gt;CÁLCULO.NúmeroDeFrentes,"",OFFSET(CÁLCULO!$P$12,0,L$12))</f>
        <v>0</v>
      </c>
      <c r="M11" s="393" t="n">
        <f aca="true">IF(M$12&gt;CÁLCULO.NúmeroDeFrentes,"",OFFSET(CÁLCULO!$P$12,0,M$12))</f>
        <v>0</v>
      </c>
      <c r="N11" s="393" t="n">
        <f aca="true">IF(N$12&gt;CÁLCULO.NúmeroDeFrentes,"",OFFSET(CÁLCULO!$P$12,0,N$12))</f>
        <v>0</v>
      </c>
      <c r="O11" s="393" t="n">
        <f aca="true">IF(O$12&gt;CÁLCULO.NúmeroDeFrentes,"",OFFSET(CÁLCULO!$P$12,0,O$12))</f>
        <v>0</v>
      </c>
      <c r="P11" s="393" t="n">
        <f aca="true">IF(P$12&gt;CÁLCULO.NúmeroDeFrentes,"",OFFSET(CÁLCULO!$P$12,0,P$12))</f>
        <v>0</v>
      </c>
      <c r="Q11" s="393" t="n">
        <f aca="true">IF(Q$12&gt;CÁLCULO.NúmeroDeFrentes,"",OFFSET(CÁLCULO!$P$12,0,Q$12))</f>
        <v>0</v>
      </c>
      <c r="R11" s="393" t="str">
        <f aca="true">IF(R$12&gt;CÁLCULO.NúmeroDeFrentes,"",OFFSET(CÁLCULO!$P$12,0,R$12))</f>
        <v/>
      </c>
      <c r="S11" s="393" t="str">
        <f aca="true">IF(S$12&gt;CÁLCULO.NúmeroDeFrentes,"",OFFSET(CÁLCULO!$P$12,0,S$12))</f>
        <v/>
      </c>
      <c r="T11" s="393" t="str">
        <f aca="true">IF(T$12&gt;CÁLCULO.NúmeroDeFrentes,"",OFFSET(CÁLCULO!$P$12,0,T$12))</f>
        <v/>
      </c>
      <c r="U11" s="393" t="str">
        <f aca="true">IF(U$12&gt;CÁLCULO.NúmeroDeFrentes,"",OFFSET(CÁLCULO!$P$12,0,U$12))</f>
        <v/>
      </c>
      <c r="V11" s="393" t="str">
        <f aca="true">IF(V$12&gt;CÁLCULO.NúmeroDeFrentes,"",OFFSET(CÁLCULO!$P$12,0,V$12))</f>
        <v/>
      </c>
      <c r="W11" s="393" t="str">
        <f aca="true">IF(W$12&gt;CÁLCULO.NúmeroDeFrentes,"",OFFSET(CÁLCULO!$P$12,0,W$12))</f>
        <v/>
      </c>
      <c r="X11" s="393" t="str">
        <f aca="true">IF(X$12&gt;CÁLCULO.NúmeroDeFrentes,"",OFFSET(CÁLCULO!$P$12,0,X$12))</f>
        <v/>
      </c>
      <c r="Y11" s="393" t="str">
        <f aca="true">IF(Y$12&gt;CÁLCULO.NúmeroDeFrentes,"",OFFSET(CÁLCULO!$P$12,0,Y$12))</f>
        <v/>
      </c>
      <c r="Z11" s="393" t="str">
        <f aca="true">IF(Z$12&gt;CÁLCULO.NúmeroDeFrentes,"",OFFSET(CÁLCULO!$P$12,0,Z$12))</f>
        <v/>
      </c>
      <c r="AA11" s="393" t="str">
        <f aca="true">IF(AA$12&gt;CÁLCULO.NúmeroDeFrentes,"",OFFSET(CÁLCULO!$P$12,0,AA$12))</f>
        <v/>
      </c>
      <c r="AB11" s="393" t="str">
        <f aca="true">IF(AB$12&gt;CÁLCULO.NúmeroDeFrentes,"",OFFSET(CÁLCULO!$P$12,0,AB$12))</f>
        <v/>
      </c>
      <c r="AC11" s="393" t="str">
        <f aca="true">IF(AC$12&gt;CÁLCULO.NúmeroDeFrentes,"",OFFSET(CÁLCULO!$P$12,0,AC$12))</f>
        <v/>
      </c>
      <c r="AD11" s="393" t="str">
        <f aca="true">IF(AD$12&gt;CÁLCULO.NúmeroDeFrentes,"",OFFSET(CÁLCULO!$P$12,0,AD$12))</f>
        <v/>
      </c>
      <c r="AE11" s="393" t="str">
        <f aca="true">IF(AE$12&gt;CÁLCULO.NúmeroDeFrentes,"",OFFSET(CÁLCULO!$P$12,0,AE$12))</f>
        <v/>
      </c>
      <c r="AF11" s="393" t="str">
        <f aca="true">IF(AF$12&gt;CÁLCULO.NúmeroDeFrentes,"",OFFSET(CÁLCULO!$P$12,0,AF$12))</f>
        <v/>
      </c>
    </row>
    <row r="12" customFormat="false" ht="12.75" hidden="false" customHeight="true" outlineLevel="0" collapsed="false">
      <c r="A12" s="112" t="s">
        <v>675</v>
      </c>
      <c r="B12" s="394" t="s">
        <v>803</v>
      </c>
      <c r="C12" s="394" t="s">
        <v>823</v>
      </c>
      <c r="D12" s="394"/>
      <c r="F12" s="395" t="n">
        <f aca="true">OFFSET(F12,0,-1)+1</f>
        <v>1</v>
      </c>
      <c r="H12" s="395" t="n">
        <f aca="true">OFFSET(H12,0,-1)+1</f>
        <v>1</v>
      </c>
      <c r="I12" s="395" t="n">
        <f aca="true">OFFSET(I12,0,-1)+1</f>
        <v>2</v>
      </c>
      <c r="J12" s="395" t="n">
        <f aca="true">OFFSET(J12,0,-1)+1</f>
        <v>3</v>
      </c>
      <c r="K12" s="395" t="n">
        <f aca="true">OFFSET(K12,0,-1)+1</f>
        <v>4</v>
      </c>
      <c r="L12" s="395" t="n">
        <f aca="true">OFFSET(L12,0,-1)+1</f>
        <v>5</v>
      </c>
      <c r="M12" s="395" t="n">
        <f aca="true">OFFSET(M12,0,-1)+1</f>
        <v>6</v>
      </c>
      <c r="N12" s="395" t="n">
        <f aca="true">OFFSET(N12,0,-1)+1</f>
        <v>7</v>
      </c>
      <c r="O12" s="395" t="n">
        <f aca="true">OFFSET(O12,0,-1)+1</f>
        <v>8</v>
      </c>
      <c r="P12" s="395" t="n">
        <f aca="true">OFFSET(P12,0,-1)+1</f>
        <v>9</v>
      </c>
      <c r="Q12" s="395" t="n">
        <f aca="true">OFFSET(Q12,0,-1)+1</f>
        <v>10</v>
      </c>
      <c r="R12" s="395" t="n">
        <f aca="true">OFFSET(R12,0,-1)+1</f>
        <v>11</v>
      </c>
      <c r="S12" s="395" t="n">
        <f aca="true">OFFSET(S12,0,-1)+1</f>
        <v>12</v>
      </c>
      <c r="T12" s="395" t="n">
        <f aca="true">OFFSET(T12,0,-1)+1</f>
        <v>13</v>
      </c>
      <c r="U12" s="395" t="n">
        <f aca="true">OFFSET(U12,0,-1)+1</f>
        <v>14</v>
      </c>
      <c r="V12" s="395" t="n">
        <f aca="true">OFFSET(V12,0,-1)+1</f>
        <v>15</v>
      </c>
      <c r="W12" s="395" t="n">
        <f aca="true">OFFSET(W12,0,-1)+1</f>
        <v>16</v>
      </c>
      <c r="X12" s="395" t="n">
        <f aca="true">OFFSET(X12,0,-1)+1</f>
        <v>17</v>
      </c>
      <c r="Y12" s="395" t="n">
        <f aca="true">OFFSET(Y12,0,-1)+1</f>
        <v>18</v>
      </c>
      <c r="Z12" s="395" t="n">
        <f aca="true">OFFSET(Z12,0,-1)+1</f>
        <v>19</v>
      </c>
      <c r="AA12" s="395" t="n">
        <f aca="true">OFFSET(AA12,0,-1)+1</f>
        <v>20</v>
      </c>
      <c r="AB12" s="395" t="n">
        <f aca="true">OFFSET(AB12,0,-1)+1</f>
        <v>21</v>
      </c>
      <c r="AC12" s="395" t="n">
        <f aca="true">OFFSET(AC12,0,-1)+1</f>
        <v>22</v>
      </c>
      <c r="AD12" s="395" t="n">
        <f aca="true">OFFSET(AD12,0,-1)+1</f>
        <v>23</v>
      </c>
      <c r="AE12" s="395" t="n">
        <f aca="true">OFFSET(AE12,0,-1)+1</f>
        <v>24</v>
      </c>
      <c r="AF12" s="395" t="n">
        <f aca="true">OFFSET(AF12,0,-1)+1</f>
        <v>25</v>
      </c>
    </row>
    <row r="13" customFormat="false" ht="12.75" hidden="false" customHeight="false" outlineLevel="0" collapsed="false">
      <c r="A13" s="396"/>
      <c r="B13" s="394"/>
      <c r="C13" s="394"/>
      <c r="D13" s="394"/>
      <c r="F13" s="398"/>
      <c r="H13" s="398"/>
      <c r="I13" s="397"/>
      <c r="J13" s="397"/>
      <c r="K13" s="397"/>
      <c r="L13" s="397"/>
      <c r="M13" s="397"/>
      <c r="N13" s="397" t="s">
        <v>884</v>
      </c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397"/>
      <c r="AE13" s="397"/>
      <c r="AF13" s="400"/>
    </row>
    <row r="14" customFormat="false" ht="3.75" hidden="false" customHeight="true" outlineLevel="0" collapsed="false">
      <c r="A14" s="49" t="s">
        <v>551</v>
      </c>
    </row>
    <row r="15" customFormat="false" ht="12.75" hidden="false" customHeight="false" outlineLevel="0" collapsed="false">
      <c r="A15" s="49" t="str">
        <f aca="true">IF(AND(AUTOEVENTO="Manual",OFFSET(EVENTOS!$F$1,1,0)&gt;0),"F","")</f>
        <v/>
      </c>
      <c r="B15" s="401" t="n">
        <f aca="false">EVENTOS!$C$15</f>
        <v>0</v>
      </c>
      <c r="C15" s="402" t="str">
        <f aca="false">EVENTOS!$D$15</f>
        <v/>
      </c>
      <c r="D15" s="402"/>
      <c r="F15" s="606"/>
      <c r="H15" s="606" t="str">
        <f aca="false">IF(AUTOEVENTO="MANUAL","A administração local será proporcional a execução dos demais eventos, independente de frentes de obra.","Para aplicação de Adm. Local é necessário definir os eventos manualmente.")</f>
        <v>Para aplicação de Adm. Local é necessário definir os eventos manualmente.</v>
      </c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5"/>
    </row>
    <row r="16" s="1" customFormat="true" ht="12.75" hidden="false" customHeight="false" outlineLevel="0" collapsed="false">
      <c r="A16" s="49" t="str">
        <f aca="true">IF(AUTOEVENTO="Manual",IF(OFFSET(EVENTOS!$F$14,PLE!$B16,0)&gt;0,"F",""),IF(PLE!B16&lt;=MAX(CÁLCULO!$M$15:$M$40),"F",""))</f>
        <v>F</v>
      </c>
      <c r="B16" s="380" t="n">
        <f aca="true">OFFSET(B16,-1,0)+1</f>
        <v>1</v>
      </c>
      <c r="C16" s="381" t="str">
        <f aca="true">IF(AUTOEVENTO="Manual",OFFSET(EVENTOS!$D$15,$B16-$B$15,0),IF(B16&lt;=MAX(CÁLCULO!$M$15:$M$40),VLOOKUP($B16,CÁLCULO!$M$15:$N$40,2,FALSE()),0))</f>
        <v>ADMINISTRAÇÃO LOCAL</v>
      </c>
      <c r="D16" s="381"/>
      <c r="F16" s="383"/>
      <c r="H16" s="383"/>
      <c r="I16" s="383"/>
      <c r="J16" s="383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3"/>
      <c r="Y16" s="383"/>
      <c r="Z16" s="383"/>
      <c r="AA16" s="383"/>
      <c r="AB16" s="383"/>
      <c r="AC16" s="383"/>
      <c r="AD16" s="383"/>
      <c r="AE16" s="383"/>
      <c r="AF16" s="383"/>
    </row>
    <row r="17" s="1" customFormat="true" ht="12.75" hidden="false" customHeight="false" outlineLevel="0" collapsed="false">
      <c r="A17" s="49" t="str">
        <f aca="true">IF(AUTOEVENTO="Manual",IF(OFFSET(EVENTOS!$F$14,PLE!$B17,0)&gt;0,"F",""),IF(PLE!B17&lt;=MAX(CÁLCULO!$M$15:$M$40),"F",""))</f>
        <v>F</v>
      </c>
      <c r="B17" s="380" t="n">
        <f aca="true">OFFSET(B17,-1,0)+1</f>
        <v>2</v>
      </c>
      <c r="C17" s="381" t="str">
        <f aca="true">IF(AUTOEVENTO="Manual",OFFSET(EVENTOS!$D$15,$B17-$B$15,0),IF(B17&lt;=MAX(CÁLCULO!$M$15:$M$40),VLOOKUP($B17,CÁLCULO!$M$15:$N$40,2,FALSE()),0))</f>
        <v>SERVIÇOS PRELIMINARES</v>
      </c>
      <c r="D17" s="381"/>
      <c r="F17" s="383"/>
      <c r="H17" s="383"/>
      <c r="I17" s="383"/>
      <c r="J17" s="383"/>
      <c r="K17" s="383"/>
      <c r="L17" s="383"/>
      <c r="M17" s="383"/>
      <c r="N17" s="383"/>
      <c r="O17" s="383"/>
      <c r="P17" s="383"/>
      <c r="Q17" s="383"/>
      <c r="R17" s="383"/>
      <c r="S17" s="383"/>
      <c r="T17" s="383"/>
      <c r="U17" s="383"/>
      <c r="V17" s="383"/>
      <c r="W17" s="383"/>
      <c r="X17" s="383"/>
      <c r="Y17" s="383"/>
      <c r="Z17" s="383"/>
      <c r="AA17" s="383"/>
      <c r="AB17" s="383"/>
      <c r="AC17" s="383"/>
      <c r="AD17" s="383"/>
      <c r="AE17" s="383"/>
      <c r="AF17" s="383"/>
    </row>
    <row r="18" s="1" customFormat="true" ht="12.75" hidden="false" customHeight="false" outlineLevel="0" collapsed="false">
      <c r="A18" s="49" t="str">
        <f aca="true">IF(AUTOEVENTO="Manual",IF(OFFSET(EVENTOS!$F$14,PLE!$B18,0)&gt;0,"F",""),IF(PLE!B18&lt;=MAX(CÁLCULO!$M$15:$M$40),"F",""))</f>
        <v>F</v>
      </c>
      <c r="B18" s="380" t="n">
        <f aca="true">OFFSET(B18,-1,0)+1</f>
        <v>3</v>
      </c>
      <c r="C18" s="381" t="str">
        <f aca="true">IF(AUTOEVENTO="Manual",OFFSET(EVENTOS!$D$15,$B18-$B$15,0),IF(B18&lt;=MAX(CÁLCULO!$M$15:$M$40),VLOOKUP($B18,CÁLCULO!$M$15:$N$40,2,FALSE()),0))</f>
        <v>REFORMA DO TELHADO - PARTE B</v>
      </c>
      <c r="D18" s="381"/>
      <c r="F18" s="383"/>
      <c r="H18" s="383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383"/>
      <c r="W18" s="383"/>
      <c r="X18" s="383"/>
      <c r="Y18" s="383"/>
      <c r="Z18" s="383"/>
      <c r="AA18" s="383"/>
      <c r="AB18" s="383"/>
      <c r="AC18" s="383"/>
      <c r="AD18" s="383"/>
      <c r="AE18" s="383"/>
      <c r="AF18" s="383"/>
    </row>
    <row r="19" s="1" customFormat="true" ht="12.75" hidden="false" customHeight="false" outlineLevel="0" collapsed="false">
      <c r="A19" s="49" t="str">
        <f aca="true">IF(AUTOEVENTO="Manual",IF(OFFSET(EVENTOS!$F$14,PLE!$B19,0)&gt;0,"F",""),IF(PLE!B19&lt;=MAX(CÁLCULO!$M$15:$M$40),"F",""))</f>
        <v/>
      </c>
      <c r="B19" s="380" t="n">
        <f aca="true">OFFSET(B19,-1,0)+1</f>
        <v>4</v>
      </c>
      <c r="C19" s="381" t="n">
        <f aca="true">IF(AUTOEVENTO="Manual",OFFSET(EVENTOS!$D$15,$B19-$B$15,0),IF(B19&lt;=MAX(CÁLCULO!$M$15:$M$40),VLOOKUP($B19,CÁLCULO!$M$15:$N$40,2,FALSE()),0))</f>
        <v>0</v>
      </c>
      <c r="D19" s="381"/>
      <c r="F19" s="383"/>
      <c r="H19" s="383"/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383"/>
      <c r="AC19" s="383"/>
      <c r="AD19" s="383"/>
      <c r="AE19" s="383"/>
      <c r="AF19" s="383"/>
    </row>
    <row r="20" s="1" customFormat="true" ht="12.75" hidden="false" customHeight="false" outlineLevel="0" collapsed="false">
      <c r="A20" s="49" t="str">
        <f aca="true">IF(AUTOEVENTO="Manual",IF(OFFSET(EVENTOS!$F$14,PLE!$B20,0)&gt;0,"F",""),IF(PLE!B20&lt;=MAX(CÁLCULO!$M$15:$M$40),"F",""))</f>
        <v/>
      </c>
      <c r="B20" s="380" t="n">
        <f aca="true">OFFSET(B20,-1,0)+1</f>
        <v>5</v>
      </c>
      <c r="C20" s="381" t="n">
        <f aca="true">IF(AUTOEVENTO="Manual",OFFSET(EVENTOS!$D$15,$B20-$B$15,0),IF(B20&lt;=MAX(CÁLCULO!$M$15:$M$40),VLOOKUP($B20,CÁLCULO!$M$15:$N$40,2,FALSE()),0))</f>
        <v>0</v>
      </c>
      <c r="D20" s="381"/>
      <c r="F20" s="383"/>
      <c r="H20" s="383"/>
      <c r="I20" s="383"/>
      <c r="J20" s="383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3"/>
      <c r="AF20" s="383"/>
    </row>
    <row r="21" s="1" customFormat="true" ht="12.75" hidden="false" customHeight="false" outlineLevel="0" collapsed="false">
      <c r="A21" s="49" t="str">
        <f aca="true">IF(AUTOEVENTO="Manual",IF(OFFSET(EVENTOS!$F$14,PLE!$B21,0)&gt;0,"F",""),IF(PLE!B21&lt;=MAX(CÁLCULO!$M$15:$M$40),"F",""))</f>
        <v/>
      </c>
      <c r="B21" s="380" t="n">
        <f aca="true">OFFSET(B21,-1,0)+1</f>
        <v>6</v>
      </c>
      <c r="C21" s="381" t="n">
        <f aca="true">IF(AUTOEVENTO="Manual",OFFSET(EVENTOS!$D$15,$B21-$B$15,0),IF(B21&lt;=MAX(CÁLCULO!$M$15:$M$40),VLOOKUP($B21,CÁLCULO!$M$15:$N$40,2,FALSE()),0))</f>
        <v>0</v>
      </c>
      <c r="D21" s="381"/>
      <c r="F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/>
      <c r="AE21" s="383"/>
      <c r="AF21" s="383"/>
    </row>
    <row r="22" customFormat="false" ht="4.5" hidden="false" customHeight="true" outlineLevel="0" collapsed="false">
      <c r="A22" s="49" t="s">
        <v>551</v>
      </c>
      <c r="B22" s="242"/>
      <c r="C22" s="245"/>
      <c r="D22" s="243"/>
      <c r="F22" s="376"/>
      <c r="H22" s="242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3"/>
    </row>
    <row r="23" customFormat="false" ht="12.75" hidden="false" customHeight="false" outlineLevel="0" collapsed="false">
      <c r="A23" s="49" t="s">
        <v>551</v>
      </c>
    </row>
    <row r="24" customFormat="false" ht="12.75" hidden="false" customHeight="false" outlineLevel="0" collapsed="false">
      <c r="A24" s="49" t="s">
        <v>551</v>
      </c>
      <c r="I24" s="607" t="s">
        <v>885</v>
      </c>
      <c r="J24" s="607"/>
      <c r="K24" s="607"/>
      <c r="L24" s="607"/>
      <c r="M24" s="607"/>
      <c r="N24" s="607"/>
      <c r="O24" s="607"/>
      <c r="P24" s="607"/>
      <c r="Q24" s="607"/>
      <c r="R24" s="607"/>
      <c r="S24" s="607"/>
      <c r="T24" s="607"/>
      <c r="U24" s="607"/>
      <c r="V24" s="607"/>
      <c r="W24" s="607"/>
      <c r="X24" s="607"/>
      <c r="Y24" s="607"/>
      <c r="Z24" s="607"/>
      <c r="AA24" s="607"/>
      <c r="AB24" s="607"/>
      <c r="AC24" s="607"/>
      <c r="AD24" s="607"/>
      <c r="AE24" s="607"/>
      <c r="AF24" s="607"/>
    </row>
    <row r="25" customFormat="false" ht="12.75" hidden="false" customHeight="false" outlineLevel="0" collapsed="false">
      <c r="A25" s="49" t="s">
        <v>551</v>
      </c>
      <c r="H25" s="424" t="str">
        <f aca="false">IF(INDEX($I$25:$AG$25,MATCH(PLE.Medicao,$I$26:$AG$26,0))="","Preencher a data da medição "&amp;PLE.Medicao,"")</f>
        <v>Preencher a data da medição 1</v>
      </c>
      <c r="I25" s="608"/>
      <c r="J25" s="608"/>
      <c r="K25" s="609"/>
      <c r="L25" s="609"/>
      <c r="M25" s="609"/>
      <c r="N25" s="609"/>
      <c r="O25" s="609"/>
      <c r="P25" s="609"/>
      <c r="Q25" s="609"/>
      <c r="R25" s="609"/>
      <c r="S25" s="609"/>
      <c r="T25" s="609"/>
      <c r="U25" s="609"/>
      <c r="V25" s="609"/>
      <c r="W25" s="609"/>
      <c r="X25" s="609"/>
      <c r="Y25" s="609"/>
      <c r="Z25" s="609"/>
      <c r="AA25" s="609"/>
      <c r="AB25" s="609"/>
      <c r="AC25" s="609"/>
      <c r="AD25" s="609"/>
      <c r="AE25" s="610"/>
      <c r="AF25" s="610"/>
    </row>
    <row r="26" customFormat="false" ht="12.75" hidden="false" customHeight="false" outlineLevel="0" collapsed="false">
      <c r="A26" s="49" t="s">
        <v>551</v>
      </c>
      <c r="D26" s="607" t="s">
        <v>886</v>
      </c>
      <c r="I26" s="611" t="n">
        <f aca="false">IF(PLE.Medicao&lt;=12,1,TRUNC((PLE.Medicao - 2)/11,0) * 11 + 1)</f>
        <v>1</v>
      </c>
      <c r="J26" s="611"/>
      <c r="K26" s="611" t="n">
        <f aca="false">I26+1</f>
        <v>2</v>
      </c>
      <c r="L26" s="611"/>
      <c r="M26" s="611" t="n">
        <f aca="false">K26+1</f>
        <v>3</v>
      </c>
      <c r="N26" s="611"/>
      <c r="O26" s="611" t="n">
        <f aca="false">M26+1</f>
        <v>4</v>
      </c>
      <c r="P26" s="611"/>
      <c r="Q26" s="611" t="n">
        <f aca="false">O26+1</f>
        <v>5</v>
      </c>
      <c r="R26" s="611"/>
      <c r="S26" s="611" t="n">
        <f aca="false">Q26+1</f>
        <v>6</v>
      </c>
      <c r="T26" s="611"/>
      <c r="U26" s="611" t="n">
        <f aca="false">S26+1</f>
        <v>7</v>
      </c>
      <c r="V26" s="611"/>
      <c r="W26" s="611" t="n">
        <f aca="false">U26+1</f>
        <v>8</v>
      </c>
      <c r="X26" s="611"/>
      <c r="Y26" s="611" t="n">
        <f aca="false">W26+1</f>
        <v>9</v>
      </c>
      <c r="Z26" s="611"/>
      <c r="AA26" s="611" t="n">
        <f aca="false">Y26+1</f>
        <v>10</v>
      </c>
      <c r="AB26" s="611"/>
      <c r="AC26" s="611" t="n">
        <f aca="false">AA26+1</f>
        <v>11</v>
      </c>
      <c r="AD26" s="611"/>
      <c r="AE26" s="611" t="n">
        <f aca="false">AC26+1</f>
        <v>12</v>
      </c>
      <c r="AF26" s="611"/>
    </row>
    <row r="27" customFormat="false" ht="12.75" hidden="false" customHeight="false" outlineLevel="0" collapsed="false">
      <c r="A27" s="49" t="s">
        <v>551</v>
      </c>
      <c r="D27" s="612" t="s">
        <v>844</v>
      </c>
      <c r="H27" s="316" t="s">
        <v>826</v>
      </c>
      <c r="I27" s="613" t="n">
        <f aca="false">ROUND(I28,2)/ORÇAMENTO!$X$15</f>
        <v>0</v>
      </c>
      <c r="J27" s="613"/>
      <c r="K27" s="614" t="n">
        <f aca="false">ROUND(K28,2)/ORÇAMENTO!$X$15</f>
        <v>0</v>
      </c>
      <c r="L27" s="614"/>
      <c r="M27" s="615" t="n">
        <f aca="false">ROUND(M28,2)/ORÇAMENTO!$X$15</f>
        <v>0</v>
      </c>
      <c r="N27" s="615"/>
      <c r="O27" s="614" t="n">
        <f aca="false">ROUND(O28,2)/ORÇAMENTO!$X$15</f>
        <v>0</v>
      </c>
      <c r="P27" s="614"/>
      <c r="Q27" s="615" t="n">
        <f aca="false">ROUND(Q28,2)/ORÇAMENTO!$X$15</f>
        <v>0</v>
      </c>
      <c r="R27" s="615"/>
      <c r="S27" s="614" t="n">
        <f aca="false">ROUND(S28,2)/ORÇAMENTO!$X$15</f>
        <v>0</v>
      </c>
      <c r="T27" s="614"/>
      <c r="U27" s="615" t="n">
        <f aca="false">ROUND(U28,2)/ORÇAMENTO!$X$15</f>
        <v>0</v>
      </c>
      <c r="V27" s="615"/>
      <c r="W27" s="614" t="n">
        <f aca="false">ROUND(W28,2)/ORÇAMENTO!$X$15</f>
        <v>0</v>
      </c>
      <c r="X27" s="614"/>
      <c r="Y27" s="615" t="n">
        <f aca="false">ROUND(Y28,2)/ORÇAMENTO!$X$15</f>
        <v>0</v>
      </c>
      <c r="Z27" s="615"/>
      <c r="AA27" s="614" t="n">
        <f aca="false">ROUND(AA28,2)/ORÇAMENTO!$X$15</f>
        <v>0</v>
      </c>
      <c r="AB27" s="614"/>
      <c r="AC27" s="615" t="n">
        <f aca="false">ROUND(AC28,2)/ORÇAMENTO!$X$15</f>
        <v>0</v>
      </c>
      <c r="AD27" s="615"/>
      <c r="AE27" s="614" t="n">
        <f aca="false">ROUND(AE28,2)/ORÇAMENTO!$X$15</f>
        <v>0</v>
      </c>
      <c r="AF27" s="614"/>
    </row>
    <row r="28" customFormat="false" ht="12.75" hidden="false" customHeight="false" outlineLevel="0" collapsed="false">
      <c r="A28" s="49" t="s">
        <v>551</v>
      </c>
      <c r="D28" s="612"/>
      <c r="H28" s="59" t="s">
        <v>827</v>
      </c>
      <c r="I28" s="616" t="n">
        <f aca="false" t="array" ref="I28:I28">IF(I26=1,I30,_xlfn.single(ah11arred(I30,2))-ROUND(SUMIF(CÁLCULO!$AX$15:$BH$40,"&lt;="&amp;PLE!I26-1,CÁLCULO!$AB$15:$AL$40)*IF(AdmLocal="Automática",(1+_xlfn.single(CÁLCULO.TotalAdmLocal)/(ORÇAMENTO!$X$15-_xlfn.single(CÁLCULO.TotalAdmLocal))),1),2))</f>
        <v>0</v>
      </c>
      <c r="J28" s="616"/>
      <c r="K28" s="616" t="n">
        <f aca="false">ROUND(K30,2)-ROUND(I30,2)</f>
        <v>0</v>
      </c>
      <c r="L28" s="616"/>
      <c r="M28" s="617" t="n">
        <f aca="false">ROUND(M30,2)-ROUND(K30,2)</f>
        <v>0</v>
      </c>
      <c r="N28" s="617"/>
      <c r="O28" s="616" t="n">
        <f aca="false">ROUND(O30,2)-ROUND(M30,2)</f>
        <v>0</v>
      </c>
      <c r="P28" s="616"/>
      <c r="Q28" s="617" t="n">
        <f aca="false">ROUND(Q30,2)-ROUND(O30,2)</f>
        <v>0</v>
      </c>
      <c r="R28" s="617"/>
      <c r="S28" s="616" t="n">
        <f aca="false">ROUND(S30,2)-ROUND(Q30,2)</f>
        <v>0</v>
      </c>
      <c r="T28" s="616"/>
      <c r="U28" s="617" t="n">
        <f aca="false">ROUND(U30,2)-ROUND(S30,2)</f>
        <v>0</v>
      </c>
      <c r="V28" s="617"/>
      <c r="W28" s="616" t="n">
        <f aca="false">ROUND(W30,2)-ROUND(U30,2)</f>
        <v>0</v>
      </c>
      <c r="X28" s="616"/>
      <c r="Y28" s="617" t="n">
        <f aca="false">ROUND(Y30,2)-ROUND(W30,2)</f>
        <v>0</v>
      </c>
      <c r="Z28" s="617"/>
      <c r="AA28" s="616" t="n">
        <f aca="false">ROUND(AA30,2)-ROUND(Y30,2)</f>
        <v>0</v>
      </c>
      <c r="AB28" s="616"/>
      <c r="AC28" s="617" t="n">
        <f aca="false">ROUND(AC30,2)-ROUND(AA30,2)</f>
        <v>0</v>
      </c>
      <c r="AD28" s="617"/>
      <c r="AE28" s="616" t="n">
        <f aca="false">ROUND(AE30,2)-ROUND(AC30,2)</f>
        <v>0</v>
      </c>
      <c r="AF28" s="616"/>
    </row>
    <row r="29" customFormat="false" ht="12.75" hidden="false" customHeight="false" outlineLevel="0" collapsed="false">
      <c r="A29" s="49" t="s">
        <v>551</v>
      </c>
      <c r="D29" s="612" t="s">
        <v>848</v>
      </c>
      <c r="H29" s="316" t="s">
        <v>826</v>
      </c>
      <c r="I29" s="618" t="n">
        <f aca="false">ROUND(I30,2)/ORÇAMENTO!$X$15</f>
        <v>0</v>
      </c>
      <c r="J29" s="618"/>
      <c r="K29" s="619" t="n">
        <f aca="false">ROUND(K30,2)/ORÇAMENTO!$X$15</f>
        <v>0</v>
      </c>
      <c r="L29" s="619"/>
      <c r="M29" s="620" t="n">
        <f aca="false">ROUND(M30,2)/ORÇAMENTO!$X$15</f>
        <v>0</v>
      </c>
      <c r="N29" s="620"/>
      <c r="O29" s="619" t="n">
        <f aca="false">ROUND(O30,2)/ORÇAMENTO!$X$15</f>
        <v>0</v>
      </c>
      <c r="P29" s="619"/>
      <c r="Q29" s="620" t="n">
        <f aca="false">ROUND(Q30,2)/ORÇAMENTO!$X$15</f>
        <v>0</v>
      </c>
      <c r="R29" s="620"/>
      <c r="S29" s="619" t="n">
        <f aca="false">ROUND(S30,2)/ORÇAMENTO!$X$15</f>
        <v>0</v>
      </c>
      <c r="T29" s="619"/>
      <c r="U29" s="620" t="n">
        <f aca="false">ROUND(U30,2)/ORÇAMENTO!$X$15</f>
        <v>0</v>
      </c>
      <c r="V29" s="620"/>
      <c r="W29" s="619" t="n">
        <f aca="false">ROUND(W30,2)/ORÇAMENTO!$X$15</f>
        <v>0</v>
      </c>
      <c r="X29" s="619"/>
      <c r="Y29" s="620" t="n">
        <f aca="false">ROUND(Y30,2)/ORÇAMENTO!$X$15</f>
        <v>0</v>
      </c>
      <c r="Z29" s="620"/>
      <c r="AA29" s="619" t="n">
        <f aca="false">ROUND(AA30,2)/ORÇAMENTO!$X$15</f>
        <v>0</v>
      </c>
      <c r="AB29" s="619"/>
      <c r="AC29" s="620" t="n">
        <f aca="false">ROUND(AC30,2)/ORÇAMENTO!$X$15</f>
        <v>0</v>
      </c>
      <c r="AD29" s="620"/>
      <c r="AE29" s="619" t="n">
        <f aca="false">ROUND(AE30,2)/ORÇAMENTO!$X$15</f>
        <v>0</v>
      </c>
      <c r="AF29" s="619"/>
    </row>
    <row r="30" customFormat="false" ht="12.75" hidden="false" customHeight="false" outlineLevel="0" collapsed="false">
      <c r="A30" s="49" t="s">
        <v>551</v>
      </c>
      <c r="D30" s="612"/>
      <c r="H30" s="59" t="s">
        <v>827</v>
      </c>
      <c r="I30" s="621" t="n">
        <f aca="false" t="array" ref="I30:I30">SUMIF(CÁLCULO!$AX$15:$BH$40,"&lt;="&amp;PLE!I26,CÁLCULO!$AB$15:$AL$40)*IF(AdmLocal="Automática",(1+_xlfn.single(CÁLCULO.TotalAdmLocal)/(ORÇAMENTO!$X$15-_xlfn.single(CÁLCULO.TotalAdmLocal))),1)</f>
        <v>0</v>
      </c>
      <c r="J30" s="621"/>
      <c r="K30" s="616" t="n">
        <f aca="false" t="array" ref="K30:K30">SUMIF(CÁLCULO!$AX$15:$BH$40,"&lt;="&amp;PLE!K26,CÁLCULO!$AB$15:$AL$40)*IF(AdmLocal="Automática",(1+_xlfn.single(CÁLCULO.TotalAdmLocal)/(ORÇAMENTO!$X$15-_xlfn.single(CÁLCULO.TotalAdmLocal))),1)</f>
        <v>0</v>
      </c>
      <c r="L30" s="616"/>
      <c r="M30" s="617" t="n">
        <f aca="false" t="array" ref="M30:M30">SUMIF(CÁLCULO!$AX$15:$BH$40,"&lt;="&amp;PLE!M26,CÁLCULO!$AB$15:$AL$40)*IF(AdmLocal="Automática",(1+_xlfn.single(CÁLCULO.TotalAdmLocal)/(ORÇAMENTO!$X$15-_xlfn.single(CÁLCULO.TotalAdmLocal))),1)</f>
        <v>0</v>
      </c>
      <c r="N30" s="617"/>
      <c r="O30" s="616" t="n">
        <f aca="false" t="array" ref="O30:O30">SUMIF(CÁLCULO!$AX$15:$BH$40,"&lt;="&amp;PLE!O26,CÁLCULO!$AB$15:$AL$40)*IF(AdmLocal="Automática",(1+_xlfn.single(CÁLCULO.TotalAdmLocal)/(ORÇAMENTO!$X$15-_xlfn.single(CÁLCULO.TotalAdmLocal))),1)</f>
        <v>0</v>
      </c>
      <c r="P30" s="616"/>
      <c r="Q30" s="617" t="n">
        <f aca="false" t="array" ref="Q30:Q30">SUMIF(CÁLCULO!$AX$15:$BH$40,"&lt;="&amp;PLE!Q26,CÁLCULO!$AB$15:$AL$40)*IF(AdmLocal="Automática",(1+_xlfn.single(CÁLCULO.TotalAdmLocal)/(ORÇAMENTO!$X$15-_xlfn.single(CÁLCULO.TotalAdmLocal))),1)</f>
        <v>0</v>
      </c>
      <c r="R30" s="617"/>
      <c r="S30" s="616" t="n">
        <f aca="false" t="array" ref="S30:S30">SUMIF(CÁLCULO!$AX$15:$BH$40,"&lt;="&amp;PLE!S26,CÁLCULO!$AB$15:$AL$40)*IF(AdmLocal="Automática",(1+_xlfn.single(CÁLCULO.TotalAdmLocal)/(ORÇAMENTO!$X$15-_xlfn.single(CÁLCULO.TotalAdmLocal))),1)</f>
        <v>0</v>
      </c>
      <c r="T30" s="616"/>
      <c r="U30" s="617" t="n">
        <f aca="false" t="array" ref="U30:U30">SUMIF(CÁLCULO!$AX$15:$BH$40,"&lt;="&amp;PLE!U26,CÁLCULO!$AB$15:$AL$40)*IF(AdmLocal="Automática",(1+_xlfn.single(CÁLCULO.TotalAdmLocal)/(ORÇAMENTO!$X$15-_xlfn.single(CÁLCULO.TotalAdmLocal))),1)</f>
        <v>0</v>
      </c>
      <c r="V30" s="617"/>
      <c r="W30" s="616" t="n">
        <f aca="false" t="array" ref="W30:W30">SUMIF(CÁLCULO!$AX$15:$BH$40,"&lt;="&amp;PLE!W26,CÁLCULO!$AB$15:$AL$40)*IF(AdmLocal="Automática",(1+_xlfn.single(CÁLCULO.TotalAdmLocal)/(ORÇAMENTO!$X$15-_xlfn.single(CÁLCULO.TotalAdmLocal))),1)</f>
        <v>0</v>
      </c>
      <c r="X30" s="616"/>
      <c r="Y30" s="617" t="n">
        <f aca="false" t="array" ref="Y30:Y30">SUMIF(CÁLCULO!$AX$15:$BH$40,"&lt;="&amp;PLE!Y26,CÁLCULO!$AB$15:$AL$40)*IF(AdmLocal="Automática",(1+_xlfn.single(CÁLCULO.TotalAdmLocal)/(ORÇAMENTO!$X$15-_xlfn.single(CÁLCULO.TotalAdmLocal))),1)</f>
        <v>0</v>
      </c>
      <c r="Z30" s="617"/>
      <c r="AA30" s="616" t="n">
        <f aca="false" t="array" ref="AA30:AA30">SUMIF(CÁLCULO!$AX$15:$BH$40,"&lt;="&amp;PLE!AA26,CÁLCULO!$AB$15:$AL$40)*IF(AdmLocal="Automática",(1+_xlfn.single(CÁLCULO.TotalAdmLocal)/(ORÇAMENTO!$X$15-_xlfn.single(CÁLCULO.TotalAdmLocal))),1)</f>
        <v>0</v>
      </c>
      <c r="AB30" s="616"/>
      <c r="AC30" s="617" t="n">
        <f aca="false" t="array" ref="AC30:AC30">SUMIF(CÁLCULO!$AX$15:$BH$40,"&lt;="&amp;PLE!AC26,CÁLCULO!$AB$15:$AL$40)*IF(AdmLocal="Automática",(1+_xlfn.single(CÁLCULO.TotalAdmLocal)/(ORÇAMENTO!$X$15-_xlfn.single(CÁLCULO.TotalAdmLocal))),1)</f>
        <v>0</v>
      </c>
      <c r="AD30" s="617"/>
      <c r="AE30" s="616" t="n">
        <f aca="false" t="array" ref="AE30:AE30">SUMIF(CÁLCULO!$AX$15:$BH$40,"&lt;="&amp;PLE!AE26,CÁLCULO!$AB$15:$AL$40)*IF(AdmLocal="Automática",(1+_xlfn.single(CÁLCULO.TotalAdmLocal)/(ORÇAMENTO!$X$15-_xlfn.single(CÁLCULO.TotalAdmLocal))),1)</f>
        <v>0</v>
      </c>
      <c r="AF30" s="616"/>
    </row>
    <row r="31" customFormat="false" ht="12.75" hidden="false" customHeight="true" outlineLevel="0" collapsed="false">
      <c r="A31" s="49"/>
      <c r="D31" s="420" t="s">
        <v>829</v>
      </c>
      <c r="H31" s="414" t="s">
        <v>826</v>
      </c>
      <c r="I31" s="415" t="e">
        <f aca="false" t="array" ref="I31:I31">IF(OR(_xlfn.single(ACOMPANHAMENTO)&lt;&gt;"PLE",I26&gt;PLE.Medicao),0,
   IF(AUTOEVENTO="Manual",
      IF(AdmLocal="Automática",I29,
         IF(Import.EventoAdmLocal="","",SUMIF(OFFSET($G$14,CRONOPLE!$A$8+1,1,1,OFFSET($AG$12,0,-1)),"&lt;="&amp;I26,OFFSET(EVENTOS!$G$14,CRONOPLE!$A$8+1,1,1,OFFSET($AG$12,0,-1)))/OFFSET(EVENTOS!$G$14,CRONOPLE!$A$8+1,-1))),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I26,OFFSET(CÁLCULO!$AA$15,CRONOPLE!$A$10,1,OFFSET(ORÇAMENTO!$D$15,CRONOPLE!$A$10,0),COLUMN(CÁLCULO!$AL$15)-COLUMN(CÁLCULO!$AA$15)-1))/OFFSET(ORÇAMENTO!$X$15,CRONOPLE!$A$10,0))))</f>
        <v>#NAME?</v>
      </c>
      <c r="J31" s="415"/>
      <c r="K31" s="415" t="e">
        <f aca="false" t="array" ref="K31:K31">IF(OR(_xlfn.single(ACOMPANHAMENTO)&lt;&gt;"PLE",K26&gt;PLE.Medicao),0,
   IF(AUTOEVENTO="Manual",
      IF(AdmLocal="Automática",K29,
         IF(Import.EventoAdmLocal="","",SUMIF(OFFSET($G$14,CRONOPLE!$A$8+1,1,1,OFFSET($AG$12,0,-1)),"&lt;="&amp;K26,OFFSET(EVENTOS!$G$14,CRONOPLE!$A$8+1,1,1,OFFSET($AG$12,0,-1)))/OFFSET(EVENTOS!$G$14,CRONOPLE!$A$8+1,-1))),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K26,OFFSET(CÁLCULO!$AA$15,CRONOPLE!$A$10,1,OFFSET(ORÇAMENTO!$D$15,CRONOPLE!$A$10,0),COLUMN(CÁLCULO!$AL$15)-COLUMN(CÁLCULO!$AA$15)-1))/OFFSET(ORÇAMENTO!$X$15,CRONOPLE!$A$10,0))))</f>
        <v>#NAME?</v>
      </c>
      <c r="L31" s="415"/>
      <c r="M31" s="415" t="e">
        <f aca="false" t="array" ref="M31:M31">IF(OR(_xlfn.single(ACOMPANHAMENTO)&lt;&gt;"PLE",M26&gt;PLE.Medicao),0,
   IF(AUTOEVENTO="Manual",
      IF(AdmLocal="Automática",M29,
         IF(Import.EventoAdmLocal="","",SUMIF(OFFSET($G$14,CRONOPLE!$A$8+1,1,1,OFFSET($AG$12,0,-1)),"&lt;="&amp;M26,OFFSET(EVENTOS!$G$14,CRONOPLE!$A$8+1,1,1,OFFSET($AG$12,0,-1)))/OFFSET(EVENTOS!$G$14,CRONOPLE!$A$8+1,-1))),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M26,OFFSET(CÁLCULO!$AA$15,CRONOPLE!$A$10,1,OFFSET(ORÇAMENTO!$D$15,CRONOPLE!$A$10,0),COLUMN(CÁLCULO!$AL$15)-COLUMN(CÁLCULO!$AA$15)-1))/OFFSET(ORÇAMENTO!$X$15,CRONOPLE!$A$10,0))))</f>
        <v>#NAME?</v>
      </c>
      <c r="N31" s="415"/>
      <c r="O31" s="415" t="e">
        <f aca="false" t="array" ref="O31:O31">IF(OR(_xlfn.single(ACOMPANHAMENTO)&lt;&gt;"PLE",O26&gt;PLE.Medicao),0,
   IF(AUTOEVENTO="Manual",
      IF(AdmLocal="Automática",O29,
         IF(Import.EventoAdmLocal="","",SUMIF(OFFSET($G$14,CRONOPLE!$A$8+1,1,1,OFFSET($AG$12,0,-1)),"&lt;="&amp;O26,OFFSET(EVENTOS!$G$14,CRONOPLE!$A$8+1,1,1,OFFSET($AG$12,0,-1)))/OFFSET(EVENTOS!$G$14,CRONOPLE!$A$8+1,-1))),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O26,OFFSET(CÁLCULO!$AA$15,CRONOPLE!$A$10,1,OFFSET(ORÇAMENTO!$D$15,CRONOPLE!$A$10,0),COLUMN(CÁLCULO!$AL$15)-COLUMN(CÁLCULO!$AA$15)-1))/OFFSET(ORÇAMENTO!$X$15,CRONOPLE!$A$10,0))))</f>
        <v>#NAME?</v>
      </c>
      <c r="P31" s="415"/>
      <c r="Q31" s="415" t="e">
        <f aca="false" t="array" ref="Q31:Q31">IF(OR(_xlfn.single(ACOMPANHAMENTO)&lt;&gt;"PLE",Q26&gt;PLE.Medicao),0,
   IF(AUTOEVENTO="Manual",
      IF(AdmLocal="Automática",Q29,
         IF(Import.EventoAdmLocal="","",SUMIF(OFFSET($G$14,CRONOPLE!$A$8+1,1,1,OFFSET($AG$12,0,-1)),"&lt;="&amp;Q26,OFFSET(EVENTOS!$G$14,CRONOPLE!$A$8+1,1,1,OFFSET($AG$12,0,-1)))/OFFSET(EVENTOS!$G$14,CRONOPLE!$A$8+1,-1))),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Q26,OFFSET(CÁLCULO!$AA$15,CRONOPLE!$A$10,1,OFFSET(ORÇAMENTO!$D$15,CRONOPLE!$A$10,0),COLUMN(CÁLCULO!$AL$15)-COLUMN(CÁLCULO!$AA$15)-1))/OFFSET(ORÇAMENTO!$X$15,CRONOPLE!$A$10,0))))</f>
        <v>#NAME?</v>
      </c>
      <c r="R31" s="415"/>
      <c r="S31" s="415" t="e">
        <f aca="false" t="array" ref="S31:S31">IF(OR(_xlfn.single(ACOMPANHAMENTO)&lt;&gt;"PLE",S26&gt;PLE.Medicao),0,
   IF(AUTOEVENTO="Manual",
      IF(AdmLocal="Automática",S29,
         IF(Import.EventoAdmLocal="","",SUMIF(OFFSET($G$14,CRONOPLE!$A$8+1,1,1,OFFSET($AG$12,0,-1)),"&lt;="&amp;S26,OFFSET(EVENTOS!$G$14,CRONOPLE!$A$8+1,1,1,OFFSET($AG$12,0,-1)))/OFFSET(EVENTOS!$G$14,CRONOPLE!$A$8+1,-1))),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S26,OFFSET(CÁLCULO!$AA$15,CRONOPLE!$A$10,1,OFFSET(ORÇAMENTO!$D$15,CRONOPLE!$A$10,0),COLUMN(CÁLCULO!$AL$15)-COLUMN(CÁLCULO!$AA$15)-1))/OFFSET(ORÇAMENTO!$X$15,CRONOPLE!$A$10,0))))</f>
        <v>#NAME?</v>
      </c>
      <c r="T31" s="415"/>
      <c r="U31" s="415" t="e">
        <f aca="false" t="array" ref="U31:U31">IF(OR(_xlfn.single(ACOMPANHAMENTO)&lt;&gt;"PLE",U26&gt;PLE.Medicao),0,
   IF(AUTOEVENTO="Manual",
      IF(AdmLocal="Automática",U29,
         IF(Import.EventoAdmLocal="","",SUMIF(OFFSET($G$14,CRONOPLE!$A$8+1,1,1,OFFSET($AG$12,0,-1)),"&lt;="&amp;U26,OFFSET(EVENTOS!$G$14,CRONOPLE!$A$8+1,1,1,OFFSET($AG$12,0,-1)))/OFFSET(EVENTOS!$G$14,CRONOPLE!$A$8+1,-1))),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U26,OFFSET(CÁLCULO!$AA$15,CRONOPLE!$A$10,1,OFFSET(ORÇAMENTO!$D$15,CRONOPLE!$A$10,0),COLUMN(CÁLCULO!$AL$15)-COLUMN(CÁLCULO!$AA$15)-1))/OFFSET(ORÇAMENTO!$X$15,CRONOPLE!$A$10,0))))</f>
        <v>#NAME?</v>
      </c>
      <c r="V31" s="415"/>
      <c r="W31" s="415" t="e">
        <f aca="false" t="array" ref="W31:W31">IF(OR(_xlfn.single(ACOMPANHAMENTO)&lt;&gt;"PLE",W26&gt;PLE.Medicao),0,
   IF(AUTOEVENTO="Manual",
      IF(AdmLocal="Automática",W29,
         IF(Import.EventoAdmLocal="","",SUMIF(OFFSET($G$14,CRONOPLE!$A$8+1,1,1,OFFSET($AG$12,0,-1)),"&lt;="&amp;W26,OFFSET(EVENTOS!$G$14,CRONOPLE!$A$8+1,1,1,OFFSET($AG$12,0,-1)))/OFFSET(EVENTOS!$G$14,CRONOPLE!$A$8+1,-1))),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W26,OFFSET(CÁLCULO!$AA$15,CRONOPLE!$A$10,1,OFFSET(ORÇAMENTO!$D$15,CRONOPLE!$A$10,0),COLUMN(CÁLCULO!$AL$15)-COLUMN(CÁLCULO!$AA$15)-1))/OFFSET(ORÇAMENTO!$X$15,CRONOPLE!$A$10,0))))</f>
        <v>#NAME?</v>
      </c>
      <c r="X31" s="415"/>
      <c r="Y31" s="415" t="e">
        <f aca="false" t="array" ref="Y31:Y31">IF(OR(_xlfn.single(ACOMPANHAMENTO)&lt;&gt;"PLE",Y26&gt;PLE.Medicao),0,
   IF(AUTOEVENTO="Manual",
      IF(AdmLocal="Automática",Y29,
         IF(Import.EventoAdmLocal="","",SUMIF(OFFSET($G$14,CRONOPLE!$A$8+1,1,1,OFFSET($AG$12,0,-1)),"&lt;="&amp;Y26,OFFSET(EVENTOS!$G$14,CRONOPLE!$A$8+1,1,1,OFFSET($AG$12,0,-1)))/OFFSET(EVENTOS!$G$14,CRONOPLE!$A$8+1,-1))),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Y26,OFFSET(CÁLCULO!$AA$15,CRONOPLE!$A$10,1,OFFSET(ORÇAMENTO!$D$15,CRONOPLE!$A$10,0),COLUMN(CÁLCULO!$AL$15)-COLUMN(CÁLCULO!$AA$15)-1))/OFFSET(ORÇAMENTO!$X$15,CRONOPLE!$A$10,0))))</f>
        <v>#NAME?</v>
      </c>
      <c r="Z31" s="415"/>
      <c r="AA31" s="415" t="e">
        <f aca="false" t="array" ref="AA31:AA31">IF(OR(_xlfn.single(ACOMPANHAMENTO)&lt;&gt;"PLE",AA26&gt;PLE.Medicao),0,
   IF(AUTOEVENTO="Manual",
      IF(AdmLocal="Automática",AA29,
         IF(Import.EventoAdmLocal="","",SUMIF(OFFSET($G$14,CRONOPLE!$A$8+1,1,1,OFFSET($AG$12,0,-1)),"&lt;="&amp;AA26,OFFSET(EVENTOS!$G$14,CRONOPLE!$A$8+1,1,1,OFFSET($AG$12,0,-1)))/OFFSET(EVENTOS!$G$14,CRONOPLE!$A$8+1,-1))),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AA26,OFFSET(CÁLCULO!$AA$15,CRONOPLE!$A$10,1,OFFSET(ORÇAMENTO!$D$15,CRONOPLE!$A$10,0),COLUMN(CÁLCULO!$AL$15)-COLUMN(CÁLCULO!$AA$15)-1))/OFFSET(ORÇAMENTO!$X$15,CRONOPLE!$A$10,0))))</f>
        <v>#NAME?</v>
      </c>
      <c r="AB31" s="415"/>
      <c r="AC31" s="415" t="e">
        <f aca="false" t="array" ref="AC31:AC31">IF(OR(_xlfn.single(ACOMPANHAMENTO)&lt;&gt;"PLE",AC26&gt;PLE.Medicao),0,
   IF(AUTOEVENTO="Manual",
      IF(AdmLocal="Automática",AC29,
         IF(Import.EventoAdmLocal="","",SUMIF(OFFSET($G$14,CRONOPLE!$A$8+1,1,1,OFFSET($AG$12,0,-1)),"&lt;="&amp;AC26,OFFSET(EVENTOS!$G$14,CRONOPLE!$A$8+1,1,1,OFFSET($AG$12,0,-1)))/OFFSET(EVENTOS!$G$14,CRONOPLE!$A$8+1,-1))),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AC26,OFFSET(CÁLCULO!$AA$15,CRONOPLE!$A$10,1,OFFSET(ORÇAMENTO!$D$15,CRONOPLE!$A$10,0),COLUMN(CÁLCULO!$AL$15)-COLUMN(CÁLCULO!$AA$15)-1))/OFFSET(ORÇAMENTO!$X$15,CRONOPLE!$A$10,0))))</f>
        <v>#NAME?</v>
      </c>
      <c r="AD31" s="415"/>
      <c r="AE31" s="415" t="e">
        <f aca="false" t="array" ref="AE31:AE31">IF(OR(_xlfn.single(ACOMPANHAMENTO)&lt;&gt;"PLE",AE26&gt;PLE.Medicao),0,
   IF(AUTOEVENTO="Manual",
      IF(AdmLocal="Automática",AE29,
         IF(Import.EventoAdmLocal="","",SUMIF(OFFSET($G$14,CRONOPLE!$A$8+1,1,1,OFFSET($AG$12,0,-1)),"&lt;="&amp;AE26,OFFSET(EVENTOS!$G$14,CRONOPLE!$A$8+1,1,1,OFFSET($AG$12,0,-1)))/OFFSET(EVENTOS!$G$14,CRONOPLE!$A$8+1,-1))),
      IF(Import.EventoAdmLocal="","",SUMIF(OFFSET(CÁLCULO!$AW$15,CRONOPLE!$A$10,1,OFFSET(ORÇAMENTO!$D$15,CRONOPLE!$A$10,0),COLUMN(CÁLCULO!$BH$15)-COLUMN(CÁLCULO!$AW$15)-1),"&lt;="&amp;AE26,OFFSET(CÁLCULO!$AA$15,CRONOPLE!$A$10,1,OFFSET(ORÇAMENTO!$D$15,CRONOPLE!$A$10,0),COLUMN(CÁLCULO!$AL$15)-COLUMN(CÁLCULO!$AA$15)-1))/OFFSET(ORÇAMENTO!$X$15,CRONOPLE!$A$10,0))))</f>
        <v>#NAME?</v>
      </c>
      <c r="AF31" s="415"/>
    </row>
    <row r="32" customFormat="false" ht="13.5" hidden="false" customHeight="false" outlineLevel="0" collapsed="false">
      <c r="A32" s="49" t="s">
        <v>551</v>
      </c>
      <c r="D32" s="622"/>
      <c r="H32" s="424" t="str">
        <f aca="false">IF(COUNTIF(I32:AG32,"%Adm&gt;%Global")&gt;0,"Verificar proporcionalidade da Administração Local","")</f>
        <v/>
      </c>
      <c r="I32" s="425" t="e">
        <f aca="false">IF(I31="","",IF(ROUND(I31,4)&gt;ROUND(I29,4),"%Adm&gt;%Global",""))</f>
        <v>#NAME?</v>
      </c>
      <c r="J32" s="623"/>
      <c r="K32" s="425" t="e">
        <f aca="false">IF(K31="","",IF(ROUND(K31,4)&gt;ROUND(K29,4),"%Adm&gt;%Global",""))</f>
        <v>#NAME?</v>
      </c>
      <c r="L32" s="623"/>
      <c r="M32" s="425" t="e">
        <f aca="false">IF(M31="","",IF(ROUND(M31,4)&gt;ROUND(M29,4),"%Adm&gt;%Global",""))</f>
        <v>#NAME?</v>
      </c>
      <c r="N32" s="623"/>
      <c r="O32" s="425" t="e">
        <f aca="false">IF(O31="","",IF(ROUND(O31,4)&gt;ROUND(O29,4),"%Adm&gt;%Global",""))</f>
        <v>#NAME?</v>
      </c>
      <c r="P32" s="623"/>
      <c r="Q32" s="425" t="e">
        <f aca="false">IF(Q31="","",IF(ROUND(Q31,4)&gt;ROUND(Q29,4),"%Adm&gt;%Global",""))</f>
        <v>#NAME?</v>
      </c>
      <c r="R32" s="623"/>
      <c r="S32" s="425" t="e">
        <f aca="false">IF(S31="","",IF(ROUND(S31,4)&gt;ROUND(S29,4),"%Adm&gt;%Global",""))</f>
        <v>#NAME?</v>
      </c>
      <c r="T32" s="623"/>
      <c r="U32" s="425" t="e">
        <f aca="false">IF(U31="","",IF(ROUND(U31,4)&gt;ROUND(U29,4),"%Adm&gt;%Global",""))</f>
        <v>#NAME?</v>
      </c>
      <c r="V32" s="623"/>
      <c r="W32" s="425" t="e">
        <f aca="false">IF(W31="","",IF(ROUND(W31,4)&gt;ROUND(W29,4),"%Adm&gt;%Global",""))</f>
        <v>#NAME?</v>
      </c>
      <c r="X32" s="623"/>
      <c r="Y32" s="425" t="e">
        <f aca="false">IF(Y31="","",IF(ROUND(Y31,4)&gt;ROUND(Y29,4),"%Adm&gt;%Global",""))</f>
        <v>#NAME?</v>
      </c>
      <c r="Z32" s="623"/>
      <c r="AA32" s="425" t="e">
        <f aca="false">IF(AA31="","",IF(ROUND(AA31,4)&gt;ROUND(AA29,4),"%Adm&gt;%Global",""))</f>
        <v>#NAME?</v>
      </c>
      <c r="AB32" s="623"/>
      <c r="AC32" s="425" t="e">
        <f aca="false">IF(AC31="","",IF(ROUND(AC31,4)&gt;ROUND(AC29,4),"%Adm&gt;%Global",""))</f>
        <v>#NAME?</v>
      </c>
      <c r="AD32" s="623"/>
      <c r="AE32" s="425" t="e">
        <f aca="false">IF(AE31="","",IF(ROUND(AE31,4)&gt;ROUND(AE29,4),"%Adm&gt;%Global",""))</f>
        <v>#NAME?</v>
      </c>
      <c r="AF32" s="623"/>
    </row>
    <row r="33" customFormat="false" ht="20.25" hidden="false" customHeight="true" outlineLevel="0" collapsed="false">
      <c r="A33" s="49" t="s">
        <v>551</v>
      </c>
      <c r="I33" s="624"/>
      <c r="J33" s="624"/>
    </row>
    <row r="34" customFormat="false" ht="15" hidden="false" customHeight="false" outlineLevel="0" collapsed="false">
      <c r="A34" s="49" t="s">
        <v>551</v>
      </c>
      <c r="B34" s="255" t="str">
        <f aca="false">Import.Município</f>
        <v>CAÇÃPAVA DO SUL</v>
      </c>
      <c r="C34" s="255"/>
      <c r="D34" s="255"/>
      <c r="S34" s="63" t="str">
        <f aca="false">IF(DADOS!$D$50&lt;&gt;"","Preencher os Dados do Responsável pela Fiscalização, na aba DADOS.","")</f>
        <v/>
      </c>
      <c r="U34" s="256"/>
      <c r="V34" s="256"/>
      <c r="W34" s="256"/>
      <c r="X34" s="256"/>
      <c r="Y34" s="47"/>
      <c r="Z34" s="47"/>
      <c r="AA34" s="47"/>
      <c r="AB34" s="47"/>
      <c r="AC34" s="47"/>
      <c r="AD34" s="47"/>
    </row>
    <row r="35" customFormat="false" ht="12.75" hidden="false" customHeight="false" outlineLevel="0" collapsed="false">
      <c r="A35" s="49" t="s">
        <v>551</v>
      </c>
      <c r="B35" s="57" t="s">
        <v>709</v>
      </c>
      <c r="U35" s="257" t="s">
        <v>887</v>
      </c>
    </row>
    <row r="36" customFormat="false" ht="12.75" hidden="false" customHeight="false" outlineLevel="0" collapsed="false">
      <c r="A36" s="49" t="s">
        <v>551</v>
      </c>
      <c r="I36" s="152"/>
      <c r="U36" s="150" t="s">
        <v>249</v>
      </c>
      <c r="W36" s="625" t="n">
        <f aca="false" t="array" ref="W36:W39">Import.RespFiscalização</f>
        <v>0</v>
      </c>
    </row>
    <row r="37" customFormat="false" ht="12.75" hidden="false" customHeight="false" outlineLevel="0" collapsed="false">
      <c r="A37" s="49" t="s">
        <v>551</v>
      </c>
      <c r="B37" s="258" t="n">
        <f aca="false">DADOS!$C$48</f>
        <v>0</v>
      </c>
      <c r="C37" s="258"/>
      <c r="D37" s="258"/>
      <c r="I37" s="152"/>
      <c r="U37" s="150" t="s">
        <v>334</v>
      </c>
      <c r="W37" s="625" t="n">
        <v>0</v>
      </c>
    </row>
    <row r="38" customFormat="false" ht="12.75" hidden="false" customHeight="false" outlineLevel="0" collapsed="false">
      <c r="A38" s="49" t="s">
        <v>551</v>
      </c>
      <c r="B38" s="259" t="s">
        <v>710</v>
      </c>
      <c r="C38" s="33"/>
      <c r="D38" s="33"/>
      <c r="I38" s="152"/>
      <c r="U38" s="150" t="s">
        <v>253</v>
      </c>
      <c r="W38" s="625" t="n">
        <v>0</v>
      </c>
    </row>
    <row r="39" customFormat="false" ht="12.75" hidden="false" customHeight="false" outlineLevel="0" collapsed="false">
      <c r="U39" s="150" t="s">
        <v>257</v>
      </c>
      <c r="W39" s="64" t="n">
        <v>0</v>
      </c>
    </row>
  </sheetData>
  <sheetProtection sheet="true" password="bd1f" objects="true" scenarios="true" autoFilter="false"/>
  <autoFilter ref="A13:A38"/>
  <mergeCells count="113">
    <mergeCell ref="C1:D1"/>
    <mergeCell ref="AD3:AF3"/>
    <mergeCell ref="AD4:AF4"/>
    <mergeCell ref="AE6:AF6"/>
    <mergeCell ref="B7:C7"/>
    <mergeCell ref="H7:N7"/>
    <mergeCell ref="O7:U7"/>
    <mergeCell ref="V7:AD7"/>
    <mergeCell ref="AE7:AF7"/>
    <mergeCell ref="J9:K9"/>
    <mergeCell ref="N9:T9"/>
    <mergeCell ref="Y9:Z9"/>
    <mergeCell ref="AE9:AF9"/>
    <mergeCell ref="C11:D11"/>
    <mergeCell ref="B12:B13"/>
    <mergeCell ref="C12:D13"/>
    <mergeCell ref="C15:D15"/>
    <mergeCell ref="C16:D16"/>
    <mergeCell ref="C17:D17"/>
    <mergeCell ref="C18:D18"/>
    <mergeCell ref="C19:D19"/>
    <mergeCell ref="C20:D20"/>
    <mergeCell ref="C21:D21"/>
    <mergeCell ref="I24:AF24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D27:D28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D29:D30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I33:J33"/>
    <mergeCell ref="B34:D34"/>
    <mergeCell ref="B37:D37"/>
  </mergeCells>
  <conditionalFormatting sqref="F16:F21">
    <cfRule type="expression" priority="2" aboveAverage="0" equalAverage="0" bottom="0" percent="0" rank="0" text="" dxfId="438">
      <formula>IF(OR(ACOMPANHAMENTO="BM",F$12&gt;CÁLCULO.NúmeroDeFrentes),1,PLE.ValorDoEvento=0)</formula>
    </cfRule>
    <cfRule type="cellIs" priority="3" operator="equal" aboveAverage="0" equalAverage="0" bottom="0" percent="0" rank="0" text="" dxfId="439">
      <formula>$J$9</formula>
    </cfRule>
  </conditionalFormatting>
  <conditionalFormatting sqref="H16:AF21">
    <cfRule type="expression" priority="4" aboveAverage="0" equalAverage="0" bottom="0" percent="0" rank="0" text="" dxfId="440">
      <formula>IF(OR(ACOMPANHAMENTO="BM",TIPOORCAMENTO="Proposto",H$12&gt;CÁLCULO.NúmeroDeFrentes),1,PLE.ValorDoEvento=0)</formula>
    </cfRule>
    <cfRule type="cellIs" priority="5" operator="equal" aboveAverage="0" equalAverage="0" bottom="0" percent="0" rank="0" text="" dxfId="441">
      <formula>$J$9</formula>
    </cfRule>
  </conditionalFormatting>
  <conditionalFormatting sqref="N13">
    <cfRule type="expression" priority="6" aboveAverage="0" equalAverage="0" bottom="0" percent="0" rank="0" text="" dxfId="442">
      <formula>$Y$9=0</formula>
    </cfRule>
  </conditionalFormatting>
  <conditionalFormatting sqref="I31:AF31">
    <cfRule type="expression" priority="7" aboveAverage="0" equalAverage="0" bottom="0" percent="0" rank="0" text="" dxfId="443">
      <formula>ROUND(I31,4)&gt;ROUND(I29,4)</formula>
    </cfRule>
  </conditionalFormatting>
  <conditionalFormatting sqref="K31:AF31">
    <cfRule type="expression" priority="8" aboveAverage="0" equalAverage="0" bottom="0" percent="0" rank="0" text="" dxfId="444">
      <formula>OFFSET(K31,-2,-2)=1</formula>
    </cfRule>
  </conditionalFormatting>
  <conditionalFormatting sqref="K27:AF30">
    <cfRule type="expression" priority="9" aboveAverage="0" equalAverage="0" bottom="0" percent="0" rank="0" text="" dxfId="445">
      <formula>I$29=100%</formula>
    </cfRule>
  </conditionalFormatting>
  <conditionalFormatting sqref="I26:J26">
    <cfRule type="cellIs" priority="10" operator="notEqual" aboveAverage="0" equalAverage="0" bottom="0" percent="0" rank="0" text="" dxfId="446">
      <formula>1</formula>
    </cfRule>
  </conditionalFormatting>
  <conditionalFormatting sqref="F1:F2">
    <cfRule type="expression" priority="11" aboveAverage="0" equalAverage="0" bottom="0" percent="0" rank="0" text="" dxfId="447">
      <formula>IF(OR(ACOMPANHAMENTO="BM",F$12&gt;CÁLCULO.NúmeroDeFrentes),1,PLE.ValorDoEvento=0)</formula>
    </cfRule>
    <cfRule type="cellIs" priority="12" operator="equal" aboveAverage="0" equalAverage="0" bottom="0" percent="0" rank="0" text="" dxfId="448">
      <formula>$J$9</formula>
    </cfRule>
  </conditionalFormatting>
  <conditionalFormatting sqref="I27:AF27">
    <cfRule type="expression" priority="13" aboveAverage="0" equalAverage="0" bottom="0" percent="0" rank="0" text="" dxfId="449">
      <formula>I26=$J$9</formula>
    </cfRule>
  </conditionalFormatting>
  <conditionalFormatting sqref="I28:AF28">
    <cfRule type="expression" priority="14" aboveAverage="0" equalAverage="0" bottom="0" percent="0" rank="0" text="" dxfId="450">
      <formula>I26=$J$9</formula>
    </cfRule>
  </conditionalFormatting>
  <conditionalFormatting sqref="I29:AF29">
    <cfRule type="expression" priority="15" aboveAverage="0" equalAverage="0" bottom="0" percent="0" rank="0" text="" dxfId="451">
      <formula>I26=$J$9</formula>
    </cfRule>
  </conditionalFormatting>
  <conditionalFormatting sqref="I30:AF30">
    <cfRule type="expression" priority="16" aboveAverage="0" equalAverage="0" bottom="0" percent="0" rank="0" text="" dxfId="452">
      <formula>I26=$J$9</formula>
    </cfRule>
  </conditionalFormatting>
  <conditionalFormatting sqref="AE6:AE7">
    <cfRule type="expression" priority="17" aboveAverage="0" equalAverage="0" bottom="0" percent="0" rank="0" text="" dxfId="453">
      <formula>TIPOORCAMENTO&lt;&gt;"Licitado"</formula>
    </cfRule>
  </conditionalFormatting>
  <conditionalFormatting sqref="N9:T9">
    <cfRule type="expression" priority="18" aboveAverage="0" equalAverage="0" bottom="0" percent="0" rank="0" text="" dxfId="454">
      <formula>COLUMN(N9)&gt;COLUMN($AF$12)</formula>
    </cfRule>
    <cfRule type="expression" priority="19" aboveAverage="0" equalAverage="0" bottom="0" percent="0" rank="0" text="" dxfId="455">
      <formula>$N$9="DIGITE A DATA DA MEDIÇÃO"</formula>
    </cfRule>
  </conditionalFormatting>
  <conditionalFormatting sqref="I9:M9 U9:AF9">
    <cfRule type="expression" priority="20" aboveAverage="0" equalAverage="0" bottom="0" percent="0" rank="0" text="" dxfId="456">
      <formula>COLUMN(I9)&gt;COLUMN($AF$12)</formula>
    </cfRule>
  </conditionalFormatting>
  <conditionalFormatting sqref="H1:AF1">
    <cfRule type="expression" priority="21" aboveAverage="0" equalAverage="0" bottom="0" percent="0" rank="0" text="" dxfId="457">
      <formula>IF(OR(ACOMPANHAMENTO="BM",TIPOORCAMENTO="Proposto",H$12&gt;CÁLCULO.NúmeroDeFrentes),1,PLE.ValorDoEvento=0)</formula>
    </cfRule>
    <cfRule type="cellIs" priority="22" operator="equal" aboveAverage="0" equalAverage="0" bottom="0" percent="0" rank="0" text="" dxfId="458">
      <formula>$J$9</formula>
    </cfRule>
  </conditionalFormatting>
  <conditionalFormatting sqref="J32 L32 N32 P32 R32 T32 V32 X32 Z32 AB32 AD32 AF32">
    <cfRule type="expression" priority="23" aboveAverage="0" equalAverage="0" bottom="0" percent="0" rank="0" text="" dxfId="459">
      <formula>J27=$J$9</formula>
    </cfRule>
  </conditionalFormatting>
  <dataValidations count="3">
    <dataValidation allowBlank="true" errorStyle="stop" operator="greaterThan" showDropDown="false" showErrorMessage="true" showInputMessage="false" sqref="F1:F4 I3:AC4 J9:K9 F16:F21" type="whole">
      <formula1>0</formula1>
      <formula2>0</formula2>
    </dataValidation>
    <dataValidation allowBlank="true" errorStyle="stop" operator="between" prompt="Digite a data de medição abaixo dos eventos." showDropDown="false" showErrorMessage="true" showInputMessage="true" sqref="N9:T9" type="none">
      <formula1>0</formula1>
      <formula2>0</formula2>
    </dataValidation>
    <dataValidation allowBlank="true" error="Preencha somente com o número da medição atual." errorStyle="stop" errorTitle="Errp de entrada" operator="equal" showDropDown="false" showErrorMessage="true" showInputMessage="false" sqref="H1:AF1 H16:AF21" type="whole">
      <formula1>PLE.Medicao</formula1>
      <formula2>0</formula2>
    </dataValidation>
  </dataValidations>
  <printOptions headings="false" gridLines="false" gridLinesSet="true" horizontalCentered="true" verticalCentered="false"/>
  <pageMargins left="0.7875" right="0.7875" top="0.786805555555556" bottom="0.786805555555556" header="0.590277777777778" footer="0.590277777777778"/>
  <pageSetup paperSize="9" scale="69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&amp;C&amp;14I</oddHeader>
    <oddFooter>&amp;LPMv3.10&amp;R&amp;P /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O55"/>
  <sheetViews>
    <sheetView showFormulas="false" showGridLines="false" showRowColHeaders="true" showZeros="true" rightToLeft="false" tabSelected="false" showOutlineSymbols="true" defaultGridColor="true" view="pageBreakPreview" topLeftCell="A1" colorId="64" zoomScale="90" zoomScaleNormal="100" zoomScalePageLayoutView="90" workbookViewId="0">
      <pane xSplit="7" ySplit="15" topLeftCell="H16" activePane="bottomRight" state="frozen"/>
      <selection pane="topLeft" activeCell="A1" activeCellId="0" sqref="A1"/>
      <selection pane="topRight" activeCell="H1" activeCellId="0" sqref="H1"/>
      <selection pane="bottomLeft" activeCell="A16" activeCellId="0" sqref="A16"/>
      <selection pane="bottomRight" activeCell="A27" activeCellId="0" sqref="A27"/>
    </sheetView>
  </sheetViews>
  <sheetFormatPr defaultColWidth="8.6796875" defaultRowHeight="12.75" zeroHeight="false" outlineLevelRow="0" outlineLevelCol="0"/>
  <cols>
    <col collapsed="false" customWidth="true" hidden="true" outlineLevel="0" max="2" min="1" style="1" width="6.57"/>
    <col collapsed="false" customWidth="true" hidden="false" outlineLevel="0" max="3" min="3" style="1" width="3.57"/>
    <col collapsed="false" customWidth="true" hidden="false" outlineLevel="0" max="4" min="4" style="1" width="10.57"/>
    <col collapsed="false" customWidth="true" hidden="false" outlineLevel="0" max="5" min="5" style="1" width="65.57"/>
    <col collapsed="false" customWidth="true" hidden="false" outlineLevel="0" max="6" min="6" style="1" width="7.57"/>
    <col collapsed="false" customWidth="true" hidden="false" outlineLevel="0" max="7" min="7" style="1" width="11.57"/>
    <col collapsed="false" customWidth="true" hidden="false" outlineLevel="0" max="8" min="8" style="1" width="14.57"/>
    <col collapsed="false" customWidth="true" hidden="false" outlineLevel="0" max="9" min="9" style="1" width="18.57"/>
    <col collapsed="false" customWidth="true" hidden="false" outlineLevel="0" max="12" min="10" style="1" width="11.57"/>
    <col collapsed="false" customWidth="true" hidden="false" outlineLevel="0" max="15" min="13" style="1" width="18.57"/>
    <col collapsed="false" customWidth="true" hidden="true" outlineLevel="0" max="18" min="17" style="1" width="11.57"/>
    <col collapsed="false" customWidth="true" hidden="true" outlineLevel="0" max="19" min="19" style="1" width="9.14"/>
    <col collapsed="false" customWidth="true" hidden="true" outlineLevel="0" max="20" min="20" style="1" width="10.57"/>
    <col collapsed="false" customWidth="true" hidden="true" outlineLevel="0" max="21" min="21" style="1" width="65.57"/>
    <col collapsed="false" customWidth="true" hidden="true" outlineLevel="0" max="22" min="22" style="1" width="7.57"/>
    <col collapsed="false" customWidth="true" hidden="true" outlineLevel="0" max="23" min="23" style="1" width="11.57"/>
    <col collapsed="false" customWidth="true" hidden="true" outlineLevel="0" max="24" min="24" style="1" width="14.57"/>
    <col collapsed="false" customWidth="true" hidden="true" outlineLevel="0" max="25" min="25" style="1" width="18.57"/>
    <col collapsed="false" customWidth="true" hidden="true" outlineLevel="0" max="26" min="26" style="1" width="25.57"/>
    <col collapsed="false" customWidth="true" hidden="true" outlineLevel="0" max="27" min="27" style="1" width="9.14"/>
    <col collapsed="false" customWidth="true" hidden="false" outlineLevel="0" max="39" min="28" style="1" width="11.57"/>
    <col collapsed="false" customWidth="true" hidden="false" outlineLevel="0" max="40" min="40" style="1" width="10.42"/>
    <col collapsed="false" customWidth="true" hidden="true" outlineLevel="0" max="41" min="41" style="1" width="9.14"/>
  </cols>
  <sheetData>
    <row r="1" customFormat="false" ht="15.75" hidden="false" customHeight="false" outlineLevel="0" collapsed="false">
      <c r="E1" s="626" t="str">
        <f aca="false">IF(CAIXA.Modo,"BA - Boletim de Aferição","BM - Boletim de Medição")</f>
        <v>BM - Boletim de Medição</v>
      </c>
      <c r="G1" s="627"/>
      <c r="J1" s="627"/>
      <c r="K1" s="627"/>
      <c r="L1" s="627"/>
      <c r="M1" s="627"/>
      <c r="N1" s="627"/>
      <c r="O1" s="99" t="s">
        <v>659</v>
      </c>
    </row>
    <row r="2" customFormat="false" ht="15" hidden="false" customHeight="false" outlineLevel="0" collapsed="false">
      <c r="A2" s="32" t="s">
        <v>888</v>
      </c>
      <c r="B2" s="34"/>
      <c r="E2" s="628" t="str">
        <f aca="true">IF(Import.RegimeExecução="(SELECIONAR)","Selecione o Regime de Execução na Aba Dados",Import.RegimeExecução&amp;" - "&amp;import.recurso)</f>
        <v>EMPREITADA POR PREÇO GLOBAL - OGU</v>
      </c>
      <c r="O2" s="59" t="s">
        <v>662</v>
      </c>
    </row>
    <row r="3" customFormat="false" ht="12.75" hidden="false" customHeight="false" outlineLevel="0" collapsed="false">
      <c r="A3" s="629" t="n">
        <f aca="false">FALSE()</f>
        <v>0</v>
      </c>
      <c r="B3" s="629"/>
      <c r="E3" s="16"/>
    </row>
    <row r="4" customFormat="false" ht="12.75" hidden="false" customHeight="false" outlineLevel="0" collapsed="false">
      <c r="D4" s="103" t="s">
        <v>667</v>
      </c>
      <c r="E4" s="103"/>
      <c r="F4" s="267" t="s">
        <v>665</v>
      </c>
      <c r="G4" s="267"/>
      <c r="H4" s="267"/>
      <c r="I4" s="313" t="s">
        <v>724</v>
      </c>
      <c r="J4" s="103" t="s">
        <v>725</v>
      </c>
      <c r="K4" s="103"/>
      <c r="L4" s="103"/>
      <c r="M4" s="103"/>
      <c r="N4" s="103"/>
      <c r="O4" s="315" t="s">
        <v>889</v>
      </c>
    </row>
    <row r="5" customFormat="false" ht="12.75" hidden="false" customHeight="true" outlineLevel="0" collapsed="false">
      <c r="A5" s="1" t="s">
        <v>890</v>
      </c>
      <c r="D5" s="104" t="str">
        <f aca="false">Import.Proponente</f>
        <v>PREFEITURA MUNICIPAL DE CAÇAPAVA DO SUL</v>
      </c>
      <c r="E5" s="104"/>
      <c r="F5" s="179" t="str">
        <f aca="false">Import.CR</f>
        <v>-</v>
      </c>
      <c r="G5" s="179"/>
      <c r="H5" s="179"/>
      <c r="I5" s="630" t="str">
        <f aca="false">Import.TransfereGOV</f>
        <v>-</v>
      </c>
      <c r="J5" s="104" t="str">
        <f aca="false">Import.Apelido</f>
        <v>EMEF INSTITUTO AUGUSTA MARIA LIMA MARQUES</v>
      </c>
      <c r="K5" s="104"/>
      <c r="L5" s="104"/>
      <c r="M5" s="104"/>
      <c r="N5" s="104"/>
      <c r="O5" s="631" t="n">
        <f aca="false">Import.DataInicioObra</f>
        <v>0</v>
      </c>
      <c r="AO5" s="632" t="s">
        <v>891</v>
      </c>
    </row>
    <row r="6" customFormat="false" ht="4.5" hidden="false" customHeight="true" outlineLevel="0" collapsed="false">
      <c r="D6" s="167"/>
      <c r="E6" s="168"/>
      <c r="F6" s="167"/>
      <c r="G6" s="167"/>
      <c r="H6" s="167"/>
      <c r="I6" s="167"/>
      <c r="J6" s="167"/>
      <c r="K6" s="167"/>
      <c r="L6" s="167"/>
      <c r="M6" s="167"/>
      <c r="N6" s="167"/>
      <c r="O6" s="167"/>
      <c r="AO6" s="633"/>
    </row>
    <row r="7" customFormat="false" ht="12.75" hidden="false" customHeight="true" outlineLevel="0" collapsed="false">
      <c r="A7" s="1" t="str">
        <f aca="true">RegimeExecucao</f>
        <v>Global</v>
      </c>
      <c r="D7" s="162" t="s">
        <v>892</v>
      </c>
      <c r="E7" s="162" t="s">
        <v>893</v>
      </c>
      <c r="F7" s="103" t="s">
        <v>894</v>
      </c>
      <c r="G7" s="103"/>
      <c r="H7" s="103"/>
      <c r="I7" s="634" t="str">
        <f aca="false">IF(TIPOORCAMENTO="Licitado","REGIME DE EXECUÇÃO","MUNICÍPIO / UF")</f>
        <v>MUNICÍPIO / UF</v>
      </c>
      <c r="J7" s="634"/>
      <c r="K7" s="634"/>
      <c r="L7" s="634"/>
      <c r="M7" s="103" t="s">
        <v>895</v>
      </c>
      <c r="N7" s="103"/>
      <c r="O7" s="162" t="s">
        <v>896</v>
      </c>
      <c r="AO7" s="532" t="n">
        <f aca="true">BM.MEDAcumulado</f>
        <v>0</v>
      </c>
    </row>
    <row r="8" customFormat="false" ht="12.75" hidden="false" customHeight="true" outlineLevel="0" collapsed="false">
      <c r="A8" s="32" t="s">
        <v>897</v>
      </c>
      <c r="B8" s="34"/>
      <c r="C8" s="105" t="s">
        <v>670</v>
      </c>
      <c r="D8" s="635" t="n">
        <f aca="false">Import.CTEF</f>
        <v>0</v>
      </c>
      <c r="E8" s="104" t="n">
        <f aca="false">Import.empresa</f>
        <v>0</v>
      </c>
      <c r="F8" s="104" t="n">
        <f aca="false">Import.CNPJ</f>
        <v>0</v>
      </c>
      <c r="G8" s="104"/>
      <c r="H8" s="104"/>
      <c r="I8" s="104" t="str">
        <f aca="true">IF(TIPOORCAMENTO="Licitado",Import.RegimeExecução,Import.Município)</f>
        <v>CAÇÃPAVA DO SUL</v>
      </c>
      <c r="J8" s="104"/>
      <c r="K8" s="104"/>
      <c r="L8" s="104"/>
      <c r="M8" s="104" t="str">
        <f aca="true" t="array" ref="M8:M8">TEXT(IF(BM.medicao=1,Import.DataInicioObra,OFFSET($AB$12,0,BM.medicao-1-$AB$13)+1),"dd/mm/aaaa")&amp;" a "&amp;TEXT(OFFSET($AB$12,0,BM.medicao-$AB$13),"dd/mm/aaaa")</f>
        <v>30/12/1899 a 30/12/1899</v>
      </c>
      <c r="N8" s="104"/>
      <c r="O8" s="636" t="n">
        <v>1</v>
      </c>
    </row>
    <row r="9" customFormat="false" ht="12.75" hidden="false" customHeight="true" outlineLevel="0" collapsed="false">
      <c r="A9" s="637" t="n">
        <f aca="false">TRUE()</f>
        <v>0</v>
      </c>
      <c r="B9" s="9"/>
      <c r="C9" s="105"/>
    </row>
    <row r="10" customFormat="false" ht="12.75" hidden="false" customHeight="true" outlineLevel="0" collapsed="false">
      <c r="A10" s="32" t="s">
        <v>898</v>
      </c>
      <c r="B10" s="34"/>
      <c r="C10" s="105"/>
      <c r="E10" s="638"/>
      <c r="F10" s="639" t="e">
        <f aca="false" t="array" ref="F10:F10">IF(_xlfn.single(ACOMPANHAMENTO)="PLE","Foi selecionado na aba 'MENU' o acompanhamento por PLE.",
  IF(_xlfn.single(TIPOORCAMENTO)="Proposto","Altere na aba 'MENU' o tipo de orçamento para 'Licitado'.",
  IF(_xlfn.single(Import.RegimeExecução)="(SELECIONAR)",UPPER($E$2),
  IF(AND(BM.medicao=1,DADOS!$C$47=0),"PREENCHER A DATA DE INÍCIO DA OBRA, NA ABA DADOS",
  IF($N$15=0,"PREENCHER A MEDIÇÃO "&amp;BM.medicao,
  IF($AB$10&lt;&gt;"",UPPER($AB$10),
  IF($J$50&lt;&gt;"",UPPER($J$50),
 "")))))))</f>
        <v>#NAME?</v>
      </c>
      <c r="G10" s="639"/>
      <c r="H10" s="639"/>
      <c r="I10" s="639"/>
      <c r="O10" s="640" t="e">
        <f aca="false">"Realizado Acumulado: "&amp;TEXT(P10,"0,00%")</f>
        <v>#NAME?</v>
      </c>
      <c r="P10" s="641" t="e">
        <f aca="false">ROUND($O$15/($I$15+10^-12),4)</f>
        <v>#NAME?</v>
      </c>
      <c r="AB10" s="111" t="str">
        <f aca="false">IF(INDEX($AB$12:$AN$12,MATCH($O$8,$AB$13:$AN$13,0))=0,"Preencher a data da medição "&amp;$O$8,"")</f>
        <v>Preencher a data da medição 1</v>
      </c>
    </row>
    <row r="11" customFormat="false" ht="15" hidden="false" customHeight="true" outlineLevel="0" collapsed="false">
      <c r="A11" s="642" t="e">
        <f aca="true">OFFSET(CRONO!$F$13,CRONO!$F$55,0)</f>
        <v>#VALUE!</v>
      </c>
      <c r="B11" s="3"/>
      <c r="C11" s="105"/>
      <c r="E11" s="638"/>
      <c r="F11" s="639"/>
      <c r="G11" s="639"/>
      <c r="H11" s="639"/>
      <c r="I11" s="639"/>
      <c r="N11" s="643"/>
      <c r="O11" s="640" t="str">
        <f aca="false">IF(ISERROR(P11),"","Administração Local Acumulada: "&amp;TEXT(P11,"0,00%"))</f>
        <v/>
      </c>
      <c r="P11" s="641" t="e">
        <f aca="true">OFFSET($O$15,$A$11,0)/OFFSET($I$15,$A$11,0)</f>
        <v>#VALUE!</v>
      </c>
      <c r="T11" s="644" t="s">
        <v>899</v>
      </c>
      <c r="U11" s="644"/>
      <c r="Z11" s="9"/>
      <c r="AB11" s="607" t="s">
        <v>900</v>
      </c>
      <c r="AC11" s="607"/>
      <c r="AD11" s="607"/>
      <c r="AE11" s="607"/>
      <c r="AF11" s="607"/>
      <c r="AG11" s="607"/>
      <c r="AH11" s="607"/>
      <c r="AI11" s="607"/>
      <c r="AJ11" s="607"/>
      <c r="AK11" s="607"/>
      <c r="AL11" s="607"/>
      <c r="AM11" s="607"/>
    </row>
    <row r="12" customFormat="false" ht="15" hidden="false" customHeight="true" outlineLevel="0" collapsed="false">
      <c r="C12" s="105"/>
      <c r="E12" s="61" t="s">
        <v>901</v>
      </c>
      <c r="J12" s="102" t="str">
        <f aca="true">"Evolução Física "&amp;CHOOSE(MATCH(RegimeExecucao,{"Unitário","Global"},0),"(Qtde.)","(%)")</f>
        <v>Evolução Física (%)</v>
      </c>
      <c r="K12" s="102"/>
      <c r="L12" s="102"/>
      <c r="M12" s="102" t="s">
        <v>902</v>
      </c>
      <c r="N12" s="102"/>
      <c r="O12" s="102"/>
      <c r="Q12" s="102" t="str">
        <f aca="true">"Aferido (CAIXA) "&amp;CHOOSE(MATCH(RegimeExecucao,{"Unitário","Global"},0),"(Qtde.)","(%)")</f>
        <v>Aferido (CAIXA) (%)</v>
      </c>
      <c r="R12" s="102"/>
      <c r="T12" s="645" t="s">
        <v>903</v>
      </c>
      <c r="U12" s="47"/>
      <c r="V12" s="47"/>
      <c r="W12" s="47"/>
      <c r="X12" s="47"/>
      <c r="Y12" s="47"/>
      <c r="Z12" s="3"/>
      <c r="AB12" s="646"/>
      <c r="AC12" s="647"/>
      <c r="AD12" s="647"/>
      <c r="AE12" s="647"/>
      <c r="AF12" s="647"/>
      <c r="AG12" s="647"/>
      <c r="AH12" s="647"/>
      <c r="AI12" s="647"/>
      <c r="AJ12" s="647"/>
      <c r="AK12" s="647"/>
      <c r="AL12" s="647"/>
      <c r="AM12" s="648"/>
    </row>
    <row r="13" customFormat="false" ht="45" hidden="false" customHeight="true" outlineLevel="0" collapsed="false">
      <c r="A13" s="189" t="s">
        <v>743</v>
      </c>
      <c r="B13" s="189" t="s">
        <v>742</v>
      </c>
      <c r="C13" s="112" t="s">
        <v>675</v>
      </c>
      <c r="D13" s="197" t="s">
        <v>752</v>
      </c>
      <c r="E13" s="197" t="s">
        <v>121</v>
      </c>
      <c r="F13" s="649" t="s">
        <v>755</v>
      </c>
      <c r="G13" s="197" t="s">
        <v>729</v>
      </c>
      <c r="H13" s="197" t="s">
        <v>756</v>
      </c>
      <c r="I13" s="197" t="s">
        <v>757</v>
      </c>
      <c r="J13" s="197" t="s">
        <v>904</v>
      </c>
      <c r="K13" s="197" t="s">
        <v>905</v>
      </c>
      <c r="L13" s="197" t="s">
        <v>906</v>
      </c>
      <c r="M13" s="197" t="s">
        <v>904</v>
      </c>
      <c r="N13" s="197" t="s">
        <v>905</v>
      </c>
      <c r="O13" s="197" t="s">
        <v>906</v>
      </c>
      <c r="Q13" s="197" t="s">
        <v>904</v>
      </c>
      <c r="R13" s="197" t="s">
        <v>906</v>
      </c>
      <c r="T13" s="197" t="s">
        <v>752</v>
      </c>
      <c r="U13" s="197" t="s">
        <v>121</v>
      </c>
      <c r="V13" s="650" t="str">
        <f aca="true">IF(RegimeExecucao="Unitário","Unidade","")</f>
        <v/>
      </c>
      <c r="W13" s="197" t="str">
        <f aca="true">CHOOSE(MATCH(RegimeExecucao,{"Unitário","Global"},0),"Quant. Glosada (unid)","Percentual Glosado (%)")</f>
        <v>Percentual Glosado (%)</v>
      </c>
      <c r="X13" s="197" t="str">
        <f aca="true">CHOOSE(MATCH(RegimeExecucao,{"Unitário","Global"},0),"Preço Unitário (R$)","Valor Total do Item (R$)")</f>
        <v>Valor Total do Item (R$)</v>
      </c>
      <c r="Y13" s="197" t="s">
        <v>907</v>
      </c>
      <c r="Z13" s="197" t="s">
        <v>908</v>
      </c>
      <c r="AA13" s="194"/>
      <c r="AB13" s="651" t="n">
        <f aca="true" t="array" ref="AB13:AB13">IF(BM.medicao&lt;=12,1,TRUNC((BM.medicao - 2)/11,0) * 11 + 1)</f>
        <v>1</v>
      </c>
      <c r="AC13" s="651" t="n">
        <f aca="true">OFFSET(AC13,0,-1)+1</f>
        <v>2</v>
      </c>
      <c r="AD13" s="651" t="n">
        <f aca="true">OFFSET(AD13,0,-1)+1</f>
        <v>3</v>
      </c>
      <c r="AE13" s="651" t="n">
        <f aca="true">OFFSET(AE13,0,-1)+1</f>
        <v>4</v>
      </c>
      <c r="AF13" s="651" t="n">
        <f aca="true">OFFSET(AF13,0,-1)+1</f>
        <v>5</v>
      </c>
      <c r="AG13" s="651" t="n">
        <f aca="true">OFFSET(AG13,0,-1)+1</f>
        <v>6</v>
      </c>
      <c r="AH13" s="651" t="n">
        <f aca="true">OFFSET(AH13,0,-1)+1</f>
        <v>7</v>
      </c>
      <c r="AI13" s="651" t="n">
        <f aca="true">OFFSET(AI13,0,-1)+1</f>
        <v>8</v>
      </c>
      <c r="AJ13" s="651" t="n">
        <f aca="true">OFFSET(AJ13,0,-1)+1</f>
        <v>9</v>
      </c>
      <c r="AK13" s="651" t="n">
        <f aca="true">OFFSET(AK13,0,-1)+1</f>
        <v>10</v>
      </c>
      <c r="AL13" s="651" t="n">
        <f aca="true">OFFSET(AL13,0,-1)+1</f>
        <v>11</v>
      </c>
      <c r="AM13" s="651" t="n">
        <f aca="true">OFFSET(AM13,0,-1)+1</f>
        <v>12</v>
      </c>
      <c r="AO13" s="189" t="s">
        <v>909</v>
      </c>
    </row>
    <row r="14" customFormat="false" ht="12.75" hidden="true" customHeight="false" outlineLevel="0" collapsed="false">
      <c r="A14" s="1" t="str">
        <f aca="false">ORÇAMENTO!C14</f>
        <v>S</v>
      </c>
      <c r="B14" s="1" t="n">
        <f aca="false">ORÇAMENTO!D14</f>
        <v>0</v>
      </c>
      <c r="C14" s="199" t="str">
        <f aca="false">IF(OR($I14&gt;0,$A14=1,$A14=2,$A14=3,$A14=4),"F","")</f>
        <v/>
      </c>
      <c r="D14" s="202" t="str">
        <f aca="false">ORÇAMENTO!O14</f>
        <v>-</v>
      </c>
      <c r="E14" s="346" t="str">
        <f aca="false">ORÇAMENTO.Descricao</f>
        <v>(abra o arquivo 'Referência 09-2025.xlsm)</v>
      </c>
      <c r="F14" s="347" t="str">
        <f aca="true">IF(RegimeExecucao="Global","",ORÇAMENTO.Unidade)</f>
        <v/>
      </c>
      <c r="G14" s="207" t="str">
        <f aca="true">IF(RegimeExecucao="Global","",ORÇAMENTO!T14)</f>
        <v/>
      </c>
      <c r="H14" s="207" t="str">
        <f aca="true">IF(RegimeExecucao="Global","",ORÇAMENTO!W14)</f>
        <v/>
      </c>
      <c r="I14" s="210" t="n">
        <f aca="false">ORÇAMENTO!X14</f>
        <v>0</v>
      </c>
      <c r="J14" s="652" t="e">
        <f aca="false" t="array" ref="J14:J14">_xlfn.single(IF($A14="S",IF(CAIXA.Modo,BM.AFAnterior,BM.MEDAnterior),IF(AND(_xlfn.single(RegimeExecucao)="Global",$I14&gt;0,COUNTIF($AB$13:$AM$13,BM.medicao-1)&gt;0),M14/$I14*100,0)))</f>
        <v>#NAME?</v>
      </c>
      <c r="K14" s="207" t="e">
        <f aca="false">L14-J14</f>
        <v>#NAME?</v>
      </c>
      <c r="L14" s="653" t="e">
        <f aca="false" t="array" ref="L14:L14">_xlfn.single(IF($A14="S",IF(CAIXA.Modo,BM.AFAcumulado,BM.MEDAcumulado),IF(AND(_xlfn.single(RegimeExecucao)="Global",$I14&gt;0,COUNTIF($AB$13:$AM$13,BM.medicao)&gt;0),O14/$I14*100,0)))</f>
        <v>#NAME?</v>
      </c>
      <c r="M14" s="654" t="n">
        <f aca="true">IF($A14="S",VTOTALBM,IF($A14=0,0,ROUND(SomaAgrupBM,15-13*ORÇAMENTO!$AF$11)))</f>
        <v>0</v>
      </c>
      <c r="N14" s="219" t="n">
        <f aca="false">O14-M14</f>
        <v>0</v>
      </c>
      <c r="O14" s="210" t="n">
        <f aca="true">IF($A14="S",VTOTALBM,IF($A14=0,0,ROUND(SomaAgrupBM,15-13*ORÇAMENTO!$AF$11)))</f>
        <v>0</v>
      </c>
      <c r="Q14" s="655"/>
      <c r="R14" s="656"/>
      <c r="T14" s="202" t="str">
        <f aca="false">IF($W14&gt;0,$D14,"")</f>
        <v/>
      </c>
      <c r="U14" s="346" t="str">
        <f aca="false">IF($W14&gt;0,$E14,"")</f>
        <v/>
      </c>
      <c r="V14" s="347" t="str">
        <f aca="true">IF(AND($W14&gt;0,RegimeExecucao="Unitário"),$F14,"")</f>
        <v/>
      </c>
      <c r="W14" s="657" t="n">
        <f aca="true">IF($Y14&gt;0,CHOOSE(MATCH(RegimeExecucao,{"Unitário","Global"},0),IF($A14="S",$Y14/$X14,""),($Y14/$X14)*100),0)</f>
        <v>0</v>
      </c>
      <c r="X14" s="658" t="str">
        <f aca="true">IF($Y14&gt;0,CHOOSE(MATCH(RegimeExecucao,{"Unitário","Global"},0),IF($A14="S",ROUND($H14,ORÇAMENTO!$AF$10),""),ROUND($I14,ORÇAMENTO!$AF$11)),"")</f>
        <v/>
      </c>
      <c r="Y14" s="658" t="n">
        <f aca="false">AO14-O14</f>
        <v>0</v>
      </c>
      <c r="Z14" s="659"/>
      <c r="AB14" s="655"/>
      <c r="AC14" s="660"/>
      <c r="AD14" s="660"/>
      <c r="AE14" s="660"/>
      <c r="AF14" s="660"/>
      <c r="AG14" s="660"/>
      <c r="AH14" s="660"/>
      <c r="AI14" s="660"/>
      <c r="AJ14" s="660"/>
      <c r="AK14" s="660"/>
      <c r="AL14" s="660"/>
      <c r="AM14" s="656"/>
      <c r="AO14" s="1" t="n">
        <f aca="true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customFormat="false" ht="12.75" hidden="false" customHeight="false" outlineLevel="0" collapsed="false">
      <c r="C15" s="221" t="s">
        <v>551</v>
      </c>
      <c r="D15" s="661" t="str">
        <f aca="false">"Objeto do CTEF: "&amp;Import.DescLote</f>
        <v>Objeto do CTEF: REFORMA DO TELHADO</v>
      </c>
      <c r="E15" s="661"/>
      <c r="F15" s="662"/>
      <c r="G15" s="663"/>
      <c r="H15" s="663" t="s">
        <v>910</v>
      </c>
      <c r="I15" s="664" t="e">
        <f aca="false">IF(OR(_xlfn.single(ACOMPANHAMENTO)="PLE",_xlfn.single(TIPOORCAMENTO)="Proposto"),0,ORÇAMENTO!$X$15)</f>
        <v>#NAME?</v>
      </c>
      <c r="J15" s="665" t="e">
        <f aca="true">IF(M$15=0,0,IF(RegimeExecucao="Global",M$15/$I$15*100,0))</f>
        <v>#NAME?</v>
      </c>
      <c r="K15" s="665" t="e">
        <f aca="false">L15-J15</f>
        <v>#NAME?</v>
      </c>
      <c r="L15" s="665" t="e">
        <f aca="true">IF(O$15=0,0,IF(RegimeExecucao="Global",O$15/$I$15*100,0))</f>
        <v>#NAME?</v>
      </c>
      <c r="M15" s="666" t="e">
        <f aca="false">IF(OR(_xlfn.single(ACOMPANHAMENTO)="PLE",_xlfn.single(TIPOORCAMENTO)="Proposto"),0,SUMIF(OFFSET($A15,1,0):$A$40,"S",OFFSET(M15,1,0):M$40))</f>
        <v>#NAME?</v>
      </c>
      <c r="N15" s="666" t="e">
        <f aca="false">O15-M15</f>
        <v>#NAME?</v>
      </c>
      <c r="O15" s="666" t="e">
        <f aca="false">IF(OR(_xlfn.single(ACOMPANHAMENTO)="PLE",_xlfn.single(TIPOORCAMENTO)="Proposto"),0,SUMIF(OFFSET($A15,1,0):$A$40,"S",OFFSET(O15,1,0):O$40))</f>
        <v>#NAME?</v>
      </c>
      <c r="Q15" s="667"/>
      <c r="R15" s="667"/>
      <c r="T15" s="668"/>
      <c r="U15" s="669"/>
      <c r="V15" s="669"/>
      <c r="W15" s="669"/>
      <c r="X15" s="669"/>
      <c r="Y15" s="669"/>
      <c r="Z15" s="670"/>
      <c r="AB15" s="671" t="str">
        <f aca="true">"Preencher abaixo com a "&amp;CHOOSE(MATCH(RegimeExecucao,{"Unitário","Global"},0),"QUANTIDADE","PORCENTAGEM")&amp;" executada no PERÍODO"</f>
        <v>Preencher abaixo com a PORCENTAGEM executada no PERÍODO</v>
      </c>
      <c r="AC15" s="671"/>
      <c r="AD15" s="671"/>
      <c r="AE15" s="671"/>
      <c r="AF15" s="671"/>
      <c r="AG15" s="671"/>
      <c r="AH15" s="671"/>
      <c r="AI15" s="671"/>
      <c r="AJ15" s="671"/>
      <c r="AK15" s="671"/>
      <c r="AL15" s="671"/>
      <c r="AM15" s="671"/>
    </row>
    <row r="16" s="1" customFormat="true" ht="12.75" hidden="false" customHeight="false" outlineLevel="0" collapsed="false">
      <c r="A16" s="1" t="n">
        <f aca="false">ORÇAMENTO!C16</f>
        <v>1</v>
      </c>
      <c r="B16" s="1" t="n">
        <f aca="false">ORÇAMENTO!D16</f>
        <v>24</v>
      </c>
      <c r="C16" s="199" t="str">
        <f aca="false">IF(OR($I16&gt;0,$A16=1,$A16=2,$A16=3,$A16=4),"F","")</f>
        <v>F</v>
      </c>
      <c r="D16" s="202" t="str">
        <f aca="false">ORÇAMENTO!O16</f>
        <v>1.</v>
      </c>
      <c r="E16" s="346" t="str">
        <f aca="false">ORÇAMENTO.Descricao</f>
        <v>REFORMA DO TELHADO</v>
      </c>
      <c r="F16" s="347" t="str">
        <f aca="true">IF(RegimeExecucao="Global","",ORÇAMENTO.Unidade)</f>
        <v/>
      </c>
      <c r="G16" s="207" t="str">
        <f aca="true">IF(RegimeExecucao="Global","",ORÇAMENTO!T16)</f>
        <v/>
      </c>
      <c r="H16" s="207" t="str">
        <f aca="true">IF(RegimeExecucao="Global","",ORÇAMENTO!W16)</f>
        <v/>
      </c>
      <c r="I16" s="210" t="n">
        <f aca="false">ORÇAMENTO!X16</f>
        <v>4413.98727</v>
      </c>
      <c r="J16" s="652" t="e">
        <f aca="false" t="array" ref="J16:J16">_xlfn.single(IF($A16="S",IF(CAIXA.Modo,BM.AFAnterior,BM.MEDAnterior),IF(AND(_xlfn.single(RegimeExecucao)="Global",$I16&gt;0,COUNTIF($AB$13:$AM$13,BM.medicao-1)&gt;0),M16/$I16*100,0)))</f>
        <v>#NAME?</v>
      </c>
      <c r="K16" s="207" t="e">
        <f aca="false">L16-J16</f>
        <v>#NAME?</v>
      </c>
      <c r="L16" s="653" t="e">
        <f aca="false" t="array" ref="L16:L16">_xlfn.single(IF($A16="S",IF(CAIXA.Modo,BM.AFAcumulado,BM.MEDAcumulado),IF(AND(_xlfn.single(RegimeExecucao)="Global",$I16&gt;0,COUNTIF($AB$13:$AM$13,BM.medicao)&gt;0),O16/$I16*100,0)))</f>
        <v>#NAME?</v>
      </c>
      <c r="M16" s="654" t="n">
        <f aca="true">IF($A16="S",VTOTALBM,IF($A16=0,0,ROUND(SomaAgrupBM,15-13*ORÇAMENTO!$AF$11)))</f>
        <v>0</v>
      </c>
      <c r="N16" s="219" t="n">
        <f aca="false">O16-M16</f>
        <v>0</v>
      </c>
      <c r="O16" s="210" t="n">
        <f aca="true">IF($A16="S",VTOTALBM,IF($A16=0,0,ROUND(SomaAgrupBM,15-13*ORÇAMENTO!$AF$11)))</f>
        <v>0</v>
      </c>
      <c r="Q16" s="655"/>
      <c r="R16" s="656"/>
      <c r="T16" s="202" t="str">
        <f aca="false">IF($W16&gt;0,$D16,"")</f>
        <v/>
      </c>
      <c r="U16" s="346" t="str">
        <f aca="false">IF($W16&gt;0,$E16,"")</f>
        <v/>
      </c>
      <c r="V16" s="347" t="str">
        <f aca="true">IF(AND($W16&gt;0,RegimeExecucao="Unitário"),$F16,"")</f>
        <v/>
      </c>
      <c r="W16" s="657" t="n">
        <f aca="true">IF($Y16&gt;0,CHOOSE(MATCH(RegimeExecucao,{"Unitário","Global"},0),IF($A16="S",$Y16/$X16,""),($Y16/$X16)*100),0)</f>
        <v>0</v>
      </c>
      <c r="X16" s="658" t="str">
        <f aca="true">IF($Y16&gt;0,CHOOSE(MATCH(RegimeExecucao,{"Unitário","Global"},0),IF($A16="S",ROUND($H16,ORÇAMENTO!$AF$10),""),ROUND($I16,ORÇAMENTO!$AF$11)),"")</f>
        <v/>
      </c>
      <c r="Y16" s="658" t="n">
        <f aca="false">AO16-O16</f>
        <v>0</v>
      </c>
      <c r="Z16" s="659"/>
      <c r="AB16" s="655"/>
      <c r="AC16" s="660"/>
      <c r="AD16" s="660"/>
      <c r="AE16" s="660"/>
      <c r="AF16" s="660"/>
      <c r="AG16" s="660"/>
      <c r="AH16" s="660"/>
      <c r="AI16" s="660"/>
      <c r="AJ16" s="660"/>
      <c r="AK16" s="660"/>
      <c r="AL16" s="660"/>
      <c r="AM16" s="656"/>
      <c r="AO16" s="1" t="n">
        <f aca="true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="1" customFormat="true" ht="12.75" hidden="false" customHeight="false" outlineLevel="0" collapsed="false">
      <c r="A17" s="1" t="n">
        <f aca="false">ORÇAMENTO!C17</f>
        <v>2</v>
      </c>
      <c r="B17" s="1" t="n">
        <f aca="false">ORÇAMENTO!D17</f>
        <v>3</v>
      </c>
      <c r="C17" s="199" t="str">
        <f aca="false">IF(OR($I17&gt;0,$A17=1,$A17=2,$A17=3,$A17=4),"F","")</f>
        <v>F</v>
      </c>
      <c r="D17" s="202" t="str">
        <f aca="false">ORÇAMENTO!O17</f>
        <v>1.1.</v>
      </c>
      <c r="E17" s="346" t="str">
        <f aca="false">ORÇAMENTO.Descricao</f>
        <v>ADMINISTRAÇÃO LOCAL</v>
      </c>
      <c r="F17" s="347" t="str">
        <f aca="true">IF(RegimeExecucao="Global","",ORÇAMENTO.Unidade)</f>
        <v/>
      </c>
      <c r="G17" s="207" t="str">
        <f aca="true">IF(RegimeExecucao="Global","",ORÇAMENTO!T17)</f>
        <v/>
      </c>
      <c r="H17" s="207" t="str">
        <f aca="true">IF(RegimeExecucao="Global","",ORÇAMENTO!W17)</f>
        <v/>
      </c>
      <c r="I17" s="210" t="n">
        <f aca="false">ORÇAMENTO!X17</f>
        <v>0</v>
      </c>
      <c r="J17" s="652" t="e">
        <f aca="false" t="array" ref="J17:J17">_xlfn.single(IF($A17="S",IF(CAIXA.Modo,BM.AFAnterior,BM.MEDAnterior),IF(AND(_xlfn.single(RegimeExecucao)="Global",$I17&gt;0,COUNTIF($AB$13:$AM$13,BM.medicao-1)&gt;0),M17/$I17*100,0)))</f>
        <v>#NAME?</v>
      </c>
      <c r="K17" s="207" t="e">
        <f aca="false">L17-J17</f>
        <v>#NAME?</v>
      </c>
      <c r="L17" s="653" t="e">
        <f aca="false" t="array" ref="L17:L17">_xlfn.single(IF($A17="S",IF(CAIXA.Modo,BM.AFAcumulado,BM.MEDAcumulado),IF(AND(_xlfn.single(RegimeExecucao)="Global",$I17&gt;0,COUNTIF($AB$13:$AM$13,BM.medicao)&gt;0),O17/$I17*100,0)))</f>
        <v>#NAME?</v>
      </c>
      <c r="M17" s="654" t="n">
        <f aca="true">IF($A17="S",VTOTALBM,IF($A17=0,0,ROUND(SomaAgrupBM,15-13*ORÇAMENTO!$AF$11)))</f>
        <v>0</v>
      </c>
      <c r="N17" s="219" t="n">
        <f aca="false">O17-M17</f>
        <v>0</v>
      </c>
      <c r="O17" s="210" t="n">
        <f aca="true">IF($A17="S",VTOTALBM,IF($A17=0,0,ROUND(SomaAgrupBM,15-13*ORÇAMENTO!$AF$11)))</f>
        <v>0</v>
      </c>
      <c r="Q17" s="655"/>
      <c r="R17" s="656"/>
      <c r="T17" s="202" t="str">
        <f aca="false">IF($W17&gt;0,$D17,"")</f>
        <v/>
      </c>
      <c r="U17" s="346" t="str">
        <f aca="false">IF($W17&gt;0,$E17,"")</f>
        <v/>
      </c>
      <c r="V17" s="347" t="str">
        <f aca="true">IF(AND($W17&gt;0,RegimeExecucao="Unitário"),$F17,"")</f>
        <v/>
      </c>
      <c r="W17" s="657" t="n">
        <f aca="true">IF($Y17&gt;0,CHOOSE(MATCH(RegimeExecucao,{"Unitário","Global"},0),IF($A17="S",$Y17/$X17,""),($Y17/$X17)*100),0)</f>
        <v>0</v>
      </c>
      <c r="X17" s="658" t="str">
        <f aca="true">IF($Y17&gt;0,CHOOSE(MATCH(RegimeExecucao,{"Unitário","Global"},0),IF($A17="S",ROUND($H17,ORÇAMENTO!$AF$10),""),ROUND($I17,ORÇAMENTO!$AF$11)),"")</f>
        <v/>
      </c>
      <c r="Y17" s="658" t="n">
        <f aca="false">AO17-O17</f>
        <v>0</v>
      </c>
      <c r="Z17" s="659"/>
      <c r="AB17" s="655"/>
      <c r="AC17" s="660"/>
      <c r="AD17" s="660"/>
      <c r="AE17" s="660"/>
      <c r="AF17" s="660"/>
      <c r="AG17" s="660"/>
      <c r="AH17" s="660"/>
      <c r="AI17" s="660"/>
      <c r="AJ17" s="660"/>
      <c r="AK17" s="660"/>
      <c r="AL17" s="660"/>
      <c r="AM17" s="656"/>
      <c r="AO17" s="1" t="n">
        <f aca="true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="1" customFormat="true" ht="12.75" hidden="false" customHeight="false" outlineLevel="0" collapsed="false">
      <c r="A18" s="1" t="n">
        <f aca="false">ORÇAMENTO!C18</f>
        <v>3</v>
      </c>
      <c r="B18" s="1" t="n">
        <f aca="false">ORÇAMENTO!D18</f>
        <v>2</v>
      </c>
      <c r="C18" s="199" t="str">
        <f aca="false">IF(OR($I18&gt;0,$A18=1,$A18=2,$A18=3,$A18=4),"F","")</f>
        <v>F</v>
      </c>
      <c r="D18" s="202" t="str">
        <f aca="false">ORÇAMENTO!O18</f>
        <v>1.1.1.</v>
      </c>
      <c r="E18" s="346" t="str">
        <f aca="false">ORÇAMENTO.Descricao</f>
        <v>Administração local</v>
      </c>
      <c r="F18" s="347" t="str">
        <f aca="true">IF(RegimeExecucao="Global","",ORÇAMENTO.Unidade)</f>
        <v/>
      </c>
      <c r="G18" s="207" t="str">
        <f aca="true">IF(RegimeExecucao="Global","",ORÇAMENTO!T18)</f>
        <v/>
      </c>
      <c r="H18" s="207" t="str">
        <f aca="true">IF(RegimeExecucao="Global","",ORÇAMENTO!W18)</f>
        <v/>
      </c>
      <c r="I18" s="210" t="n">
        <f aca="false">ORÇAMENTO!X18</f>
        <v>0</v>
      </c>
      <c r="J18" s="652" t="e">
        <f aca="false" t="array" ref="J18:J18">_xlfn.single(IF($A18="S",IF(CAIXA.Modo,BM.AFAnterior,BM.MEDAnterior),IF(AND(_xlfn.single(RegimeExecucao)="Global",$I18&gt;0,COUNTIF($AB$13:$AM$13,BM.medicao-1)&gt;0),M18/$I18*100,0)))</f>
        <v>#NAME?</v>
      </c>
      <c r="K18" s="207" t="e">
        <f aca="false">L18-J18</f>
        <v>#NAME?</v>
      </c>
      <c r="L18" s="653" t="e">
        <f aca="false" t="array" ref="L18:L18">_xlfn.single(IF($A18="S",IF(CAIXA.Modo,BM.AFAcumulado,BM.MEDAcumulado),IF(AND(_xlfn.single(RegimeExecucao)="Global",$I18&gt;0,COUNTIF($AB$13:$AM$13,BM.medicao)&gt;0),O18/$I18*100,0)))</f>
        <v>#NAME?</v>
      </c>
      <c r="M18" s="654" t="n">
        <f aca="true">IF($A18="S",VTOTALBM,IF($A18=0,0,ROUND(SomaAgrupBM,15-13*ORÇAMENTO!$AF$11)))</f>
        <v>0</v>
      </c>
      <c r="N18" s="219" t="n">
        <f aca="false">O18-M18</f>
        <v>0</v>
      </c>
      <c r="O18" s="210" t="n">
        <f aca="true">IF($A18="S",VTOTALBM,IF($A18=0,0,ROUND(SomaAgrupBM,15-13*ORÇAMENTO!$AF$11)))</f>
        <v>0</v>
      </c>
      <c r="Q18" s="655"/>
      <c r="R18" s="656"/>
      <c r="T18" s="202" t="str">
        <f aca="false">IF($W18&gt;0,$D18,"")</f>
        <v/>
      </c>
      <c r="U18" s="346" t="str">
        <f aca="false">IF($W18&gt;0,$E18,"")</f>
        <v/>
      </c>
      <c r="V18" s="347" t="str">
        <f aca="true">IF(AND($W18&gt;0,RegimeExecucao="Unitário"),$F18,"")</f>
        <v/>
      </c>
      <c r="W18" s="657" t="n">
        <f aca="true">IF($Y18&gt;0,CHOOSE(MATCH(RegimeExecucao,{"Unitário","Global"},0),IF($A18="S",$Y18/$X18,""),($Y18/$X18)*100),0)</f>
        <v>0</v>
      </c>
      <c r="X18" s="658" t="str">
        <f aca="true">IF($Y18&gt;0,CHOOSE(MATCH(RegimeExecucao,{"Unitário","Global"},0),IF($A18="S",ROUND($H18,ORÇAMENTO!$AF$10),""),ROUND($I18,ORÇAMENTO!$AF$11)),"")</f>
        <v/>
      </c>
      <c r="Y18" s="658" t="n">
        <f aca="false">AO18-O18</f>
        <v>0</v>
      </c>
      <c r="Z18" s="659"/>
      <c r="AB18" s="655"/>
      <c r="AC18" s="660"/>
      <c r="AD18" s="660"/>
      <c r="AE18" s="660"/>
      <c r="AF18" s="660"/>
      <c r="AG18" s="660"/>
      <c r="AH18" s="660"/>
      <c r="AI18" s="660"/>
      <c r="AJ18" s="660"/>
      <c r="AK18" s="660"/>
      <c r="AL18" s="660"/>
      <c r="AM18" s="656"/>
      <c r="AO18" s="1" t="n">
        <f aca="true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="1" customFormat="true" ht="12.75" hidden="false" customHeight="false" outlineLevel="0" collapsed="false">
      <c r="A19" s="1" t="str">
        <f aca="false">ORÇAMENTO!C19</f>
        <v>S</v>
      </c>
      <c r="B19" s="1" t="n">
        <f aca="false">ORÇAMENTO!D19</f>
        <v>0</v>
      </c>
      <c r="C19" s="199" t="str">
        <f aca="false">IF(OR($I19&gt;0,$A19=1,$A19=2,$A19=3,$A19=4),"F","")</f>
        <v/>
      </c>
      <c r="D19" s="202" t="str">
        <f aca="false">ORÇAMENTO!O19</f>
        <v>-</v>
      </c>
      <c r="E19" s="346" t="str">
        <f aca="false">ORÇAMENTO.Descricao</f>
        <v>(abra o arquivo 'Referência 09-2025.xlsm)</v>
      </c>
      <c r="F19" s="347" t="str">
        <f aca="true">IF(RegimeExecucao="Global","",ORÇAMENTO.Unidade)</f>
        <v/>
      </c>
      <c r="G19" s="207" t="str">
        <f aca="true">IF(RegimeExecucao="Global","",ORÇAMENTO!T19)</f>
        <v/>
      </c>
      <c r="H19" s="207" t="str">
        <f aca="true">IF(RegimeExecucao="Global","",ORÇAMENTO!W19)</f>
        <v/>
      </c>
      <c r="I19" s="210" t="n">
        <f aca="false">ORÇAMENTO!X19</f>
        <v>0</v>
      </c>
      <c r="J19" s="652" t="e">
        <f aca="false" t="array" ref="J19:J19">_xlfn.single(IF($A19="S",IF(CAIXA.Modo,BM.AFAnterior,BM.MEDAnterior),IF(AND(_xlfn.single(RegimeExecucao)="Global",$I19&gt;0,COUNTIF($AB$13:$AM$13,BM.medicao-1)&gt;0),M19/$I19*100,0)))</f>
        <v>#NAME?</v>
      </c>
      <c r="K19" s="207" t="e">
        <f aca="false">L19-J19</f>
        <v>#NAME?</v>
      </c>
      <c r="L19" s="653" t="e">
        <f aca="false" t="array" ref="L19:L19">_xlfn.single(IF($A19="S",IF(CAIXA.Modo,BM.AFAcumulado,BM.MEDAcumulado),IF(AND(_xlfn.single(RegimeExecucao)="Global",$I19&gt;0,COUNTIF($AB$13:$AM$13,BM.medicao)&gt;0),O19/$I19*100,0)))</f>
        <v>#NAME?</v>
      </c>
      <c r="M19" s="654" t="n">
        <f aca="true">IF($A19="S",VTOTALBM,IF($A19=0,0,ROUND(SomaAgrupBM,15-13*ORÇAMENTO!$AF$11)))</f>
        <v>0</v>
      </c>
      <c r="N19" s="219" t="n">
        <f aca="false">O19-M19</f>
        <v>0</v>
      </c>
      <c r="O19" s="210" t="n">
        <f aca="true">IF($A19="S",VTOTALBM,IF($A19=0,0,ROUND(SomaAgrupBM,15-13*ORÇAMENTO!$AF$11)))</f>
        <v>0</v>
      </c>
      <c r="Q19" s="655"/>
      <c r="R19" s="656"/>
      <c r="T19" s="202" t="str">
        <f aca="false">IF($W19&gt;0,$D19,"")</f>
        <v/>
      </c>
      <c r="U19" s="346" t="str">
        <f aca="false">IF($W19&gt;0,$E19,"")</f>
        <v/>
      </c>
      <c r="V19" s="347" t="str">
        <f aca="true">IF(AND($W19&gt;0,RegimeExecucao="Unitário"),$F19,"")</f>
        <v/>
      </c>
      <c r="W19" s="657" t="n">
        <f aca="true">IF($Y19&gt;0,CHOOSE(MATCH(RegimeExecucao,{"Unitário","Global"},0),IF($A19="S",$Y19/$X19,""),($Y19/$X19)*100),0)</f>
        <v>0</v>
      </c>
      <c r="X19" s="658" t="str">
        <f aca="true">IF($Y19&gt;0,CHOOSE(MATCH(RegimeExecucao,{"Unitário","Global"},0),IF($A19="S",ROUND($H19,ORÇAMENTO!$AF$10),""),ROUND($I19,ORÇAMENTO!$AF$11)),"")</f>
        <v/>
      </c>
      <c r="Y19" s="658" t="n">
        <f aca="false">AO19-O19</f>
        <v>0</v>
      </c>
      <c r="Z19" s="659"/>
      <c r="AB19" s="655"/>
      <c r="AC19" s="660"/>
      <c r="AD19" s="660"/>
      <c r="AE19" s="660"/>
      <c r="AF19" s="660"/>
      <c r="AG19" s="660"/>
      <c r="AH19" s="660"/>
      <c r="AI19" s="660"/>
      <c r="AJ19" s="660"/>
      <c r="AK19" s="660"/>
      <c r="AL19" s="660"/>
      <c r="AM19" s="656"/>
      <c r="AO19" s="1" t="n">
        <f aca="true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="1" customFormat="true" ht="12.75" hidden="false" customHeight="false" outlineLevel="0" collapsed="false">
      <c r="A20" s="1" t="n">
        <f aca="false">ORÇAMENTO!C20</f>
        <v>2</v>
      </c>
      <c r="B20" s="1" t="n">
        <f aca="false">ORÇAMENTO!D20</f>
        <v>3</v>
      </c>
      <c r="C20" s="199" t="str">
        <f aca="false">IF(OR($I20&gt;0,$A20=1,$A20=2,$A20=3,$A20=4),"F","")</f>
        <v>F</v>
      </c>
      <c r="D20" s="202" t="str">
        <f aca="false">ORÇAMENTO!O20</f>
        <v>1.2.</v>
      </c>
      <c r="E20" s="346" t="str">
        <f aca="false">ORÇAMENTO.Descricao</f>
        <v>SERVIÇOS PRELIMINARES</v>
      </c>
      <c r="F20" s="347" t="str">
        <f aca="true">IF(RegimeExecucao="Global","",ORÇAMENTO.Unidade)</f>
        <v/>
      </c>
      <c r="G20" s="207" t="str">
        <f aca="true">IF(RegimeExecucao="Global","",ORÇAMENTO!T20)</f>
        <v/>
      </c>
      <c r="H20" s="207" t="str">
        <f aca="true">IF(RegimeExecucao="Global","",ORÇAMENTO!W20)</f>
        <v/>
      </c>
      <c r="I20" s="210" t="n">
        <f aca="false">ORÇAMENTO!X20</f>
        <v>0</v>
      </c>
      <c r="J20" s="652" t="e">
        <f aca="false" t="array" ref="J20:J20">_xlfn.single(IF($A20="S",IF(CAIXA.Modo,BM.AFAnterior,BM.MEDAnterior),IF(AND(_xlfn.single(RegimeExecucao)="Global",$I20&gt;0,COUNTIF($AB$13:$AM$13,BM.medicao-1)&gt;0),M20/$I20*100,0)))</f>
        <v>#NAME?</v>
      </c>
      <c r="K20" s="207" t="e">
        <f aca="false">L20-J20</f>
        <v>#NAME?</v>
      </c>
      <c r="L20" s="653" t="e">
        <f aca="false" t="array" ref="L20:L20">_xlfn.single(IF($A20="S",IF(CAIXA.Modo,BM.AFAcumulado,BM.MEDAcumulado),IF(AND(_xlfn.single(RegimeExecucao)="Global",$I20&gt;0,COUNTIF($AB$13:$AM$13,BM.medicao)&gt;0),O20/$I20*100,0)))</f>
        <v>#NAME?</v>
      </c>
      <c r="M20" s="654" t="n">
        <f aca="true">IF($A20="S",VTOTALBM,IF($A20=0,0,ROUND(SomaAgrupBM,15-13*ORÇAMENTO!$AF$11)))</f>
        <v>0</v>
      </c>
      <c r="N20" s="219" t="n">
        <f aca="false">O20-M20</f>
        <v>0</v>
      </c>
      <c r="O20" s="210" t="n">
        <f aca="true">IF($A20="S",VTOTALBM,IF($A20=0,0,ROUND(SomaAgrupBM,15-13*ORÇAMENTO!$AF$11)))</f>
        <v>0</v>
      </c>
      <c r="Q20" s="655"/>
      <c r="R20" s="656"/>
      <c r="T20" s="202" t="str">
        <f aca="false">IF($W20&gt;0,$D20,"")</f>
        <v/>
      </c>
      <c r="U20" s="346" t="str">
        <f aca="false">IF($W20&gt;0,$E20,"")</f>
        <v/>
      </c>
      <c r="V20" s="347" t="str">
        <f aca="true">IF(AND($W20&gt;0,RegimeExecucao="Unitário"),$F20,"")</f>
        <v/>
      </c>
      <c r="W20" s="657" t="n">
        <f aca="true">IF($Y20&gt;0,CHOOSE(MATCH(RegimeExecucao,{"Unitário","Global"},0),IF($A20="S",$Y20/$X20,""),($Y20/$X20)*100),0)</f>
        <v>0</v>
      </c>
      <c r="X20" s="658" t="str">
        <f aca="true">IF($Y20&gt;0,CHOOSE(MATCH(RegimeExecucao,{"Unitário","Global"},0),IF($A20="S",ROUND($H20,ORÇAMENTO!$AF$10),""),ROUND($I20,ORÇAMENTO!$AF$11)),"")</f>
        <v/>
      </c>
      <c r="Y20" s="658" t="n">
        <f aca="false">AO20-O20</f>
        <v>0</v>
      </c>
      <c r="Z20" s="659"/>
      <c r="AB20" s="655"/>
      <c r="AC20" s="660"/>
      <c r="AD20" s="660"/>
      <c r="AE20" s="660"/>
      <c r="AF20" s="660"/>
      <c r="AG20" s="660"/>
      <c r="AH20" s="660"/>
      <c r="AI20" s="660"/>
      <c r="AJ20" s="660"/>
      <c r="AK20" s="660"/>
      <c r="AL20" s="660"/>
      <c r="AM20" s="656"/>
      <c r="AO20" s="1" t="n">
        <f aca="true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="1" customFormat="true" ht="12.75" hidden="false" customHeight="false" outlineLevel="0" collapsed="false">
      <c r="A21" s="1" t="n">
        <f aca="false">ORÇAMENTO!C21</f>
        <v>3</v>
      </c>
      <c r="B21" s="1" t="n">
        <f aca="false">ORÇAMENTO!D21</f>
        <v>2</v>
      </c>
      <c r="C21" s="199" t="str">
        <f aca="false">IF(OR($I21&gt;0,$A21=1,$A21=2,$A21=3,$A21=4),"F","")</f>
        <v>F</v>
      </c>
      <c r="D21" s="202" t="str">
        <f aca="false">ORÇAMENTO!O21</f>
        <v>1.2.1.</v>
      </c>
      <c r="E21" s="346" t="str">
        <f aca="false">ORÇAMENTO.Descricao</f>
        <v>Serviços preliminares</v>
      </c>
      <c r="F21" s="347" t="str">
        <f aca="true">IF(RegimeExecucao="Global","",ORÇAMENTO.Unidade)</f>
        <v/>
      </c>
      <c r="G21" s="207" t="str">
        <f aca="true">IF(RegimeExecucao="Global","",ORÇAMENTO!T21)</f>
        <v/>
      </c>
      <c r="H21" s="207" t="str">
        <f aca="true">IF(RegimeExecucao="Global","",ORÇAMENTO!W21)</f>
        <v/>
      </c>
      <c r="I21" s="210" t="n">
        <f aca="false">ORÇAMENTO!X21</f>
        <v>0</v>
      </c>
      <c r="J21" s="652" t="e">
        <f aca="false" t="array" ref="J21:J21">_xlfn.single(IF($A21="S",IF(CAIXA.Modo,BM.AFAnterior,BM.MEDAnterior),IF(AND(_xlfn.single(RegimeExecucao)="Global",$I21&gt;0,COUNTIF($AB$13:$AM$13,BM.medicao-1)&gt;0),M21/$I21*100,0)))</f>
        <v>#NAME?</v>
      </c>
      <c r="K21" s="207" t="e">
        <f aca="false">L21-J21</f>
        <v>#NAME?</v>
      </c>
      <c r="L21" s="653" t="e">
        <f aca="false" t="array" ref="L21:L21">_xlfn.single(IF($A21="S",IF(CAIXA.Modo,BM.AFAcumulado,BM.MEDAcumulado),IF(AND(_xlfn.single(RegimeExecucao)="Global",$I21&gt;0,COUNTIF($AB$13:$AM$13,BM.medicao)&gt;0),O21/$I21*100,0)))</f>
        <v>#NAME?</v>
      </c>
      <c r="M21" s="654" t="n">
        <f aca="true">IF($A21="S",VTOTALBM,IF($A21=0,0,ROUND(SomaAgrupBM,15-13*ORÇAMENTO!$AF$11)))</f>
        <v>0</v>
      </c>
      <c r="N21" s="219" t="n">
        <f aca="false">O21-M21</f>
        <v>0</v>
      </c>
      <c r="O21" s="210" t="n">
        <f aca="true">IF($A21="S",VTOTALBM,IF($A21=0,0,ROUND(SomaAgrupBM,15-13*ORÇAMENTO!$AF$11)))</f>
        <v>0</v>
      </c>
      <c r="Q21" s="655"/>
      <c r="R21" s="656"/>
      <c r="T21" s="202" t="str">
        <f aca="false">IF($W21&gt;0,$D21,"")</f>
        <v/>
      </c>
      <c r="U21" s="346" t="str">
        <f aca="false">IF($W21&gt;0,$E21,"")</f>
        <v/>
      </c>
      <c r="V21" s="347" t="str">
        <f aca="true">IF(AND($W21&gt;0,RegimeExecucao="Unitário"),$F21,"")</f>
        <v/>
      </c>
      <c r="W21" s="657" t="n">
        <f aca="true">IF($Y21&gt;0,CHOOSE(MATCH(RegimeExecucao,{"Unitário","Global"},0),IF($A21="S",$Y21/$X21,""),($Y21/$X21)*100),0)</f>
        <v>0</v>
      </c>
      <c r="X21" s="658" t="str">
        <f aca="true">IF($Y21&gt;0,CHOOSE(MATCH(RegimeExecucao,{"Unitário","Global"},0),IF($A21="S",ROUND($H21,ORÇAMENTO!$AF$10),""),ROUND($I21,ORÇAMENTO!$AF$11)),"")</f>
        <v/>
      </c>
      <c r="Y21" s="658" t="n">
        <f aca="false">AO21-O21</f>
        <v>0</v>
      </c>
      <c r="Z21" s="659"/>
      <c r="AB21" s="655"/>
      <c r="AC21" s="660"/>
      <c r="AD21" s="660"/>
      <c r="AE21" s="660"/>
      <c r="AF21" s="660"/>
      <c r="AG21" s="660"/>
      <c r="AH21" s="660"/>
      <c r="AI21" s="660"/>
      <c r="AJ21" s="660"/>
      <c r="AK21" s="660"/>
      <c r="AL21" s="660"/>
      <c r="AM21" s="656"/>
      <c r="AO21" s="1" t="n">
        <f aca="true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="1" customFormat="true" ht="25.5" hidden="false" customHeight="false" outlineLevel="0" collapsed="false">
      <c r="A22" s="1" t="str">
        <f aca="false">ORÇAMENTO!C22</f>
        <v>S</v>
      </c>
      <c r="B22" s="1" t="n">
        <f aca="false">ORÇAMENTO!D22</f>
        <v>0</v>
      </c>
      <c r="C22" s="199" t="str">
        <f aca="false">IF(OR($I22&gt;0,$A22=1,$A22=2,$A22=3,$A22=4),"F","")</f>
        <v/>
      </c>
      <c r="D22" s="202" t="str">
        <f aca="false">ORÇAMENTO!O22</f>
        <v>-</v>
      </c>
      <c r="E22" s="346" t="str">
        <f aca="false">ORÇAMENTO.Descricao</f>
        <v>(abra o arquivo 'Referência 09-2025.xlsm)</v>
      </c>
      <c r="F22" s="347" t="str">
        <f aca="true">IF(RegimeExecucao="Global","",ORÇAMENTO.Unidade)</f>
        <v/>
      </c>
      <c r="G22" s="207" t="str">
        <f aca="true">IF(RegimeExecucao="Global","",ORÇAMENTO!T22)</f>
        <v/>
      </c>
      <c r="H22" s="207" t="str">
        <f aca="true">IF(RegimeExecucao="Global","",ORÇAMENTO!W22)</f>
        <v/>
      </c>
      <c r="I22" s="210" t="n">
        <f aca="false">ORÇAMENTO!X22</f>
        <v>0</v>
      </c>
      <c r="J22" s="652" t="e">
        <f aca="false" t="array" ref="J22:J22">_xlfn.single(IF($A22="S",IF(CAIXA.Modo,BM.AFAnterior,BM.MEDAnterior),IF(AND(_xlfn.single(RegimeExecucao)="Global",$I22&gt;0,COUNTIF($AB$13:$AM$13,BM.medicao-1)&gt;0),M22/$I22*100,0)))</f>
        <v>#NAME?</v>
      </c>
      <c r="K22" s="207" t="e">
        <f aca="false">L22-J22</f>
        <v>#NAME?</v>
      </c>
      <c r="L22" s="653" t="e">
        <f aca="false" t="array" ref="L22:L22">_xlfn.single(IF($A22="S",IF(CAIXA.Modo,BM.AFAcumulado,BM.MEDAcumulado),IF(AND(_xlfn.single(RegimeExecucao)="Global",$I22&gt;0,COUNTIF($AB$13:$AM$13,BM.medicao)&gt;0),O22/$I22*100,0)))</f>
        <v>#NAME?</v>
      </c>
      <c r="M22" s="654" t="n">
        <f aca="true">IF($A22="S",VTOTALBM,IF($A22=0,0,ROUND(SomaAgrupBM,15-13*ORÇAMENTO!$AF$11)))</f>
        <v>0</v>
      </c>
      <c r="N22" s="219" t="n">
        <f aca="false">O22-M22</f>
        <v>0</v>
      </c>
      <c r="O22" s="210" t="n">
        <f aca="true">IF($A22="S",VTOTALBM,IF($A22=0,0,ROUND(SomaAgrupBM,15-13*ORÇAMENTO!$AF$11)))</f>
        <v>0</v>
      </c>
      <c r="Q22" s="655"/>
      <c r="R22" s="656"/>
      <c r="T22" s="202" t="str">
        <f aca="false">IF($W22&gt;0,$D22,"")</f>
        <v/>
      </c>
      <c r="U22" s="346" t="str">
        <f aca="false">IF($W22&gt;0,$E22,"")</f>
        <v/>
      </c>
      <c r="V22" s="347" t="str">
        <f aca="true">IF(AND($W22&gt;0,RegimeExecucao="Unitário"),$F22,"")</f>
        <v/>
      </c>
      <c r="W22" s="657" t="n">
        <f aca="true">IF($Y22&gt;0,CHOOSE(MATCH(RegimeExecucao,{"Unitário","Global"},0),IF($A22="S",$Y22/$X22,""),($Y22/$X22)*100),0)</f>
        <v>0</v>
      </c>
      <c r="X22" s="658" t="str">
        <f aca="true">IF($Y22&gt;0,CHOOSE(MATCH(RegimeExecucao,{"Unitário","Global"},0),IF($A22="S",ROUND($H22,ORÇAMENTO!$AF$10),""),ROUND($I22,ORÇAMENTO!$AF$11)),"")</f>
        <v/>
      </c>
      <c r="Y22" s="658" t="n">
        <f aca="false">AO22-O22</f>
        <v>0</v>
      </c>
      <c r="Z22" s="659"/>
      <c r="AB22" s="655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56"/>
      <c r="AO22" s="1" t="n">
        <f aca="true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="1" customFormat="true" ht="12.75" hidden="false" customHeight="false" outlineLevel="0" collapsed="false">
      <c r="A23" s="1" t="n">
        <f aca="false">ORÇAMENTO!C23</f>
        <v>2</v>
      </c>
      <c r="B23" s="1" t="n">
        <f aca="false">ORÇAMENTO!D23</f>
        <v>17</v>
      </c>
      <c r="C23" s="199" t="str">
        <f aca="false">IF(OR($I23&gt;0,$A23=1,$A23=2,$A23=3,$A23=4),"F","")</f>
        <v>F</v>
      </c>
      <c r="D23" s="202" t="str">
        <f aca="false">ORÇAMENTO!O23</f>
        <v>1.3.</v>
      </c>
      <c r="E23" s="346" t="str">
        <f aca="false">ORÇAMENTO.Descricao</f>
        <v>REFORMA DO TELHADO - PARTE B</v>
      </c>
      <c r="F23" s="347" t="str">
        <f aca="true">IF(RegimeExecucao="Global","",ORÇAMENTO.Unidade)</f>
        <v/>
      </c>
      <c r="G23" s="207" t="str">
        <f aca="true">IF(RegimeExecucao="Global","",ORÇAMENTO!T23)</f>
        <v/>
      </c>
      <c r="H23" s="207" t="str">
        <f aca="true">IF(RegimeExecucao="Global","",ORÇAMENTO!W23)</f>
        <v/>
      </c>
      <c r="I23" s="210" t="n">
        <f aca="false">ORÇAMENTO!X23</f>
        <v>4413.98727</v>
      </c>
      <c r="J23" s="652" t="e">
        <f aca="false" t="array" ref="J23:J23">_xlfn.single(IF($A23="S",IF(CAIXA.Modo,BM.AFAnterior,BM.MEDAnterior),IF(AND(_xlfn.single(RegimeExecucao)="Global",$I23&gt;0,COUNTIF($AB$13:$AM$13,BM.medicao-1)&gt;0),M23/$I23*100,0)))</f>
        <v>#NAME?</v>
      </c>
      <c r="K23" s="207" t="e">
        <f aca="false">L23-J23</f>
        <v>#NAME?</v>
      </c>
      <c r="L23" s="653" t="e">
        <f aca="false" t="array" ref="L23:L23">_xlfn.single(IF($A23="S",IF(CAIXA.Modo,BM.AFAcumulado,BM.MEDAcumulado),IF(AND(_xlfn.single(RegimeExecucao)="Global",$I23&gt;0,COUNTIF($AB$13:$AM$13,BM.medicao)&gt;0),O23/$I23*100,0)))</f>
        <v>#NAME?</v>
      </c>
      <c r="M23" s="654" t="n">
        <f aca="true">IF($A23="S",VTOTALBM,IF($A23=0,0,ROUND(SomaAgrupBM,15-13*ORÇAMENTO!$AF$11)))</f>
        <v>0</v>
      </c>
      <c r="N23" s="219" t="n">
        <f aca="false">O23-M23</f>
        <v>0</v>
      </c>
      <c r="O23" s="210" t="n">
        <f aca="true">IF($A23="S",VTOTALBM,IF($A23=0,0,ROUND(SomaAgrupBM,15-13*ORÇAMENTO!$AF$11)))</f>
        <v>0</v>
      </c>
      <c r="Q23" s="655"/>
      <c r="R23" s="656"/>
      <c r="T23" s="202" t="str">
        <f aca="false">IF($W23&gt;0,$D23,"")</f>
        <v/>
      </c>
      <c r="U23" s="346" t="str">
        <f aca="false">IF($W23&gt;0,$E23,"")</f>
        <v/>
      </c>
      <c r="V23" s="347" t="str">
        <f aca="true">IF(AND($W23&gt;0,RegimeExecucao="Unitário"),$F23,"")</f>
        <v/>
      </c>
      <c r="W23" s="657" t="n">
        <f aca="true">IF($Y23&gt;0,CHOOSE(MATCH(RegimeExecucao,{"Unitário","Global"},0),IF($A23="S",$Y23/$X23,""),($Y23/$X23)*100),0)</f>
        <v>0</v>
      </c>
      <c r="X23" s="658" t="str">
        <f aca="true">IF($Y23&gt;0,CHOOSE(MATCH(RegimeExecucao,{"Unitário","Global"},0),IF($A23="S",ROUND($H23,ORÇAMENTO!$AF$10),""),ROUND($I23,ORÇAMENTO!$AF$11)),"")</f>
        <v/>
      </c>
      <c r="Y23" s="658" t="n">
        <f aca="false">AO23-O23</f>
        <v>0</v>
      </c>
      <c r="Z23" s="659"/>
      <c r="AB23" s="655"/>
      <c r="AC23" s="660"/>
      <c r="AD23" s="660"/>
      <c r="AE23" s="660"/>
      <c r="AF23" s="660"/>
      <c r="AG23" s="660"/>
      <c r="AH23" s="660"/>
      <c r="AI23" s="660"/>
      <c r="AJ23" s="660"/>
      <c r="AK23" s="660"/>
      <c r="AL23" s="660"/>
      <c r="AM23" s="656"/>
      <c r="AO23" s="1" t="n">
        <f aca="true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="1" customFormat="true" ht="12.75" hidden="false" customHeight="false" outlineLevel="0" collapsed="false">
      <c r="A24" s="1" t="n">
        <f aca="false">ORÇAMENTO!C24</f>
        <v>3</v>
      </c>
      <c r="B24" s="1" t="n">
        <f aca="false">ORÇAMENTO!D24</f>
        <v>4</v>
      </c>
      <c r="C24" s="199" t="str">
        <f aca="false">IF(OR($I24&gt;0,$A24=1,$A24=2,$A24=3,$A24=4),"F","")</f>
        <v>F</v>
      </c>
      <c r="D24" s="202" t="str">
        <f aca="false">ORÇAMENTO!O24</f>
        <v>1.3.1.</v>
      </c>
      <c r="E24" s="346" t="str">
        <f aca="false">ORÇAMENTO.Descricao</f>
        <v>Demolições e remoções</v>
      </c>
      <c r="F24" s="347" t="str">
        <f aca="true">IF(RegimeExecucao="Global","",ORÇAMENTO.Unidade)</f>
        <v/>
      </c>
      <c r="G24" s="207" t="str">
        <f aca="true">IF(RegimeExecucao="Global","",ORÇAMENTO!T24)</f>
        <v/>
      </c>
      <c r="H24" s="207" t="str">
        <f aca="true">IF(RegimeExecucao="Global","",ORÇAMENTO!W24)</f>
        <v/>
      </c>
      <c r="I24" s="210" t="n">
        <f aca="false">ORÇAMENTO!X24</f>
        <v>0</v>
      </c>
      <c r="J24" s="652" t="e">
        <f aca="false" t="array" ref="J24:J24">_xlfn.single(IF($A24="S",IF(CAIXA.Modo,BM.AFAnterior,BM.MEDAnterior),IF(AND(_xlfn.single(RegimeExecucao)="Global",$I24&gt;0,COUNTIF($AB$13:$AM$13,BM.medicao-1)&gt;0),M24/$I24*100,0)))</f>
        <v>#NAME?</v>
      </c>
      <c r="K24" s="207" t="e">
        <f aca="false">L24-J24</f>
        <v>#NAME?</v>
      </c>
      <c r="L24" s="653" t="e">
        <f aca="false" t="array" ref="L24:L24">_xlfn.single(IF($A24="S",IF(CAIXA.Modo,BM.AFAcumulado,BM.MEDAcumulado),IF(AND(_xlfn.single(RegimeExecucao)="Global",$I24&gt;0,COUNTIF($AB$13:$AM$13,BM.medicao)&gt;0),O24/$I24*100,0)))</f>
        <v>#NAME?</v>
      </c>
      <c r="M24" s="654" t="n">
        <f aca="true">IF($A24="S",VTOTALBM,IF($A24=0,0,ROUND(SomaAgrupBM,15-13*ORÇAMENTO!$AF$11)))</f>
        <v>0</v>
      </c>
      <c r="N24" s="219" t="n">
        <f aca="false">O24-M24</f>
        <v>0</v>
      </c>
      <c r="O24" s="210" t="n">
        <f aca="true">IF($A24="S",VTOTALBM,IF($A24=0,0,ROUND(SomaAgrupBM,15-13*ORÇAMENTO!$AF$11)))</f>
        <v>0</v>
      </c>
      <c r="Q24" s="655"/>
      <c r="R24" s="656"/>
      <c r="T24" s="202" t="str">
        <f aca="false">IF($W24&gt;0,$D24,"")</f>
        <v/>
      </c>
      <c r="U24" s="346" t="str">
        <f aca="false">IF($W24&gt;0,$E24,"")</f>
        <v/>
      </c>
      <c r="V24" s="347" t="str">
        <f aca="true">IF(AND($W24&gt;0,RegimeExecucao="Unitário"),$F24,"")</f>
        <v/>
      </c>
      <c r="W24" s="657" t="n">
        <f aca="true">IF($Y24&gt;0,CHOOSE(MATCH(RegimeExecucao,{"Unitário","Global"},0),IF($A24="S",$Y24/$X24,""),($Y24/$X24)*100),0)</f>
        <v>0</v>
      </c>
      <c r="X24" s="658" t="str">
        <f aca="true">IF($Y24&gt;0,CHOOSE(MATCH(RegimeExecucao,{"Unitário","Global"},0),IF($A24="S",ROUND($H24,ORÇAMENTO!$AF$10),""),ROUND($I24,ORÇAMENTO!$AF$11)),"")</f>
        <v/>
      </c>
      <c r="Y24" s="658" t="n">
        <f aca="false">AO24-O24</f>
        <v>0</v>
      </c>
      <c r="Z24" s="659"/>
      <c r="AB24" s="655"/>
      <c r="AC24" s="660"/>
      <c r="AD24" s="660"/>
      <c r="AE24" s="660"/>
      <c r="AF24" s="660"/>
      <c r="AG24" s="660"/>
      <c r="AH24" s="660"/>
      <c r="AI24" s="660"/>
      <c r="AJ24" s="660"/>
      <c r="AK24" s="660"/>
      <c r="AL24" s="660"/>
      <c r="AM24" s="656"/>
      <c r="AO24" s="1" t="n">
        <f aca="true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="1" customFormat="true" ht="25.5" hidden="false" customHeight="false" outlineLevel="0" collapsed="false">
      <c r="A25" s="1" t="str">
        <f aca="false">ORÇAMENTO!C25</f>
        <v>S</v>
      </c>
      <c r="B25" s="1" t="n">
        <f aca="false">ORÇAMENTO!D25</f>
        <v>0</v>
      </c>
      <c r="C25" s="199" t="str">
        <f aca="false">IF(OR($I25&gt;0,$A25=1,$A25=2,$A25=3,$A25=4),"F","")</f>
        <v/>
      </c>
      <c r="D25" s="202" t="str">
        <f aca="false">ORÇAMENTO!O25</f>
        <v>-</v>
      </c>
      <c r="E25" s="346" t="str">
        <f aca="false">ORÇAMENTO.Descricao</f>
        <v>(abra o arquivo 'Referência 09-2025.xlsm)</v>
      </c>
      <c r="F25" s="347" t="str">
        <f aca="true">IF(RegimeExecucao="Global","",ORÇAMENTO.Unidade)</f>
        <v/>
      </c>
      <c r="G25" s="207" t="str">
        <f aca="true">IF(RegimeExecucao="Global","",ORÇAMENTO!T25)</f>
        <v/>
      </c>
      <c r="H25" s="207" t="str">
        <f aca="true">IF(RegimeExecucao="Global","",ORÇAMENTO!W25)</f>
        <v/>
      </c>
      <c r="I25" s="210" t="n">
        <f aca="false">ORÇAMENTO!X25</f>
        <v>0</v>
      </c>
      <c r="J25" s="652" t="e">
        <f aca="false" t="array" ref="J25:J25">_xlfn.single(IF($A25="S",IF(CAIXA.Modo,BM.AFAnterior,BM.MEDAnterior),IF(AND(_xlfn.single(RegimeExecucao)="Global",$I25&gt;0,COUNTIF($AB$13:$AM$13,BM.medicao-1)&gt;0),M25/$I25*100,0)))</f>
        <v>#NAME?</v>
      </c>
      <c r="K25" s="207" t="e">
        <f aca="false">L25-J25</f>
        <v>#NAME?</v>
      </c>
      <c r="L25" s="653" t="e">
        <f aca="false" t="array" ref="L25:L25">_xlfn.single(IF($A25="S",IF(CAIXA.Modo,BM.AFAcumulado,BM.MEDAcumulado),IF(AND(_xlfn.single(RegimeExecucao)="Global",$I25&gt;0,COUNTIF($AB$13:$AM$13,BM.medicao)&gt;0),O25/$I25*100,0)))</f>
        <v>#NAME?</v>
      </c>
      <c r="M25" s="654" t="n">
        <f aca="true">IF($A25="S",VTOTALBM,IF($A25=0,0,ROUND(SomaAgrupBM,15-13*ORÇAMENTO!$AF$11)))</f>
        <v>0</v>
      </c>
      <c r="N25" s="219" t="n">
        <f aca="false">O25-M25</f>
        <v>0</v>
      </c>
      <c r="O25" s="210" t="n">
        <f aca="true">IF($A25="S",VTOTALBM,IF($A25=0,0,ROUND(SomaAgrupBM,15-13*ORÇAMENTO!$AF$11)))</f>
        <v>0</v>
      </c>
      <c r="Q25" s="655"/>
      <c r="R25" s="656"/>
      <c r="T25" s="202" t="str">
        <f aca="false">IF($W25&gt;0,$D25,"")</f>
        <v/>
      </c>
      <c r="U25" s="346" t="str">
        <f aca="false">IF($W25&gt;0,$E25,"")</f>
        <v/>
      </c>
      <c r="V25" s="347" t="str">
        <f aca="true">IF(AND($W25&gt;0,RegimeExecucao="Unitário"),$F25,"")</f>
        <v/>
      </c>
      <c r="W25" s="657" t="n">
        <f aca="true">IF($Y25&gt;0,CHOOSE(MATCH(RegimeExecucao,{"Unitário","Global"},0),IF($A25="S",$Y25/$X25,""),($Y25/$X25)*100),0)</f>
        <v>0</v>
      </c>
      <c r="X25" s="658" t="str">
        <f aca="true">IF($Y25&gt;0,CHOOSE(MATCH(RegimeExecucao,{"Unitário","Global"},0),IF($A25="S",ROUND($H25,ORÇAMENTO!$AF$10),""),ROUND($I25,ORÇAMENTO!$AF$11)),"")</f>
        <v/>
      </c>
      <c r="Y25" s="658" t="n">
        <f aca="false">AO25-O25</f>
        <v>0</v>
      </c>
      <c r="Z25" s="659"/>
      <c r="AB25" s="655"/>
      <c r="AC25" s="660"/>
      <c r="AD25" s="660"/>
      <c r="AE25" s="660"/>
      <c r="AF25" s="660"/>
      <c r="AG25" s="660"/>
      <c r="AH25" s="660"/>
      <c r="AI25" s="660"/>
      <c r="AJ25" s="660"/>
      <c r="AK25" s="660"/>
      <c r="AL25" s="660"/>
      <c r="AM25" s="656"/>
      <c r="AO25" s="1" t="n">
        <f aca="true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="1" customFormat="true" ht="25.5" hidden="false" customHeight="false" outlineLevel="0" collapsed="false">
      <c r="A26" s="1" t="str">
        <f aca="false">ORÇAMENTO!C26</f>
        <v>S</v>
      </c>
      <c r="B26" s="1" t="n">
        <f aca="false">ORÇAMENTO!D26</f>
        <v>0</v>
      </c>
      <c r="C26" s="199" t="str">
        <f aca="false">IF(OR($I26&gt;0,$A26=1,$A26=2,$A26=3,$A26=4),"F","")</f>
        <v/>
      </c>
      <c r="D26" s="202" t="str">
        <f aca="false">ORÇAMENTO!O26</f>
        <v>-</v>
      </c>
      <c r="E26" s="346" t="str">
        <f aca="false">ORÇAMENTO.Descricao</f>
        <v>(abra o arquivo 'Referência 09-2025.xlsm)</v>
      </c>
      <c r="F26" s="347" t="str">
        <f aca="true">IF(RegimeExecucao="Global","",ORÇAMENTO.Unidade)</f>
        <v/>
      </c>
      <c r="G26" s="207" t="str">
        <f aca="true">IF(RegimeExecucao="Global","",ORÇAMENTO!T26)</f>
        <v/>
      </c>
      <c r="H26" s="207" t="str">
        <f aca="true">IF(RegimeExecucao="Global","",ORÇAMENTO!W26)</f>
        <v/>
      </c>
      <c r="I26" s="210" t="n">
        <f aca="false">ORÇAMENTO!X26</f>
        <v>0</v>
      </c>
      <c r="J26" s="652" t="e">
        <f aca="false" t="array" ref="J26:J26">_xlfn.single(IF($A26="S",IF(CAIXA.Modo,BM.AFAnterior,BM.MEDAnterior),IF(AND(_xlfn.single(RegimeExecucao)="Global",$I26&gt;0,COUNTIF($AB$13:$AM$13,BM.medicao-1)&gt;0),M26/$I26*100,0)))</f>
        <v>#NAME?</v>
      </c>
      <c r="K26" s="207" t="e">
        <f aca="false">L26-J26</f>
        <v>#NAME?</v>
      </c>
      <c r="L26" s="653" t="e">
        <f aca="false" t="array" ref="L26:L26">_xlfn.single(IF($A26="S",IF(CAIXA.Modo,BM.AFAcumulado,BM.MEDAcumulado),IF(AND(_xlfn.single(RegimeExecucao)="Global",$I26&gt;0,COUNTIF($AB$13:$AM$13,BM.medicao)&gt;0),O26/$I26*100,0)))</f>
        <v>#NAME?</v>
      </c>
      <c r="M26" s="654" t="n">
        <f aca="true">IF($A26="S",VTOTALBM,IF($A26=0,0,ROUND(SomaAgrupBM,15-13*ORÇAMENTO!$AF$11)))</f>
        <v>0</v>
      </c>
      <c r="N26" s="219" t="n">
        <f aca="false">O26-M26</f>
        <v>0</v>
      </c>
      <c r="O26" s="210" t="n">
        <f aca="true">IF($A26="S",VTOTALBM,IF($A26=0,0,ROUND(SomaAgrupBM,15-13*ORÇAMENTO!$AF$11)))</f>
        <v>0</v>
      </c>
      <c r="Q26" s="655"/>
      <c r="R26" s="656"/>
      <c r="T26" s="202" t="str">
        <f aca="false">IF($W26&gt;0,$D26,"")</f>
        <v/>
      </c>
      <c r="U26" s="346" t="str">
        <f aca="false">IF($W26&gt;0,$E26,"")</f>
        <v/>
      </c>
      <c r="V26" s="347" t="str">
        <f aca="true">IF(AND($W26&gt;0,RegimeExecucao="Unitário"),$F26,"")</f>
        <v/>
      </c>
      <c r="W26" s="657" t="n">
        <f aca="true">IF($Y26&gt;0,CHOOSE(MATCH(RegimeExecucao,{"Unitário","Global"},0),IF($A26="S",$Y26/$X26,""),($Y26/$X26)*100),0)</f>
        <v>0</v>
      </c>
      <c r="X26" s="658" t="str">
        <f aca="true">IF($Y26&gt;0,CHOOSE(MATCH(RegimeExecucao,{"Unitário","Global"},0),IF($A26="S",ROUND($H26,ORÇAMENTO!$AF$10),""),ROUND($I26,ORÇAMENTO!$AF$11)),"")</f>
        <v/>
      </c>
      <c r="Y26" s="658" t="n">
        <f aca="false">AO26-O26</f>
        <v>0</v>
      </c>
      <c r="Z26" s="659"/>
      <c r="AB26" s="655"/>
      <c r="AC26" s="660"/>
      <c r="AD26" s="660"/>
      <c r="AE26" s="660"/>
      <c r="AF26" s="660"/>
      <c r="AG26" s="660"/>
      <c r="AH26" s="660"/>
      <c r="AI26" s="660"/>
      <c r="AJ26" s="660"/>
      <c r="AK26" s="660"/>
      <c r="AL26" s="660"/>
      <c r="AM26" s="656"/>
      <c r="AO26" s="1" t="n">
        <f aca="true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="1" customFormat="true" ht="38.25" hidden="false" customHeight="false" outlineLevel="0" collapsed="false">
      <c r="A27" s="1" t="str">
        <f aca="false">ORÇAMENTO!C27</f>
        <v>S</v>
      </c>
      <c r="B27" s="1" t="n">
        <f aca="false">ORÇAMENTO!D27</f>
        <v>0</v>
      </c>
      <c r="C27" s="199" t="str">
        <f aca="false">IF(OR($I27&gt;0,$A27=1,$A27=2,$A27=3,$A27=4),"F","")</f>
        <v/>
      </c>
      <c r="D27" s="202" t="str">
        <f aca="false">ORÇAMENTO!O27</f>
        <v>-</v>
      </c>
      <c r="E27" s="346" t="str">
        <f aca="false">ORÇAMENTO.Descricao</f>
        <v>(abra o arquivo 'Referência 09-2025.xlsm)</v>
      </c>
      <c r="F27" s="347" t="str">
        <f aca="true">IF(RegimeExecucao="Global","",ORÇAMENTO.Unidade)</f>
        <v/>
      </c>
      <c r="G27" s="207" t="str">
        <f aca="true">IF(RegimeExecucao="Global","",ORÇAMENTO!T27)</f>
        <v/>
      </c>
      <c r="H27" s="207" t="str">
        <f aca="true">IF(RegimeExecucao="Global","",ORÇAMENTO!W27)</f>
        <v/>
      </c>
      <c r="I27" s="210" t="n">
        <f aca="false">ORÇAMENTO!X27</f>
        <v>0</v>
      </c>
      <c r="J27" s="652" t="e">
        <f aca="false" t="array" ref="J27:J27">_xlfn.single(IF($A27="S",IF(CAIXA.Modo,BM.AFAnterior,BM.MEDAnterior),IF(AND(_xlfn.single(RegimeExecucao)="Global",$I27&gt;0,COUNTIF($AB$13:$AM$13,BM.medicao-1)&gt;0),M27/$I27*100,0)))</f>
        <v>#NAME?</v>
      </c>
      <c r="K27" s="207" t="e">
        <f aca="false">L27-J27</f>
        <v>#NAME?</v>
      </c>
      <c r="L27" s="653" t="e">
        <f aca="false" t="array" ref="L27:L27">_xlfn.single(IF($A27="S",IF(CAIXA.Modo,BM.AFAcumulado,BM.MEDAcumulado),IF(AND(_xlfn.single(RegimeExecucao)="Global",$I27&gt;0,COUNTIF($AB$13:$AM$13,BM.medicao)&gt;0),O27/$I27*100,0)))</f>
        <v>#NAME?</v>
      </c>
      <c r="M27" s="654" t="n">
        <f aca="true">IF($A27="S",VTOTALBM,IF($A27=0,0,ROUND(SomaAgrupBM,15-13*ORÇAMENTO!$AF$11)))</f>
        <v>0</v>
      </c>
      <c r="N27" s="219" t="n">
        <f aca="false">O27-M27</f>
        <v>0</v>
      </c>
      <c r="O27" s="210" t="n">
        <f aca="true">IF($A27="S",VTOTALBM,IF($A27=0,0,ROUND(SomaAgrupBM,15-13*ORÇAMENTO!$AF$11)))</f>
        <v>0</v>
      </c>
      <c r="Q27" s="655"/>
      <c r="R27" s="656"/>
      <c r="T27" s="202" t="str">
        <f aca="false">IF($W27&gt;0,$D27,"")</f>
        <v/>
      </c>
      <c r="U27" s="346" t="str">
        <f aca="false">IF($W27&gt;0,$E27,"")</f>
        <v/>
      </c>
      <c r="V27" s="347" t="str">
        <f aca="true">IF(AND($W27&gt;0,RegimeExecucao="Unitário"),$F27,"")</f>
        <v/>
      </c>
      <c r="W27" s="657" t="n">
        <f aca="true">IF($Y27&gt;0,CHOOSE(MATCH(RegimeExecucao,{"Unitário","Global"},0),IF($A27="S",$Y27/$X27,""),($Y27/$X27)*100),0)</f>
        <v>0</v>
      </c>
      <c r="X27" s="658" t="str">
        <f aca="true">IF($Y27&gt;0,CHOOSE(MATCH(RegimeExecucao,{"Unitário","Global"},0),IF($A27="S",ROUND($H27,ORÇAMENTO!$AF$10),""),ROUND($I27,ORÇAMENTO!$AF$11)),"")</f>
        <v/>
      </c>
      <c r="Y27" s="658" t="n">
        <f aca="false">AO27-O27</f>
        <v>0</v>
      </c>
      <c r="Z27" s="659"/>
      <c r="AB27" s="655"/>
      <c r="AC27" s="660"/>
      <c r="AD27" s="660"/>
      <c r="AE27" s="660"/>
      <c r="AF27" s="660"/>
      <c r="AG27" s="660"/>
      <c r="AH27" s="660"/>
      <c r="AI27" s="660"/>
      <c r="AJ27" s="660"/>
      <c r="AK27" s="660"/>
      <c r="AL27" s="660"/>
      <c r="AM27" s="656"/>
      <c r="AO27" s="1" t="n">
        <f aca="true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="1" customFormat="true" ht="12.75" hidden="false" customHeight="false" outlineLevel="0" collapsed="false">
      <c r="A28" s="1" t="n">
        <f aca="false">ORÇAMENTO!C28</f>
        <v>3</v>
      </c>
      <c r="B28" s="1" t="n">
        <f aca="false">ORÇAMENTO!D28</f>
        <v>4</v>
      </c>
      <c r="C28" s="199" t="str">
        <f aca="false">IF(OR($I28&gt;0,$A28=1,$A28=2,$A28=3,$A28=4),"F","")</f>
        <v>F</v>
      </c>
      <c r="D28" s="202" t="str">
        <f aca="false">ORÇAMENTO!O28</f>
        <v>1.3.2.</v>
      </c>
      <c r="E28" s="346" t="str">
        <f aca="false">ORÇAMENTO.Descricao</f>
        <v>Telhamento</v>
      </c>
      <c r="F28" s="347" t="str">
        <f aca="true">IF(RegimeExecucao="Global","",ORÇAMENTO.Unidade)</f>
        <v/>
      </c>
      <c r="G28" s="207" t="str">
        <f aca="true">IF(RegimeExecucao="Global","",ORÇAMENTO!T28)</f>
        <v/>
      </c>
      <c r="H28" s="207" t="str">
        <f aca="true">IF(RegimeExecucao="Global","",ORÇAMENTO!W28)</f>
        <v/>
      </c>
      <c r="I28" s="210" t="n">
        <f aca="false">ORÇAMENTO!X28</f>
        <v>4413.98727</v>
      </c>
      <c r="J28" s="652" t="e">
        <f aca="false" t="array" ref="J28:J28">_xlfn.single(IF($A28="S",IF(CAIXA.Modo,BM.AFAnterior,BM.MEDAnterior),IF(AND(_xlfn.single(RegimeExecucao)="Global",$I28&gt;0,COUNTIF($AB$13:$AM$13,BM.medicao-1)&gt;0),M28/$I28*100,0)))</f>
        <v>#NAME?</v>
      </c>
      <c r="K28" s="207" t="e">
        <f aca="false">L28-J28</f>
        <v>#NAME?</v>
      </c>
      <c r="L28" s="653" t="e">
        <f aca="false" t="array" ref="L28:L28">_xlfn.single(IF($A28="S",IF(CAIXA.Modo,BM.AFAcumulado,BM.MEDAcumulado),IF(AND(_xlfn.single(RegimeExecucao)="Global",$I28&gt;0,COUNTIF($AB$13:$AM$13,BM.medicao)&gt;0),O28/$I28*100,0)))</f>
        <v>#NAME?</v>
      </c>
      <c r="M28" s="654" t="n">
        <f aca="true">IF($A28="S",VTOTALBM,IF($A28=0,0,ROUND(SomaAgrupBM,15-13*ORÇAMENTO!$AF$11)))</f>
        <v>0</v>
      </c>
      <c r="N28" s="219" t="n">
        <f aca="false">O28-M28</f>
        <v>0</v>
      </c>
      <c r="O28" s="210" t="n">
        <f aca="true">IF($A28="S",VTOTALBM,IF($A28=0,0,ROUND(SomaAgrupBM,15-13*ORÇAMENTO!$AF$11)))</f>
        <v>0</v>
      </c>
      <c r="Q28" s="655"/>
      <c r="R28" s="656"/>
      <c r="T28" s="202" t="str">
        <f aca="false">IF($W28&gt;0,$D28,"")</f>
        <v/>
      </c>
      <c r="U28" s="346" t="str">
        <f aca="false">IF($W28&gt;0,$E28,"")</f>
        <v/>
      </c>
      <c r="V28" s="347" t="str">
        <f aca="true">IF(AND($W28&gt;0,RegimeExecucao="Unitário"),$F28,"")</f>
        <v/>
      </c>
      <c r="W28" s="657" t="n">
        <f aca="true">IF($Y28&gt;0,CHOOSE(MATCH(RegimeExecucao,{"Unitário","Global"},0),IF($A28="S",$Y28/$X28,""),($Y28/$X28)*100),0)</f>
        <v>0</v>
      </c>
      <c r="X28" s="658" t="str">
        <f aca="true">IF($Y28&gt;0,CHOOSE(MATCH(RegimeExecucao,{"Unitário","Global"},0),IF($A28="S",ROUND($H28,ORÇAMENTO!$AF$10),""),ROUND($I28,ORÇAMENTO!$AF$11)),"")</f>
        <v/>
      </c>
      <c r="Y28" s="658" t="n">
        <f aca="false">AO28-O28</f>
        <v>0</v>
      </c>
      <c r="Z28" s="659"/>
      <c r="AB28" s="655"/>
      <c r="AC28" s="660"/>
      <c r="AD28" s="660"/>
      <c r="AE28" s="660"/>
      <c r="AF28" s="660"/>
      <c r="AG28" s="660"/>
      <c r="AH28" s="660"/>
      <c r="AI28" s="660"/>
      <c r="AJ28" s="660"/>
      <c r="AK28" s="660"/>
      <c r="AL28" s="660"/>
      <c r="AM28" s="656"/>
      <c r="AO28" s="1" t="n">
        <f aca="true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="1" customFormat="true" ht="51" hidden="false" customHeight="false" outlineLevel="0" collapsed="false">
      <c r="A29" s="1" t="str">
        <f aca="false">ORÇAMENTO!C29</f>
        <v>S</v>
      </c>
      <c r="B29" s="1" t="n">
        <f aca="false">ORÇAMENTO!D29</f>
        <v>0</v>
      </c>
      <c r="C29" s="199" t="str">
        <f aca="false">IF(OR($I29&gt;0,$A29=1,$A29=2,$A29=3,$A29=4),"F","")</f>
        <v/>
      </c>
      <c r="D29" s="202" t="str">
        <f aca="false">ORÇAMENTO!O29</f>
        <v>-</v>
      </c>
      <c r="E29" s="346" t="str">
        <f aca="false">ORÇAMENTO.Descricao</f>
        <v>(abra o arquivo 'Referência 09-2025.xlsm)</v>
      </c>
      <c r="F29" s="347" t="str">
        <f aca="true">IF(RegimeExecucao="Global","",ORÇAMENTO.Unidade)</f>
        <v/>
      </c>
      <c r="G29" s="207" t="str">
        <f aca="true">IF(RegimeExecucao="Global","",ORÇAMENTO!T29)</f>
        <v/>
      </c>
      <c r="H29" s="207" t="str">
        <f aca="true">IF(RegimeExecucao="Global","",ORÇAMENTO!W29)</f>
        <v/>
      </c>
      <c r="I29" s="210" t="n">
        <f aca="false">ORÇAMENTO!X29</f>
        <v>0</v>
      </c>
      <c r="J29" s="652" t="e">
        <f aca="false" t="array" ref="J29:J29">_xlfn.single(IF($A29="S",IF(CAIXA.Modo,BM.AFAnterior,BM.MEDAnterior),IF(AND(_xlfn.single(RegimeExecucao)="Global",$I29&gt;0,COUNTIF($AB$13:$AM$13,BM.medicao-1)&gt;0),M29/$I29*100,0)))</f>
        <v>#NAME?</v>
      </c>
      <c r="K29" s="207" t="e">
        <f aca="false">L29-J29</f>
        <v>#NAME?</v>
      </c>
      <c r="L29" s="653" t="e">
        <f aca="false" t="array" ref="L29:L29">_xlfn.single(IF($A29="S",IF(CAIXA.Modo,BM.AFAcumulado,BM.MEDAcumulado),IF(AND(_xlfn.single(RegimeExecucao)="Global",$I29&gt;0,COUNTIF($AB$13:$AM$13,BM.medicao)&gt;0),O29/$I29*100,0)))</f>
        <v>#NAME?</v>
      </c>
      <c r="M29" s="654" t="n">
        <f aca="true">IF($A29="S",VTOTALBM,IF($A29=0,0,ROUND(SomaAgrupBM,15-13*ORÇAMENTO!$AF$11)))</f>
        <v>0</v>
      </c>
      <c r="N29" s="219" t="n">
        <f aca="false">O29-M29</f>
        <v>0</v>
      </c>
      <c r="O29" s="210" t="n">
        <f aca="true">IF($A29="S",VTOTALBM,IF($A29=0,0,ROUND(SomaAgrupBM,15-13*ORÇAMENTO!$AF$11)))</f>
        <v>0</v>
      </c>
      <c r="Q29" s="655"/>
      <c r="R29" s="656"/>
      <c r="T29" s="202" t="str">
        <f aca="false">IF($W29&gt;0,$D29,"")</f>
        <v/>
      </c>
      <c r="U29" s="346" t="str">
        <f aca="false">IF($W29&gt;0,$E29,"")</f>
        <v/>
      </c>
      <c r="V29" s="347" t="str">
        <f aca="true">IF(AND($W29&gt;0,RegimeExecucao="Unitário"),$F29,"")</f>
        <v/>
      </c>
      <c r="W29" s="657" t="n">
        <f aca="true">IF($Y29&gt;0,CHOOSE(MATCH(RegimeExecucao,{"Unitário","Global"},0),IF($A29="S",$Y29/$X29,""),($Y29/$X29)*100),0)</f>
        <v>0</v>
      </c>
      <c r="X29" s="658" t="str">
        <f aca="true">IF($Y29&gt;0,CHOOSE(MATCH(RegimeExecucao,{"Unitário","Global"},0),IF($A29="S",ROUND($H29,ORÇAMENTO!$AF$10),""),ROUND($I29,ORÇAMENTO!$AF$11)),"")</f>
        <v/>
      </c>
      <c r="Y29" s="658" t="n">
        <f aca="false">AO29-O29</f>
        <v>0</v>
      </c>
      <c r="Z29" s="659"/>
      <c r="AB29" s="655"/>
      <c r="AC29" s="660"/>
      <c r="AD29" s="660"/>
      <c r="AE29" s="660"/>
      <c r="AF29" s="660"/>
      <c r="AG29" s="660"/>
      <c r="AH29" s="660"/>
      <c r="AI29" s="660"/>
      <c r="AJ29" s="660"/>
      <c r="AK29" s="660"/>
      <c r="AL29" s="660"/>
      <c r="AM29" s="656"/>
      <c r="AO29" s="1" t="n">
        <f aca="true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="1" customFormat="true" ht="25.5" hidden="false" customHeight="false" outlineLevel="0" collapsed="false">
      <c r="A30" s="1" t="str">
        <f aca="false">ORÇAMENTO!C30</f>
        <v>S</v>
      </c>
      <c r="B30" s="1" t="n">
        <f aca="false">ORÇAMENTO!D30</f>
        <v>0</v>
      </c>
      <c r="C30" s="199" t="str">
        <f aca="false">IF(OR($I30&gt;0,$A30=1,$A30=2,$A30=3,$A30=4),"F","")</f>
        <v/>
      </c>
      <c r="D30" s="202" t="str">
        <f aca="false">ORÇAMENTO!O30</f>
        <v>-</v>
      </c>
      <c r="E30" s="346" t="str">
        <f aca="false">ORÇAMENTO.Descricao</f>
        <v>(abra o arquivo 'Referência 09-2025.xlsm)</v>
      </c>
      <c r="F30" s="347" t="str">
        <f aca="true">IF(RegimeExecucao="Global","",ORÇAMENTO.Unidade)</f>
        <v/>
      </c>
      <c r="G30" s="207" t="str">
        <f aca="true">IF(RegimeExecucao="Global","",ORÇAMENTO!T30)</f>
        <v/>
      </c>
      <c r="H30" s="207" t="str">
        <f aca="true">IF(RegimeExecucao="Global","",ORÇAMENTO!W30)</f>
        <v/>
      </c>
      <c r="I30" s="210" t="n">
        <f aca="false">ORÇAMENTO!X30</f>
        <v>0</v>
      </c>
      <c r="J30" s="652" t="e">
        <f aca="false" t="array" ref="J30:J30">_xlfn.single(IF($A30="S",IF(CAIXA.Modo,BM.AFAnterior,BM.MEDAnterior),IF(AND(_xlfn.single(RegimeExecucao)="Global",$I30&gt;0,COUNTIF($AB$13:$AM$13,BM.medicao-1)&gt;0),M30/$I30*100,0)))</f>
        <v>#NAME?</v>
      </c>
      <c r="K30" s="207" t="e">
        <f aca="false">L30-J30</f>
        <v>#NAME?</v>
      </c>
      <c r="L30" s="653" t="e">
        <f aca="false" t="array" ref="L30:L30">_xlfn.single(IF($A30="S",IF(CAIXA.Modo,BM.AFAcumulado,BM.MEDAcumulado),IF(AND(_xlfn.single(RegimeExecucao)="Global",$I30&gt;0,COUNTIF($AB$13:$AM$13,BM.medicao)&gt;0),O30/$I30*100,0)))</f>
        <v>#NAME?</v>
      </c>
      <c r="M30" s="654" t="n">
        <f aca="true">IF($A30="S",VTOTALBM,IF($A30=0,0,ROUND(SomaAgrupBM,15-13*ORÇAMENTO!$AF$11)))</f>
        <v>0</v>
      </c>
      <c r="N30" s="219" t="n">
        <f aca="false">O30-M30</f>
        <v>0</v>
      </c>
      <c r="O30" s="210" t="n">
        <f aca="true">IF($A30="S",VTOTALBM,IF($A30=0,0,ROUND(SomaAgrupBM,15-13*ORÇAMENTO!$AF$11)))</f>
        <v>0</v>
      </c>
      <c r="Q30" s="655"/>
      <c r="R30" s="656"/>
      <c r="T30" s="202" t="str">
        <f aca="false">IF($W30&gt;0,$D30,"")</f>
        <v/>
      </c>
      <c r="U30" s="346" t="str">
        <f aca="false">IF($W30&gt;0,$E30,"")</f>
        <v/>
      </c>
      <c r="V30" s="347" t="str">
        <f aca="true">IF(AND($W30&gt;0,RegimeExecucao="Unitário"),$F30,"")</f>
        <v/>
      </c>
      <c r="W30" s="657" t="n">
        <f aca="true">IF($Y30&gt;0,CHOOSE(MATCH(RegimeExecucao,{"Unitário","Global"},0),IF($A30="S",$Y30/$X30,""),($Y30/$X30)*100),0)</f>
        <v>0</v>
      </c>
      <c r="X30" s="658" t="str">
        <f aca="true">IF($Y30&gt;0,CHOOSE(MATCH(RegimeExecucao,{"Unitário","Global"},0),IF($A30="S",ROUND($H30,ORÇAMENTO!$AF$10),""),ROUND($I30,ORÇAMENTO!$AF$11)),"")</f>
        <v/>
      </c>
      <c r="Y30" s="658" t="n">
        <f aca="false">AO30-O30</f>
        <v>0</v>
      </c>
      <c r="Z30" s="659"/>
      <c r="AB30" s="655"/>
      <c r="AC30" s="660"/>
      <c r="AD30" s="660"/>
      <c r="AE30" s="660"/>
      <c r="AF30" s="660"/>
      <c r="AG30" s="660"/>
      <c r="AH30" s="660"/>
      <c r="AI30" s="660"/>
      <c r="AJ30" s="660"/>
      <c r="AK30" s="660"/>
      <c r="AL30" s="660"/>
      <c r="AM30" s="656"/>
      <c r="AO30" s="1" t="n">
        <f aca="true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="1" customFormat="true" ht="25.5" hidden="false" customHeight="false" outlineLevel="0" collapsed="false">
      <c r="A31" s="1" t="str">
        <f aca="false">ORÇAMENTO!C31</f>
        <v>S</v>
      </c>
      <c r="B31" s="1" t="n">
        <f aca="false">ORÇAMENTO!D31</f>
        <v>0</v>
      </c>
      <c r="C31" s="199" t="str">
        <f aca="false">IF(OR($I31&gt;0,$A31=1,$A31=2,$A31=3,$A31=4),"F","")</f>
        <v>F</v>
      </c>
      <c r="D31" s="202" t="str">
        <f aca="false">ORÇAMENTO!O31</f>
        <v>1.3.2.1.</v>
      </c>
      <c r="E31" s="346" t="str">
        <f aca="false">ORÇAMENTO.Descricao</f>
        <v>(abra o arquivo 'Referência 09-2025.xlsm)</v>
      </c>
      <c r="F31" s="347" t="str">
        <f aca="true">IF(RegimeExecucao="Global","",ORÇAMENTO.Unidade)</f>
        <v/>
      </c>
      <c r="G31" s="207" t="str">
        <f aca="true">IF(RegimeExecucao="Global","",ORÇAMENTO!T31)</f>
        <v/>
      </c>
      <c r="H31" s="207" t="str">
        <f aca="true">IF(RegimeExecucao="Global","",ORÇAMENTO!W31)</f>
        <v/>
      </c>
      <c r="I31" s="210" t="n">
        <f aca="false">ORÇAMENTO!X31</f>
        <v>4413.98727</v>
      </c>
      <c r="J31" s="652" t="e">
        <f aca="false" t="array" ref="J31:J31">_xlfn.single(IF($A31="S",IF(CAIXA.Modo,BM.AFAnterior,BM.MEDAnterior),IF(AND(_xlfn.single(RegimeExecucao)="Global",$I31&gt;0,COUNTIF($AB$13:$AM$13,BM.medicao-1)&gt;0),M31/$I31*100,0)))</f>
        <v>#NAME?</v>
      </c>
      <c r="K31" s="207" t="e">
        <f aca="false">L31-J31</f>
        <v>#NAME?</v>
      </c>
      <c r="L31" s="653" t="e">
        <f aca="false" t="array" ref="L31:L31">_xlfn.single(IF($A31="S",IF(CAIXA.Modo,BM.AFAcumulado,BM.MEDAcumulado),IF(AND(_xlfn.single(RegimeExecucao)="Global",$I31&gt;0,COUNTIF($AB$13:$AM$13,BM.medicao)&gt;0),O31/$I31*100,0)))</f>
        <v>#NAME?</v>
      </c>
      <c r="M31" s="654" t="n">
        <f aca="true">IF($A31="S",VTOTALBM,IF($A31=0,0,ROUND(SomaAgrupBM,15-13*ORÇAMENTO!$AF$11)))</f>
        <v>0</v>
      </c>
      <c r="N31" s="219" t="n">
        <f aca="false">O31-M31</f>
        <v>0</v>
      </c>
      <c r="O31" s="210" t="n">
        <f aca="true">IF($A31="S",VTOTALBM,IF($A31=0,0,ROUND(SomaAgrupBM,15-13*ORÇAMENTO!$AF$11)))</f>
        <v>0</v>
      </c>
      <c r="Q31" s="655"/>
      <c r="R31" s="656"/>
      <c r="T31" s="202" t="str">
        <f aca="false">IF($W31&gt;0,$D31,"")</f>
        <v/>
      </c>
      <c r="U31" s="346" t="str">
        <f aca="false">IF($W31&gt;0,$E31,"")</f>
        <v/>
      </c>
      <c r="V31" s="347" t="str">
        <f aca="true">IF(AND($W31&gt;0,RegimeExecucao="Unitário"),$F31,"")</f>
        <v/>
      </c>
      <c r="W31" s="657" t="n">
        <f aca="true">IF($Y31&gt;0,CHOOSE(MATCH(RegimeExecucao,{"Unitário","Global"},0),IF($A31="S",$Y31/$X31,""),($Y31/$X31)*100),0)</f>
        <v>0</v>
      </c>
      <c r="X31" s="658" t="str">
        <f aca="true">IF($Y31&gt;0,CHOOSE(MATCH(RegimeExecucao,{"Unitário","Global"},0),IF($A31="S",ROUND($H31,ORÇAMENTO!$AF$10),""),ROUND($I31,ORÇAMENTO!$AF$11)),"")</f>
        <v/>
      </c>
      <c r="Y31" s="658" t="n">
        <f aca="false">AO31-O31</f>
        <v>0</v>
      </c>
      <c r="Z31" s="659"/>
      <c r="AB31" s="655"/>
      <c r="AC31" s="660"/>
      <c r="AD31" s="660"/>
      <c r="AE31" s="660"/>
      <c r="AF31" s="660"/>
      <c r="AG31" s="660"/>
      <c r="AH31" s="660"/>
      <c r="AI31" s="660"/>
      <c r="AJ31" s="660"/>
      <c r="AK31" s="660"/>
      <c r="AL31" s="660"/>
      <c r="AM31" s="656"/>
      <c r="AO31" s="1" t="n">
        <f aca="true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="1" customFormat="true" ht="12.75" hidden="false" customHeight="false" outlineLevel="0" collapsed="false">
      <c r="A32" s="1" t="n">
        <f aca="false">ORÇAMENTO!C32</f>
        <v>3</v>
      </c>
      <c r="B32" s="1" t="n">
        <f aca="false">ORÇAMENTO!D32</f>
        <v>5</v>
      </c>
      <c r="C32" s="199" t="str">
        <f aca="false">IF(OR($I32&gt;0,$A32=1,$A32=2,$A32=3,$A32=4),"F","")</f>
        <v>F</v>
      </c>
      <c r="D32" s="202" t="str">
        <f aca="false">ORÇAMENTO!O32</f>
        <v>1.3.3.</v>
      </c>
      <c r="E32" s="346" t="str">
        <f aca="false">ORÇAMENTO.Descricao</f>
        <v>Sistema de águas pluviais</v>
      </c>
      <c r="F32" s="347" t="str">
        <f aca="true">IF(RegimeExecucao="Global","",ORÇAMENTO.Unidade)</f>
        <v/>
      </c>
      <c r="G32" s="207" t="str">
        <f aca="true">IF(RegimeExecucao="Global","",ORÇAMENTO!T32)</f>
        <v/>
      </c>
      <c r="H32" s="207" t="str">
        <f aca="true">IF(RegimeExecucao="Global","",ORÇAMENTO!W32)</f>
        <v/>
      </c>
      <c r="I32" s="210" t="n">
        <f aca="false">ORÇAMENTO!X32</f>
        <v>0</v>
      </c>
      <c r="J32" s="652" t="e">
        <f aca="false" t="array" ref="J32:J32">_xlfn.single(IF($A32="S",IF(CAIXA.Modo,BM.AFAnterior,BM.MEDAnterior),IF(AND(_xlfn.single(RegimeExecucao)="Global",$I32&gt;0,COUNTIF($AB$13:$AM$13,BM.medicao-1)&gt;0),M32/$I32*100,0)))</f>
        <v>#NAME?</v>
      </c>
      <c r="K32" s="207" t="e">
        <f aca="false">L32-J32</f>
        <v>#NAME?</v>
      </c>
      <c r="L32" s="653" t="e">
        <f aca="false" t="array" ref="L32:L32">_xlfn.single(IF($A32="S",IF(CAIXA.Modo,BM.AFAcumulado,BM.MEDAcumulado),IF(AND(_xlfn.single(RegimeExecucao)="Global",$I32&gt;0,COUNTIF($AB$13:$AM$13,BM.medicao)&gt;0),O32/$I32*100,0)))</f>
        <v>#NAME?</v>
      </c>
      <c r="M32" s="654" t="n">
        <f aca="true">IF($A32="S",VTOTALBM,IF($A32=0,0,ROUND(SomaAgrupBM,15-13*ORÇAMENTO!$AF$11)))</f>
        <v>0</v>
      </c>
      <c r="N32" s="219" t="n">
        <f aca="false">O32-M32</f>
        <v>0</v>
      </c>
      <c r="O32" s="210" t="n">
        <f aca="true">IF($A32="S",VTOTALBM,IF($A32=0,0,ROUND(SomaAgrupBM,15-13*ORÇAMENTO!$AF$11)))</f>
        <v>0</v>
      </c>
      <c r="Q32" s="655"/>
      <c r="R32" s="656"/>
      <c r="T32" s="202" t="str">
        <f aca="false">IF($W32&gt;0,$D32,"")</f>
        <v/>
      </c>
      <c r="U32" s="346" t="str">
        <f aca="false">IF($W32&gt;0,$E32,"")</f>
        <v/>
      </c>
      <c r="V32" s="347" t="str">
        <f aca="true">IF(AND($W32&gt;0,RegimeExecucao="Unitário"),$F32,"")</f>
        <v/>
      </c>
      <c r="W32" s="657" t="n">
        <f aca="true">IF($Y32&gt;0,CHOOSE(MATCH(RegimeExecucao,{"Unitário","Global"},0),IF($A32="S",$Y32/$X32,""),($Y32/$X32)*100),0)</f>
        <v>0</v>
      </c>
      <c r="X32" s="658" t="str">
        <f aca="true">IF($Y32&gt;0,CHOOSE(MATCH(RegimeExecucao,{"Unitário","Global"},0),IF($A32="S",ROUND($H32,ORÇAMENTO!$AF$10),""),ROUND($I32,ORÇAMENTO!$AF$11)),"")</f>
        <v/>
      </c>
      <c r="Y32" s="658" t="n">
        <f aca="false">AO32-O32</f>
        <v>0</v>
      </c>
      <c r="Z32" s="659"/>
      <c r="AB32" s="655"/>
      <c r="AC32" s="660"/>
      <c r="AD32" s="660"/>
      <c r="AE32" s="660"/>
      <c r="AF32" s="660"/>
      <c r="AG32" s="660"/>
      <c r="AH32" s="660"/>
      <c r="AI32" s="660"/>
      <c r="AJ32" s="660"/>
      <c r="AK32" s="660"/>
      <c r="AL32" s="660"/>
      <c r="AM32" s="656"/>
      <c r="AO32" s="1" t="n">
        <f aca="true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="1" customFormat="true" ht="38.25" hidden="false" customHeight="false" outlineLevel="0" collapsed="false">
      <c r="A33" s="1" t="str">
        <f aca="false">ORÇAMENTO!C33</f>
        <v>S</v>
      </c>
      <c r="B33" s="1" t="n">
        <f aca="false">ORÇAMENTO!D33</f>
        <v>0</v>
      </c>
      <c r="C33" s="199" t="str">
        <f aca="false">IF(OR($I33&gt;0,$A33=1,$A33=2,$A33=3,$A33=4),"F","")</f>
        <v/>
      </c>
      <c r="D33" s="202" t="str">
        <f aca="false">ORÇAMENTO!O33</f>
        <v>-</v>
      </c>
      <c r="E33" s="346" t="str">
        <f aca="false">ORÇAMENTO.Descricao</f>
        <v>(abra o arquivo 'Referência 09-2025.xlsm)</v>
      </c>
      <c r="F33" s="347" t="str">
        <f aca="true">IF(RegimeExecucao="Global","",ORÇAMENTO.Unidade)</f>
        <v/>
      </c>
      <c r="G33" s="207" t="str">
        <f aca="true">IF(RegimeExecucao="Global","",ORÇAMENTO!T33)</f>
        <v/>
      </c>
      <c r="H33" s="207" t="str">
        <f aca="true">IF(RegimeExecucao="Global","",ORÇAMENTO!W33)</f>
        <v/>
      </c>
      <c r="I33" s="210" t="n">
        <f aca="false">ORÇAMENTO!X33</f>
        <v>0</v>
      </c>
      <c r="J33" s="652" t="e">
        <f aca="false" t="array" ref="J33:J33">_xlfn.single(IF($A33="S",IF(CAIXA.Modo,BM.AFAnterior,BM.MEDAnterior),IF(AND(_xlfn.single(RegimeExecucao)="Global",$I33&gt;0,COUNTIF($AB$13:$AM$13,BM.medicao-1)&gt;0),M33/$I33*100,0)))</f>
        <v>#NAME?</v>
      </c>
      <c r="K33" s="207" t="e">
        <f aca="false">L33-J33</f>
        <v>#NAME?</v>
      </c>
      <c r="L33" s="653" t="e">
        <f aca="false" t="array" ref="L33:L33">_xlfn.single(IF($A33="S",IF(CAIXA.Modo,BM.AFAcumulado,BM.MEDAcumulado),IF(AND(_xlfn.single(RegimeExecucao)="Global",$I33&gt;0,COUNTIF($AB$13:$AM$13,BM.medicao)&gt;0),O33/$I33*100,0)))</f>
        <v>#NAME?</v>
      </c>
      <c r="M33" s="654" t="n">
        <f aca="true">IF($A33="S",VTOTALBM,IF($A33=0,0,ROUND(SomaAgrupBM,15-13*ORÇAMENTO!$AF$11)))</f>
        <v>0</v>
      </c>
      <c r="N33" s="219" t="n">
        <f aca="false">O33-M33</f>
        <v>0</v>
      </c>
      <c r="O33" s="210" t="n">
        <f aca="true">IF($A33="S",VTOTALBM,IF($A33=0,0,ROUND(SomaAgrupBM,15-13*ORÇAMENTO!$AF$11)))</f>
        <v>0</v>
      </c>
      <c r="Q33" s="655"/>
      <c r="R33" s="656"/>
      <c r="T33" s="202" t="str">
        <f aca="false">IF($W33&gt;0,$D33,"")</f>
        <v/>
      </c>
      <c r="U33" s="346" t="str">
        <f aca="false">IF($W33&gt;0,$E33,"")</f>
        <v/>
      </c>
      <c r="V33" s="347" t="str">
        <f aca="true">IF(AND($W33&gt;0,RegimeExecucao="Unitário"),$F33,"")</f>
        <v/>
      </c>
      <c r="W33" s="657" t="n">
        <f aca="true">IF($Y33&gt;0,CHOOSE(MATCH(RegimeExecucao,{"Unitário","Global"},0),IF($A33="S",$Y33/$X33,""),($Y33/$X33)*100),0)</f>
        <v>0</v>
      </c>
      <c r="X33" s="658" t="str">
        <f aca="true">IF($Y33&gt;0,CHOOSE(MATCH(RegimeExecucao,{"Unitário","Global"},0),IF($A33="S",ROUND($H33,ORÇAMENTO!$AF$10),""),ROUND($I33,ORÇAMENTO!$AF$11)),"")</f>
        <v/>
      </c>
      <c r="Y33" s="658" t="n">
        <f aca="false">AO33-O33</f>
        <v>0</v>
      </c>
      <c r="Z33" s="659"/>
      <c r="AB33" s="655"/>
      <c r="AC33" s="660"/>
      <c r="AD33" s="660"/>
      <c r="AE33" s="660"/>
      <c r="AF33" s="660"/>
      <c r="AG33" s="660"/>
      <c r="AH33" s="660"/>
      <c r="AI33" s="660"/>
      <c r="AJ33" s="660"/>
      <c r="AK33" s="660"/>
      <c r="AL33" s="660"/>
      <c r="AM33" s="656"/>
      <c r="AO33" s="1" t="n">
        <f aca="true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="1" customFormat="true" ht="38.25" hidden="false" customHeight="false" outlineLevel="0" collapsed="false">
      <c r="A34" s="1" t="str">
        <f aca="false">ORÇAMENTO!C34</f>
        <v>S</v>
      </c>
      <c r="B34" s="1" t="n">
        <f aca="false">ORÇAMENTO!D34</f>
        <v>0</v>
      </c>
      <c r="C34" s="199" t="str">
        <f aca="false">IF(OR($I34&gt;0,$A34=1,$A34=2,$A34=3,$A34=4),"F","")</f>
        <v/>
      </c>
      <c r="D34" s="202" t="str">
        <f aca="false">ORÇAMENTO!O34</f>
        <v>-</v>
      </c>
      <c r="E34" s="346" t="str">
        <f aca="false">ORÇAMENTO.Descricao</f>
        <v>(abra o arquivo 'Referência 09-2025.xlsm)</v>
      </c>
      <c r="F34" s="347" t="str">
        <f aca="true">IF(RegimeExecucao="Global","",ORÇAMENTO.Unidade)</f>
        <v/>
      </c>
      <c r="G34" s="207" t="str">
        <f aca="true">IF(RegimeExecucao="Global","",ORÇAMENTO!T34)</f>
        <v/>
      </c>
      <c r="H34" s="207" t="str">
        <f aca="true">IF(RegimeExecucao="Global","",ORÇAMENTO!W34)</f>
        <v/>
      </c>
      <c r="I34" s="210" t="n">
        <f aca="false">ORÇAMENTO!X34</f>
        <v>0</v>
      </c>
      <c r="J34" s="652" t="e">
        <f aca="false" t="array" ref="J34:J34">_xlfn.single(IF($A34="S",IF(CAIXA.Modo,BM.AFAnterior,BM.MEDAnterior),IF(AND(_xlfn.single(RegimeExecucao)="Global",$I34&gt;0,COUNTIF($AB$13:$AM$13,BM.medicao-1)&gt;0),M34/$I34*100,0)))</f>
        <v>#NAME?</v>
      </c>
      <c r="K34" s="207" t="e">
        <f aca="false">L34-J34</f>
        <v>#NAME?</v>
      </c>
      <c r="L34" s="653" t="e">
        <f aca="false" t="array" ref="L34:L34">_xlfn.single(IF($A34="S",IF(CAIXA.Modo,BM.AFAcumulado,BM.MEDAcumulado),IF(AND(_xlfn.single(RegimeExecucao)="Global",$I34&gt;0,COUNTIF($AB$13:$AM$13,BM.medicao)&gt;0),O34/$I34*100,0)))</f>
        <v>#NAME?</v>
      </c>
      <c r="M34" s="654" t="n">
        <f aca="true">IF($A34="S",VTOTALBM,IF($A34=0,0,ROUND(SomaAgrupBM,15-13*ORÇAMENTO!$AF$11)))</f>
        <v>0</v>
      </c>
      <c r="N34" s="219" t="n">
        <f aca="false">O34-M34</f>
        <v>0</v>
      </c>
      <c r="O34" s="210" t="n">
        <f aca="true">IF($A34="S",VTOTALBM,IF($A34=0,0,ROUND(SomaAgrupBM,15-13*ORÇAMENTO!$AF$11)))</f>
        <v>0</v>
      </c>
      <c r="Q34" s="655"/>
      <c r="R34" s="656"/>
      <c r="T34" s="202" t="str">
        <f aca="false">IF($W34&gt;0,$D34,"")</f>
        <v/>
      </c>
      <c r="U34" s="346" t="str">
        <f aca="false">IF($W34&gt;0,$E34,"")</f>
        <v/>
      </c>
      <c r="V34" s="347" t="str">
        <f aca="true">IF(AND($W34&gt;0,RegimeExecucao="Unitário"),$F34,"")</f>
        <v/>
      </c>
      <c r="W34" s="657" t="n">
        <f aca="true">IF($Y34&gt;0,CHOOSE(MATCH(RegimeExecucao,{"Unitário","Global"},0),IF($A34="S",$Y34/$X34,""),($Y34/$X34)*100),0)</f>
        <v>0</v>
      </c>
      <c r="X34" s="658" t="str">
        <f aca="true">IF($Y34&gt;0,CHOOSE(MATCH(RegimeExecucao,{"Unitário","Global"},0),IF($A34="S",ROUND($H34,ORÇAMENTO!$AF$10),""),ROUND($I34,ORÇAMENTO!$AF$11)),"")</f>
        <v/>
      </c>
      <c r="Y34" s="658" t="n">
        <f aca="false">AO34-O34</f>
        <v>0</v>
      </c>
      <c r="Z34" s="659"/>
      <c r="AB34" s="655"/>
      <c r="AC34" s="660"/>
      <c r="AD34" s="660"/>
      <c r="AE34" s="660"/>
      <c r="AF34" s="660"/>
      <c r="AG34" s="660"/>
      <c r="AH34" s="660"/>
      <c r="AI34" s="660"/>
      <c r="AJ34" s="660"/>
      <c r="AK34" s="660"/>
      <c r="AL34" s="660"/>
      <c r="AM34" s="656"/>
      <c r="AO34" s="1" t="n">
        <f aca="true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="1" customFormat="true" ht="51" hidden="false" customHeight="false" outlineLevel="0" collapsed="false">
      <c r="A35" s="1" t="str">
        <f aca="false">ORÇAMENTO!C35</f>
        <v>S</v>
      </c>
      <c r="B35" s="1" t="n">
        <f aca="false">ORÇAMENTO!D35</f>
        <v>0</v>
      </c>
      <c r="C35" s="199" t="str">
        <f aca="false">IF(OR($I35&gt;0,$A35=1,$A35=2,$A35=3,$A35=4),"F","")</f>
        <v/>
      </c>
      <c r="D35" s="202" t="str">
        <f aca="false">ORÇAMENTO!O35</f>
        <v>-</v>
      </c>
      <c r="E35" s="346" t="str">
        <f aca="false">ORÇAMENTO.Descricao</f>
        <v>(abra o arquivo 'Referência 09-2025.xlsm)</v>
      </c>
      <c r="F35" s="347" t="str">
        <f aca="true">IF(RegimeExecucao="Global","",ORÇAMENTO.Unidade)</f>
        <v/>
      </c>
      <c r="G35" s="207" t="str">
        <f aca="true">IF(RegimeExecucao="Global","",ORÇAMENTO!T35)</f>
        <v/>
      </c>
      <c r="H35" s="207" t="str">
        <f aca="true">IF(RegimeExecucao="Global","",ORÇAMENTO!W35)</f>
        <v/>
      </c>
      <c r="I35" s="210" t="n">
        <f aca="false">ORÇAMENTO!X35</f>
        <v>0</v>
      </c>
      <c r="J35" s="652" t="e">
        <f aca="false" t="array" ref="J35:J35">_xlfn.single(IF($A35="S",IF(CAIXA.Modo,BM.AFAnterior,BM.MEDAnterior),IF(AND(_xlfn.single(RegimeExecucao)="Global",$I35&gt;0,COUNTIF($AB$13:$AM$13,BM.medicao-1)&gt;0),M35/$I35*100,0)))</f>
        <v>#NAME?</v>
      </c>
      <c r="K35" s="207" t="e">
        <f aca="false">L35-J35</f>
        <v>#NAME?</v>
      </c>
      <c r="L35" s="653" t="e">
        <f aca="false" t="array" ref="L35:L35">_xlfn.single(IF($A35="S",IF(CAIXA.Modo,BM.AFAcumulado,BM.MEDAcumulado),IF(AND(_xlfn.single(RegimeExecucao)="Global",$I35&gt;0,COUNTIF($AB$13:$AM$13,BM.medicao)&gt;0),O35/$I35*100,0)))</f>
        <v>#NAME?</v>
      </c>
      <c r="M35" s="654" t="n">
        <f aca="true">IF($A35="S",VTOTALBM,IF($A35=0,0,ROUND(SomaAgrupBM,15-13*ORÇAMENTO!$AF$11)))</f>
        <v>0</v>
      </c>
      <c r="N35" s="219" t="n">
        <f aca="false">O35-M35</f>
        <v>0</v>
      </c>
      <c r="O35" s="210" t="n">
        <f aca="true">IF($A35="S",VTOTALBM,IF($A35=0,0,ROUND(SomaAgrupBM,15-13*ORÇAMENTO!$AF$11)))</f>
        <v>0</v>
      </c>
      <c r="Q35" s="655"/>
      <c r="R35" s="656"/>
      <c r="T35" s="202" t="str">
        <f aca="false">IF($W35&gt;0,$D35,"")</f>
        <v/>
      </c>
      <c r="U35" s="346" t="str">
        <f aca="false">IF($W35&gt;0,$E35,"")</f>
        <v/>
      </c>
      <c r="V35" s="347" t="str">
        <f aca="true">IF(AND($W35&gt;0,RegimeExecucao="Unitário"),$F35,"")</f>
        <v/>
      </c>
      <c r="W35" s="657" t="n">
        <f aca="true">IF($Y35&gt;0,CHOOSE(MATCH(RegimeExecucao,{"Unitário","Global"},0),IF($A35="S",$Y35/$X35,""),($Y35/$X35)*100),0)</f>
        <v>0</v>
      </c>
      <c r="X35" s="658" t="str">
        <f aca="true">IF($Y35&gt;0,CHOOSE(MATCH(RegimeExecucao,{"Unitário","Global"},0),IF($A35="S",ROUND($H35,ORÇAMENTO!$AF$10),""),ROUND($I35,ORÇAMENTO!$AF$11)),"")</f>
        <v/>
      </c>
      <c r="Y35" s="658" t="n">
        <f aca="false">AO35-O35</f>
        <v>0</v>
      </c>
      <c r="Z35" s="659"/>
      <c r="AB35" s="655"/>
      <c r="AC35" s="660"/>
      <c r="AD35" s="660"/>
      <c r="AE35" s="660"/>
      <c r="AF35" s="660"/>
      <c r="AG35" s="660"/>
      <c r="AH35" s="660"/>
      <c r="AI35" s="660"/>
      <c r="AJ35" s="660"/>
      <c r="AK35" s="660"/>
      <c r="AL35" s="660"/>
      <c r="AM35" s="656"/>
      <c r="AO35" s="1" t="n">
        <f aca="true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="1" customFormat="true" ht="38.25" hidden="false" customHeight="false" outlineLevel="0" collapsed="false">
      <c r="A36" s="1" t="str">
        <f aca="false">ORÇAMENTO!C36</f>
        <v>S</v>
      </c>
      <c r="B36" s="1" t="n">
        <f aca="false">ORÇAMENTO!D36</f>
        <v>0</v>
      </c>
      <c r="C36" s="199" t="str">
        <f aca="false">IF(OR($I36&gt;0,$A36=1,$A36=2,$A36=3,$A36=4),"F","")</f>
        <v/>
      </c>
      <c r="D36" s="202" t="str">
        <f aca="false">ORÇAMENTO!O36</f>
        <v>-</v>
      </c>
      <c r="E36" s="346" t="str">
        <f aca="false">ORÇAMENTO.Descricao</f>
        <v>(abra o arquivo 'Referência 09-2025.xlsm)</v>
      </c>
      <c r="F36" s="347" t="str">
        <f aca="true">IF(RegimeExecucao="Global","",ORÇAMENTO.Unidade)</f>
        <v/>
      </c>
      <c r="G36" s="207" t="str">
        <f aca="true">IF(RegimeExecucao="Global","",ORÇAMENTO!T36)</f>
        <v/>
      </c>
      <c r="H36" s="207" t="str">
        <f aca="true">IF(RegimeExecucao="Global","",ORÇAMENTO!W36)</f>
        <v/>
      </c>
      <c r="I36" s="210" t="n">
        <f aca="false">ORÇAMENTO!X36</f>
        <v>0</v>
      </c>
      <c r="J36" s="652" t="e">
        <f aca="false" t="array" ref="J36:J36">_xlfn.single(IF($A36="S",IF(CAIXA.Modo,BM.AFAnterior,BM.MEDAnterior),IF(AND(_xlfn.single(RegimeExecucao)="Global",$I36&gt;0,COUNTIF($AB$13:$AM$13,BM.medicao-1)&gt;0),M36/$I36*100,0)))</f>
        <v>#NAME?</v>
      </c>
      <c r="K36" s="207" t="e">
        <f aca="false">L36-J36</f>
        <v>#NAME?</v>
      </c>
      <c r="L36" s="653" t="e">
        <f aca="false" t="array" ref="L36:L36">_xlfn.single(IF($A36="S",IF(CAIXA.Modo,BM.AFAcumulado,BM.MEDAcumulado),IF(AND(_xlfn.single(RegimeExecucao)="Global",$I36&gt;0,COUNTIF($AB$13:$AM$13,BM.medicao)&gt;0),O36/$I36*100,0)))</f>
        <v>#NAME?</v>
      </c>
      <c r="M36" s="654" t="n">
        <f aca="true">IF($A36="S",VTOTALBM,IF($A36=0,0,ROUND(SomaAgrupBM,15-13*ORÇAMENTO!$AF$11)))</f>
        <v>0</v>
      </c>
      <c r="N36" s="219" t="n">
        <f aca="false">O36-M36</f>
        <v>0</v>
      </c>
      <c r="O36" s="210" t="n">
        <f aca="true">IF($A36="S",VTOTALBM,IF($A36=0,0,ROUND(SomaAgrupBM,15-13*ORÇAMENTO!$AF$11)))</f>
        <v>0</v>
      </c>
      <c r="Q36" s="655"/>
      <c r="R36" s="656"/>
      <c r="T36" s="202" t="str">
        <f aca="false">IF($W36&gt;0,$D36,"")</f>
        <v/>
      </c>
      <c r="U36" s="346" t="str">
        <f aca="false">IF($W36&gt;0,$E36,"")</f>
        <v/>
      </c>
      <c r="V36" s="347" t="str">
        <f aca="true">IF(AND($W36&gt;0,RegimeExecucao="Unitário"),$F36,"")</f>
        <v/>
      </c>
      <c r="W36" s="657" t="n">
        <f aca="true">IF($Y36&gt;0,CHOOSE(MATCH(RegimeExecucao,{"Unitário","Global"},0),IF($A36="S",$Y36/$X36,""),($Y36/$X36)*100),0)</f>
        <v>0</v>
      </c>
      <c r="X36" s="658" t="str">
        <f aca="true">IF($Y36&gt;0,CHOOSE(MATCH(RegimeExecucao,{"Unitário","Global"},0),IF($A36="S",ROUND($H36,ORÇAMENTO!$AF$10),""),ROUND($I36,ORÇAMENTO!$AF$11)),"")</f>
        <v/>
      </c>
      <c r="Y36" s="658" t="n">
        <f aca="false">AO36-O36</f>
        <v>0</v>
      </c>
      <c r="Z36" s="659"/>
      <c r="AB36" s="655"/>
      <c r="AC36" s="660"/>
      <c r="AD36" s="660"/>
      <c r="AE36" s="660"/>
      <c r="AF36" s="660"/>
      <c r="AG36" s="660"/>
      <c r="AH36" s="660"/>
      <c r="AI36" s="660"/>
      <c r="AJ36" s="660"/>
      <c r="AK36" s="660"/>
      <c r="AL36" s="660"/>
      <c r="AM36" s="656"/>
      <c r="AO36" s="1" t="n">
        <f aca="true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="1" customFormat="true" ht="12.75" hidden="false" customHeight="false" outlineLevel="0" collapsed="false">
      <c r="A37" s="1" t="n">
        <f aca="false">ORÇAMENTO!C37</f>
        <v>3</v>
      </c>
      <c r="B37" s="1" t="n">
        <f aca="false">ORÇAMENTO!D37</f>
        <v>3</v>
      </c>
      <c r="C37" s="199" t="str">
        <f aca="false">IF(OR($I37&gt;0,$A37=1,$A37=2,$A37=3,$A37=4),"F","")</f>
        <v>F</v>
      </c>
      <c r="D37" s="202" t="str">
        <f aca="false">ORÇAMENTO!O37</f>
        <v>1.3.4.</v>
      </c>
      <c r="E37" s="346" t="str">
        <f aca="false">ORÇAMENTO.Descricao</f>
        <v>Forro Parte B</v>
      </c>
      <c r="F37" s="347" t="str">
        <f aca="true">IF(RegimeExecucao="Global","",ORÇAMENTO.Unidade)</f>
        <v/>
      </c>
      <c r="G37" s="207" t="str">
        <f aca="true">IF(RegimeExecucao="Global","",ORÇAMENTO!T37)</f>
        <v/>
      </c>
      <c r="H37" s="207" t="str">
        <f aca="true">IF(RegimeExecucao="Global","",ORÇAMENTO!W37)</f>
        <v/>
      </c>
      <c r="I37" s="210" t="n">
        <f aca="false">ORÇAMENTO!X37</f>
        <v>0</v>
      </c>
      <c r="J37" s="652" t="e">
        <f aca="false" t="array" ref="J37:J37">_xlfn.single(IF($A37="S",IF(CAIXA.Modo,BM.AFAnterior,BM.MEDAnterior),IF(AND(_xlfn.single(RegimeExecucao)="Global",$I37&gt;0,COUNTIF($AB$13:$AM$13,BM.medicao-1)&gt;0),M37/$I37*100,0)))</f>
        <v>#NAME?</v>
      </c>
      <c r="K37" s="207" t="e">
        <f aca="false">L37-J37</f>
        <v>#NAME?</v>
      </c>
      <c r="L37" s="653" t="e">
        <f aca="false" t="array" ref="L37:L37">_xlfn.single(IF($A37="S",IF(CAIXA.Modo,BM.AFAcumulado,BM.MEDAcumulado),IF(AND(_xlfn.single(RegimeExecucao)="Global",$I37&gt;0,COUNTIF($AB$13:$AM$13,BM.medicao)&gt;0),O37/$I37*100,0)))</f>
        <v>#NAME?</v>
      </c>
      <c r="M37" s="654" t="n">
        <f aca="true">IF($A37="S",VTOTALBM,IF($A37=0,0,ROUND(SomaAgrupBM,15-13*ORÇAMENTO!$AF$11)))</f>
        <v>0</v>
      </c>
      <c r="N37" s="219" t="n">
        <f aca="false">O37-M37</f>
        <v>0</v>
      </c>
      <c r="O37" s="210" t="n">
        <f aca="true">IF($A37="S",VTOTALBM,IF($A37=0,0,ROUND(SomaAgrupBM,15-13*ORÇAMENTO!$AF$11)))</f>
        <v>0</v>
      </c>
      <c r="Q37" s="655"/>
      <c r="R37" s="656"/>
      <c r="T37" s="202" t="str">
        <f aca="false">IF($W37&gt;0,$D37,"")</f>
        <v/>
      </c>
      <c r="U37" s="346" t="str">
        <f aca="false">IF($W37&gt;0,$E37,"")</f>
        <v/>
      </c>
      <c r="V37" s="347" t="str">
        <f aca="true">IF(AND($W37&gt;0,RegimeExecucao="Unitário"),$F37,"")</f>
        <v/>
      </c>
      <c r="W37" s="657" t="n">
        <f aca="true">IF($Y37&gt;0,CHOOSE(MATCH(RegimeExecucao,{"Unitário","Global"},0),IF($A37="S",$Y37/$X37,""),($Y37/$X37)*100),0)</f>
        <v>0</v>
      </c>
      <c r="X37" s="658" t="str">
        <f aca="true">IF($Y37&gt;0,CHOOSE(MATCH(RegimeExecucao,{"Unitário","Global"},0),IF($A37="S",ROUND($H37,ORÇAMENTO!$AF$10),""),ROUND($I37,ORÇAMENTO!$AF$11)),"")</f>
        <v/>
      </c>
      <c r="Y37" s="658" t="n">
        <f aca="false">AO37-O37</f>
        <v>0</v>
      </c>
      <c r="Z37" s="659"/>
      <c r="AB37" s="655"/>
      <c r="AC37" s="660"/>
      <c r="AD37" s="660"/>
      <c r="AE37" s="660"/>
      <c r="AF37" s="660"/>
      <c r="AG37" s="660"/>
      <c r="AH37" s="660"/>
      <c r="AI37" s="660"/>
      <c r="AJ37" s="660"/>
      <c r="AK37" s="660"/>
      <c r="AL37" s="660"/>
      <c r="AM37" s="656"/>
      <c r="AO37" s="1" t="n">
        <f aca="true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="1" customFormat="true" ht="25.5" hidden="false" customHeight="false" outlineLevel="0" collapsed="false">
      <c r="A38" s="1" t="str">
        <f aca="false">ORÇAMENTO!C38</f>
        <v>S</v>
      </c>
      <c r="B38" s="1" t="n">
        <f aca="false">ORÇAMENTO!D38</f>
        <v>0</v>
      </c>
      <c r="C38" s="199" t="str">
        <f aca="false">IF(OR($I38&gt;0,$A38=1,$A38=2,$A38=3,$A38=4),"F","")</f>
        <v/>
      </c>
      <c r="D38" s="202" t="str">
        <f aca="false">ORÇAMENTO!O38</f>
        <v>-</v>
      </c>
      <c r="E38" s="346" t="str">
        <f aca="false">ORÇAMENTO.Descricao</f>
        <v>(abra o arquivo 'Referência 09-2025.xlsm)</v>
      </c>
      <c r="F38" s="347" t="str">
        <f aca="true">IF(RegimeExecucao="Global","",ORÇAMENTO.Unidade)</f>
        <v/>
      </c>
      <c r="G38" s="207" t="str">
        <f aca="true">IF(RegimeExecucao="Global","",ORÇAMENTO!T38)</f>
        <v/>
      </c>
      <c r="H38" s="207" t="str">
        <f aca="true">IF(RegimeExecucao="Global","",ORÇAMENTO!W38)</f>
        <v/>
      </c>
      <c r="I38" s="210" t="n">
        <f aca="false">ORÇAMENTO!X38</f>
        <v>0</v>
      </c>
      <c r="J38" s="652" t="e">
        <f aca="false" t="array" ref="J38:J38">_xlfn.single(IF($A38="S",IF(CAIXA.Modo,BM.AFAnterior,BM.MEDAnterior),IF(AND(_xlfn.single(RegimeExecucao)="Global",$I38&gt;0,COUNTIF($AB$13:$AM$13,BM.medicao-1)&gt;0),M38/$I38*100,0)))</f>
        <v>#NAME?</v>
      </c>
      <c r="K38" s="207" t="e">
        <f aca="false">L38-J38</f>
        <v>#NAME?</v>
      </c>
      <c r="L38" s="653" t="e">
        <f aca="false" t="array" ref="L38:L38">_xlfn.single(IF($A38="S",IF(CAIXA.Modo,BM.AFAcumulado,BM.MEDAcumulado),IF(AND(_xlfn.single(RegimeExecucao)="Global",$I38&gt;0,COUNTIF($AB$13:$AM$13,BM.medicao)&gt;0),O38/$I38*100,0)))</f>
        <v>#NAME?</v>
      </c>
      <c r="M38" s="654" t="n">
        <f aca="true">IF($A38="S",VTOTALBM,IF($A38=0,0,ROUND(SomaAgrupBM,15-13*ORÇAMENTO!$AF$11)))</f>
        <v>0</v>
      </c>
      <c r="N38" s="219" t="n">
        <f aca="false">O38-M38</f>
        <v>0</v>
      </c>
      <c r="O38" s="210" t="n">
        <f aca="true">IF($A38="S",VTOTALBM,IF($A38=0,0,ROUND(SomaAgrupBM,15-13*ORÇAMENTO!$AF$11)))</f>
        <v>0</v>
      </c>
      <c r="Q38" s="655"/>
      <c r="R38" s="656"/>
      <c r="T38" s="202" t="str">
        <f aca="false">IF($W38&gt;0,$D38,"")</f>
        <v/>
      </c>
      <c r="U38" s="346" t="str">
        <f aca="false">IF($W38&gt;0,$E38,"")</f>
        <v/>
      </c>
      <c r="V38" s="347" t="str">
        <f aca="true">IF(AND($W38&gt;0,RegimeExecucao="Unitário"),$F38,"")</f>
        <v/>
      </c>
      <c r="W38" s="657" t="n">
        <f aca="true">IF($Y38&gt;0,CHOOSE(MATCH(RegimeExecucao,{"Unitário","Global"},0),IF($A38="S",$Y38/$X38,""),($Y38/$X38)*100),0)</f>
        <v>0</v>
      </c>
      <c r="X38" s="658" t="str">
        <f aca="true">IF($Y38&gt;0,CHOOSE(MATCH(RegimeExecucao,{"Unitário","Global"},0),IF($A38="S",ROUND($H38,ORÇAMENTO!$AF$10),""),ROUND($I38,ORÇAMENTO!$AF$11)),"")</f>
        <v/>
      </c>
      <c r="Y38" s="658" t="n">
        <f aca="false">AO38-O38</f>
        <v>0</v>
      </c>
      <c r="Z38" s="659"/>
      <c r="AB38" s="655"/>
      <c r="AC38" s="660"/>
      <c r="AD38" s="660"/>
      <c r="AE38" s="660"/>
      <c r="AF38" s="660"/>
      <c r="AG38" s="660"/>
      <c r="AH38" s="660"/>
      <c r="AI38" s="660"/>
      <c r="AJ38" s="660"/>
      <c r="AK38" s="660"/>
      <c r="AL38" s="660"/>
      <c r="AM38" s="656"/>
      <c r="AO38" s="1" t="n">
        <f aca="true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="1" customFormat="true" ht="25.5" hidden="false" customHeight="false" outlineLevel="0" collapsed="false">
      <c r="A39" s="1" t="str">
        <f aca="false">ORÇAMENTO!C39</f>
        <v>S</v>
      </c>
      <c r="B39" s="1" t="n">
        <f aca="false">ORÇAMENTO!D39</f>
        <v>0</v>
      </c>
      <c r="C39" s="199" t="str">
        <f aca="false">IF(OR($I39&gt;0,$A39=1,$A39=2,$A39=3,$A39=4),"F","")</f>
        <v/>
      </c>
      <c r="D39" s="202" t="str">
        <f aca="false">ORÇAMENTO!O39</f>
        <v>-</v>
      </c>
      <c r="E39" s="346" t="str">
        <f aca="false">ORÇAMENTO.Descricao</f>
        <v>(abra o arquivo 'Referência 09-2025.xlsm)</v>
      </c>
      <c r="F39" s="347" t="str">
        <f aca="true">IF(RegimeExecucao="Global","",ORÇAMENTO.Unidade)</f>
        <v/>
      </c>
      <c r="G39" s="207" t="str">
        <f aca="true">IF(RegimeExecucao="Global","",ORÇAMENTO!T39)</f>
        <v/>
      </c>
      <c r="H39" s="207" t="str">
        <f aca="true">IF(RegimeExecucao="Global","",ORÇAMENTO!W39)</f>
        <v/>
      </c>
      <c r="I39" s="210" t="n">
        <f aca="false">ORÇAMENTO!X39</f>
        <v>0</v>
      </c>
      <c r="J39" s="652" t="e">
        <f aca="false" t="array" ref="J39:J39">_xlfn.single(IF($A39="S",IF(CAIXA.Modo,BM.AFAnterior,BM.MEDAnterior),IF(AND(_xlfn.single(RegimeExecucao)="Global",$I39&gt;0,COUNTIF($AB$13:$AM$13,BM.medicao-1)&gt;0),M39/$I39*100,0)))</f>
        <v>#NAME?</v>
      </c>
      <c r="K39" s="207" t="e">
        <f aca="false">L39-J39</f>
        <v>#NAME?</v>
      </c>
      <c r="L39" s="653" t="e">
        <f aca="false" t="array" ref="L39:L39">_xlfn.single(IF($A39="S",IF(CAIXA.Modo,BM.AFAcumulado,BM.MEDAcumulado),IF(AND(_xlfn.single(RegimeExecucao)="Global",$I39&gt;0,COUNTIF($AB$13:$AM$13,BM.medicao)&gt;0),O39/$I39*100,0)))</f>
        <v>#NAME?</v>
      </c>
      <c r="M39" s="654" t="n">
        <f aca="true">IF($A39="S",VTOTALBM,IF($A39=0,0,ROUND(SomaAgrupBM,15-13*ORÇAMENTO!$AF$11)))</f>
        <v>0</v>
      </c>
      <c r="N39" s="219" t="n">
        <f aca="false">O39-M39</f>
        <v>0</v>
      </c>
      <c r="O39" s="210" t="n">
        <f aca="true">IF($A39="S",VTOTALBM,IF($A39=0,0,ROUND(SomaAgrupBM,15-13*ORÇAMENTO!$AF$11)))</f>
        <v>0</v>
      </c>
      <c r="Q39" s="655"/>
      <c r="R39" s="656"/>
      <c r="T39" s="202" t="str">
        <f aca="false">IF($W39&gt;0,$D39,"")</f>
        <v/>
      </c>
      <c r="U39" s="346" t="str">
        <f aca="false">IF($W39&gt;0,$E39,"")</f>
        <v/>
      </c>
      <c r="V39" s="347" t="str">
        <f aca="true">IF(AND($W39&gt;0,RegimeExecucao="Unitário"),$F39,"")</f>
        <v/>
      </c>
      <c r="W39" s="657" t="n">
        <f aca="true">IF($Y39&gt;0,CHOOSE(MATCH(RegimeExecucao,{"Unitário","Global"},0),IF($A39="S",$Y39/$X39,""),($Y39/$X39)*100),0)</f>
        <v>0</v>
      </c>
      <c r="X39" s="658" t="str">
        <f aca="true">IF($Y39&gt;0,CHOOSE(MATCH(RegimeExecucao,{"Unitário","Global"},0),IF($A39="S",ROUND($H39,ORÇAMENTO!$AF$10),""),ROUND($I39,ORÇAMENTO!$AF$11)),"")</f>
        <v/>
      </c>
      <c r="Y39" s="658" t="n">
        <f aca="false">AO39-O39</f>
        <v>0</v>
      </c>
      <c r="Z39" s="659"/>
      <c r="AB39" s="655"/>
      <c r="AC39" s="660"/>
      <c r="AD39" s="660"/>
      <c r="AE39" s="660"/>
      <c r="AF39" s="660"/>
      <c r="AG39" s="660"/>
      <c r="AH39" s="660"/>
      <c r="AI39" s="660"/>
      <c r="AJ39" s="660"/>
      <c r="AK39" s="660"/>
      <c r="AL39" s="660"/>
      <c r="AM39" s="656"/>
      <c r="AO39" s="1" t="n">
        <f aca="true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customFormat="false" ht="4.5" hidden="false" customHeight="true" outlineLevel="0" collapsed="false">
      <c r="C40" s="199" t="s">
        <v>551</v>
      </c>
      <c r="D40" s="242"/>
      <c r="E40" s="245"/>
      <c r="F40" s="245"/>
      <c r="G40" s="245"/>
      <c r="H40" s="245"/>
      <c r="I40" s="243"/>
      <c r="J40" s="242"/>
      <c r="K40" s="245"/>
      <c r="L40" s="243"/>
      <c r="M40" s="672"/>
      <c r="N40" s="673"/>
      <c r="O40" s="674"/>
      <c r="Q40" s="242"/>
      <c r="R40" s="243"/>
      <c r="T40" s="242"/>
      <c r="U40" s="245"/>
      <c r="V40" s="245"/>
      <c r="W40" s="245"/>
      <c r="X40" s="245"/>
      <c r="Y40" s="245"/>
      <c r="Z40" s="243"/>
      <c r="AB40" s="242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3"/>
    </row>
    <row r="42" customFormat="false" ht="14.25" hidden="false" customHeight="false" outlineLevel="0" collapsed="false">
      <c r="D42" s="675" t="s">
        <v>704</v>
      </c>
      <c r="E42" s="675"/>
      <c r="F42" s="675"/>
      <c r="G42" s="675"/>
      <c r="H42" s="675"/>
      <c r="I42" s="675"/>
      <c r="J42" s="675"/>
      <c r="K42" s="675"/>
      <c r="L42" s="675"/>
      <c r="M42" s="675"/>
      <c r="N42" s="675"/>
      <c r="O42" s="675"/>
      <c r="T42" s="676" t="s">
        <v>911</v>
      </c>
      <c r="U42" s="676"/>
      <c r="V42" s="676"/>
      <c r="W42" s="676"/>
      <c r="X42" s="676"/>
      <c r="Y42" s="676"/>
      <c r="Z42" s="676"/>
    </row>
    <row r="43" customFormat="false" ht="12.75" hidden="false" customHeight="true" outlineLevel="0" collapsed="false"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T43" s="677"/>
      <c r="U43" s="677"/>
      <c r="V43" s="677"/>
      <c r="W43" s="677"/>
      <c r="X43" s="677"/>
      <c r="Y43" s="677"/>
      <c r="Z43" s="677"/>
    </row>
    <row r="44" customFormat="false" ht="12.75" hidden="false" customHeight="true" outlineLevel="0" collapsed="false"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T44" s="677"/>
      <c r="U44" s="677"/>
      <c r="V44" s="677"/>
      <c r="W44" s="677"/>
      <c r="X44" s="677"/>
      <c r="Y44" s="677"/>
      <c r="Z44" s="677"/>
    </row>
    <row r="45" customFormat="false" ht="12.75" hidden="false" customHeight="true" outlineLevel="0" collapsed="false"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T45" s="677"/>
      <c r="U45" s="677"/>
      <c r="V45" s="677"/>
      <c r="W45" s="677"/>
      <c r="X45" s="677"/>
      <c r="Y45" s="677"/>
      <c r="Z45" s="677"/>
    </row>
    <row r="46" customFormat="false" ht="14.25" hidden="false" customHeight="false" outlineLevel="0" collapsed="false"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</row>
    <row r="47" customFormat="false" ht="15" hidden="false" customHeight="true" outlineLevel="0" collapsed="false">
      <c r="D47" s="252" t="str">
        <f aca="true">IF(OR(AND(ORÇAMENTO!$AF$7=FALSE(),ORÇAMENTO!$AF$10=FALSE(),RegimeExecucao="Global"),AND(ORÇAMENTO!$AF$7=FALSE(),ORÇAMENTO!$AF$10=FALSE(),ORÇAMENTO!$AF$11=FALSE(),BM!$A$9=FALSE())),"Não foi considerado arredondamento nos valores da planilha.",CONCATENATE("Foi considerado arredondamento de duas casas decimais para ",IF(AND(RegimeExecucao="Unitário",ORÇAMENTO!$AF$7=TRUE()),"Quantidade; ",""),IF(AND(RegimeExecucao="Unitário",ORÇAMENTO!$AF$10=TRUE()),"Preço unitário; ",""),IF(ORÇAMENTO!$AF$11=TRUE(),"Preço total; ",""),,IF(BM!$A$9=TRUE(),"Medição.","")))</f>
        <v>Não foi considerado arredondamento nos valores da planilha.</v>
      </c>
      <c r="E47" s="252"/>
      <c r="F47" s="252"/>
      <c r="G47" s="252"/>
      <c r="H47" s="252"/>
      <c r="I47" s="252"/>
      <c r="J47" s="252"/>
      <c r="K47" s="252"/>
      <c r="L47" s="252"/>
    </row>
    <row r="48" customFormat="false" ht="12.75" hidden="false" customHeight="false" outlineLevel="0" collapsed="false">
      <c r="D48" s="678"/>
      <c r="E48" s="678"/>
      <c r="F48" s="678"/>
      <c r="G48" s="678"/>
      <c r="H48" s="678"/>
      <c r="I48" s="678"/>
    </row>
    <row r="49" customFormat="false" ht="12.75" hidden="false" customHeight="false" outlineLevel="0" collapsed="false">
      <c r="D49" s="679" t="str">
        <f aca="false"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49" s="679"/>
      <c r="F49" s="679"/>
      <c r="G49" s="679"/>
      <c r="H49" s="679"/>
      <c r="I49" s="679"/>
      <c r="J49" s="679"/>
      <c r="K49" s="679"/>
      <c r="L49" s="679"/>
      <c r="M49" s="679"/>
      <c r="N49" s="679"/>
      <c r="O49" s="679"/>
    </row>
    <row r="50" customFormat="false" ht="39.75" hidden="false" customHeight="true" outlineLevel="0" collapsed="false">
      <c r="E50" s="255" t="str">
        <f aca="false">Import.Município</f>
        <v>CAÇÃPAVA DO SUL</v>
      </c>
      <c r="J50" s="680" t="str">
        <f aca="false">IF(DADOS!$D$50&lt;&gt;"","Preencher os Dados do Responsável pela Fiscalização, na aba DADOS.","")</f>
        <v/>
      </c>
      <c r="K50" s="680"/>
      <c r="L50" s="680"/>
      <c r="M50" s="680"/>
      <c r="W50" s="681"/>
      <c r="X50" s="681"/>
      <c r="Y50" s="681"/>
      <c r="Z50" s="681"/>
    </row>
    <row r="51" customFormat="false" ht="12.75" hidden="false" customHeight="false" outlineLevel="0" collapsed="false">
      <c r="E51" s="57" t="s">
        <v>709</v>
      </c>
      <c r="J51" s="257" t="s">
        <v>887</v>
      </c>
      <c r="W51" s="257" t="s">
        <v>912</v>
      </c>
    </row>
    <row r="52" customFormat="false" ht="12.75" hidden="false" customHeight="false" outlineLevel="0" collapsed="false">
      <c r="J52" s="150" t="s">
        <v>249</v>
      </c>
      <c r="K52" s="625" t="n">
        <f aca="false" t="array" ref="K52:K55">Import.RespFiscalização</f>
        <v>0</v>
      </c>
      <c r="L52" s="151"/>
      <c r="W52" s="150" t="s">
        <v>249</v>
      </c>
      <c r="X52" s="682"/>
      <c r="Y52" s="682"/>
      <c r="Z52" s="682"/>
    </row>
    <row r="53" customFormat="false" ht="12.75" hidden="false" customHeight="false" outlineLevel="0" collapsed="false">
      <c r="E53" s="304" t="n">
        <f aca="false">DADOS!$C$48</f>
        <v>0</v>
      </c>
      <c r="J53" s="150" t="s">
        <v>334</v>
      </c>
      <c r="K53" s="625" t="n">
        <v>0</v>
      </c>
      <c r="L53" s="151"/>
      <c r="W53" s="150" t="s">
        <v>913</v>
      </c>
      <c r="X53" s="682"/>
      <c r="Y53" s="682"/>
      <c r="Z53" s="682"/>
    </row>
    <row r="54" customFormat="false" ht="12.75" hidden="false" customHeight="false" outlineLevel="0" collapsed="false">
      <c r="E54" s="259" t="s">
        <v>710</v>
      </c>
      <c r="J54" s="150" t="s">
        <v>253</v>
      </c>
      <c r="K54" s="625" t="n">
        <v>0</v>
      </c>
      <c r="L54" s="151"/>
      <c r="W54" s="150" t="s">
        <v>253</v>
      </c>
      <c r="X54" s="682"/>
      <c r="Y54" s="682"/>
      <c r="Z54" s="682"/>
    </row>
    <row r="55" customFormat="false" ht="12.75" hidden="false" customHeight="false" outlineLevel="0" collapsed="false">
      <c r="J55" s="150" t="s">
        <v>257</v>
      </c>
      <c r="K55" s="64" t="n">
        <v>0</v>
      </c>
      <c r="W55" s="150"/>
      <c r="X55" s="64"/>
    </row>
  </sheetData>
  <sheetProtection sheet="true" password="bd1f" objects="true" scenarios="true" autoFilter="false"/>
  <autoFilter ref="C15:C40"/>
  <mergeCells count="33">
    <mergeCell ref="A3:B3"/>
    <mergeCell ref="D4:E4"/>
    <mergeCell ref="F4:H4"/>
    <mergeCell ref="J4:N4"/>
    <mergeCell ref="D5:E5"/>
    <mergeCell ref="F5:H5"/>
    <mergeCell ref="J5:N5"/>
    <mergeCell ref="F7:H7"/>
    <mergeCell ref="I7:L7"/>
    <mergeCell ref="M7:N7"/>
    <mergeCell ref="C8:C12"/>
    <mergeCell ref="F8:H8"/>
    <mergeCell ref="I8:L8"/>
    <mergeCell ref="M8:N8"/>
    <mergeCell ref="F10:I11"/>
    <mergeCell ref="T11:U11"/>
    <mergeCell ref="AB11:AM11"/>
    <mergeCell ref="J12:L12"/>
    <mergeCell ref="M12:O12"/>
    <mergeCell ref="Q12:R12"/>
    <mergeCell ref="D15:E15"/>
    <mergeCell ref="AB15:AM15"/>
    <mergeCell ref="D42:O42"/>
    <mergeCell ref="T42:Z42"/>
    <mergeCell ref="D43:O45"/>
    <mergeCell ref="T43:Z45"/>
    <mergeCell ref="D47:L47"/>
    <mergeCell ref="D48:I48"/>
    <mergeCell ref="D49:O49"/>
    <mergeCell ref="W50:Z50"/>
    <mergeCell ref="X52:Z52"/>
    <mergeCell ref="X53:Z53"/>
    <mergeCell ref="X54:Z54"/>
  </mergeCells>
  <conditionalFormatting sqref="D21:O21 T21:Z21">
    <cfRule type="expression" priority="2" aboveAverage="0" equalAverage="0" bottom="0" percent="0" rank="0" text="" dxfId="460">
      <formula>OR(ACOMPANHAMENTO="PLE",TIPOORCAMENTO="Proposto",$L21&lt;0,AND($L21&gt;100,RegimeExecucao="Global"),$O21&gt;$I21,$O21&lt;0)</formula>
    </cfRule>
    <cfRule type="expression" priority="3" aboveAverage="0" equalAverage="0" bottom="0" percent="0" rank="0" text="" dxfId="461">
      <formula>$A21=1</formula>
    </cfRule>
    <cfRule type="expression" priority="4" aboveAverage="0" equalAverage="0" bottom="0" percent="0" rank="0" text="" dxfId="462">
      <formula>$A21&lt;&gt;"S"</formula>
    </cfRule>
  </conditionalFormatting>
  <conditionalFormatting sqref="Q21:R21 AB21:AM21">
    <cfRule type="expression" priority="5" aboveAverage="0" equalAverage="0" bottom="0" percent="0" rank="0" text="" dxfId="463">
      <formula>$A21=1</formula>
    </cfRule>
    <cfRule type="expression" priority="6" aboveAverage="0" equalAverage="0" bottom="0" percent="0" rank="0" text="" dxfId="464">
      <formula>$A21&lt;&gt;"S"</formula>
    </cfRule>
  </conditionalFormatting>
  <conditionalFormatting sqref="D18:O18 T18:Z18">
    <cfRule type="expression" priority="7" aboveAverage="0" equalAverage="0" bottom="0" percent="0" rank="0" text="" dxfId="465">
      <formula>OR(ACOMPANHAMENTO="PLE",TIPOORCAMENTO="Proposto",$L18&lt;0,AND($L18&gt;100,RegimeExecucao="Global"),$O18&gt;$I18,$O18&lt;0)</formula>
    </cfRule>
    <cfRule type="expression" priority="8" aboveAverage="0" equalAverage="0" bottom="0" percent="0" rank="0" text="" dxfId="466">
      <formula>$A18=1</formula>
    </cfRule>
    <cfRule type="expression" priority="9" aboveAverage="0" equalAverage="0" bottom="0" percent="0" rank="0" text="" dxfId="467">
      <formula>$A18&lt;&gt;"S"</formula>
    </cfRule>
  </conditionalFormatting>
  <conditionalFormatting sqref="Q18:R18 AB18:AM18">
    <cfRule type="expression" priority="10" aboveAverage="0" equalAverage="0" bottom="0" percent="0" rank="0" text="" dxfId="468">
      <formula>$A18=1</formula>
    </cfRule>
    <cfRule type="expression" priority="11" aboveAverage="0" equalAverage="0" bottom="0" percent="0" rank="0" text="" dxfId="469">
      <formula>$A18&lt;&gt;"S"</formula>
    </cfRule>
  </conditionalFormatting>
  <conditionalFormatting sqref="D19:O19 T19:Z19">
    <cfRule type="expression" priority="12" aboveAverage="0" equalAverage="0" bottom="0" percent="0" rank="0" text="" dxfId="470">
      <formula>OR(ACOMPANHAMENTO="PLE",TIPOORCAMENTO="Proposto",$L19&lt;0,AND($L19&gt;100,RegimeExecucao="Global"),$O19&gt;$I19,$O19&lt;0)</formula>
    </cfRule>
    <cfRule type="expression" priority="13" aboveAverage="0" equalAverage="0" bottom="0" percent="0" rank="0" text="" dxfId="471">
      <formula>$A19=1</formula>
    </cfRule>
    <cfRule type="expression" priority="14" aboveAverage="0" equalAverage="0" bottom="0" percent="0" rank="0" text="" dxfId="472">
      <formula>$A19&lt;&gt;"S"</formula>
    </cfRule>
  </conditionalFormatting>
  <conditionalFormatting sqref="Q19:R19 AB19:AM19">
    <cfRule type="expression" priority="15" aboveAverage="0" equalAverage="0" bottom="0" percent="0" rank="0" text="" dxfId="473">
      <formula>$A19=1</formula>
    </cfRule>
    <cfRule type="expression" priority="16" aboveAverage="0" equalAverage="0" bottom="0" percent="0" rank="0" text="" dxfId="474">
      <formula>$A19&lt;&gt;"S"</formula>
    </cfRule>
  </conditionalFormatting>
  <conditionalFormatting sqref="D17:O17 T17:Z17">
    <cfRule type="expression" priority="17" aboveAverage="0" equalAverage="0" bottom="0" percent="0" rank="0" text="" dxfId="475">
      <formula>OR(ACOMPANHAMENTO="PLE",TIPOORCAMENTO="Proposto",$L17&lt;0,AND($L17&gt;100,RegimeExecucao="Global"),$O17&gt;$I17,$O17&lt;0)</formula>
    </cfRule>
    <cfRule type="expression" priority="18" aboveAverage="0" equalAverage="0" bottom="0" percent="0" rank="0" text="" dxfId="476">
      <formula>$A17=1</formula>
    </cfRule>
    <cfRule type="expression" priority="19" aboveAverage="0" equalAverage="0" bottom="0" percent="0" rank="0" text="" dxfId="477">
      <formula>$A17&lt;&gt;"S"</formula>
    </cfRule>
  </conditionalFormatting>
  <conditionalFormatting sqref="Q17:R17 AB17:AM17">
    <cfRule type="expression" priority="20" aboveAverage="0" equalAverage="0" bottom="0" percent="0" rank="0" text="" dxfId="478">
      <formula>$A17=1</formula>
    </cfRule>
    <cfRule type="expression" priority="21" aboveAverage="0" equalAverage="0" bottom="0" percent="0" rank="0" text="" dxfId="479">
      <formula>$A17&lt;&gt;"S"</formula>
    </cfRule>
  </conditionalFormatting>
  <conditionalFormatting sqref="D29:O29 T29:Z29">
    <cfRule type="expression" priority="22" aboveAverage="0" equalAverage="0" bottom="0" percent="0" rank="0" text="" dxfId="480">
      <formula>OR(ACOMPANHAMENTO="PLE",TIPOORCAMENTO="Proposto",$L29&lt;0,AND($L29&gt;100,RegimeExecucao="Global"),$O29&gt;$I29,$O29&lt;0)</formula>
    </cfRule>
    <cfRule type="expression" priority="23" aboveAverage="0" equalAverage="0" bottom="0" percent="0" rank="0" text="" dxfId="481">
      <formula>$A29=1</formula>
    </cfRule>
    <cfRule type="expression" priority="24" aboveAverage="0" equalAverage="0" bottom="0" percent="0" rank="0" text="" dxfId="482">
      <formula>$A29&lt;&gt;"S"</formula>
    </cfRule>
  </conditionalFormatting>
  <conditionalFormatting sqref="Q29:R29 AB29:AM29">
    <cfRule type="expression" priority="25" aboveAverage="0" equalAverage="0" bottom="0" percent="0" rank="0" text="" dxfId="483">
      <formula>$A29=1</formula>
    </cfRule>
    <cfRule type="expression" priority="26" aboveAverage="0" equalAverage="0" bottom="0" percent="0" rank="0" text="" dxfId="484">
      <formula>$A29&lt;&gt;"S"</formula>
    </cfRule>
  </conditionalFormatting>
  <conditionalFormatting sqref="T37:Z37 D37:O37">
    <cfRule type="expression" priority="27" aboveAverage="0" equalAverage="0" bottom="0" percent="0" rank="0" text="" dxfId="485">
      <formula>OR(ACOMPANHAMENTO="PLE",TIPOORCAMENTO="Proposto",$L37&lt;0,AND($L37&gt;100,RegimeExecucao="Global"),$O37&gt;$I37,$O37&lt;0)</formula>
    </cfRule>
    <cfRule type="expression" priority="28" aboveAverage="0" equalAverage="0" bottom="0" percent="0" rank="0" text="" dxfId="486">
      <formula>$A37=1</formula>
    </cfRule>
    <cfRule type="expression" priority="29" aboveAverage="0" equalAverage="0" bottom="0" percent="0" rank="0" text="" dxfId="487">
      <formula>$A37&lt;&gt;"S"</formula>
    </cfRule>
  </conditionalFormatting>
  <conditionalFormatting sqref="AB37:AM37 Q37:R37">
    <cfRule type="expression" priority="30" aboveAverage="0" equalAverage="0" bottom="0" percent="0" rank="0" text="" dxfId="488">
      <formula>$A37=1</formula>
    </cfRule>
    <cfRule type="expression" priority="31" aboveAverage="0" equalAverage="0" bottom="0" percent="0" rank="0" text="" dxfId="489">
      <formula>$A37&lt;&gt;"S"</formula>
    </cfRule>
  </conditionalFormatting>
  <conditionalFormatting sqref="D35:O35 T35:Z35">
    <cfRule type="expression" priority="32" aboveAverage="0" equalAverage="0" bottom="0" percent="0" rank="0" text="" dxfId="490">
      <formula>OR(ACOMPANHAMENTO="PLE",TIPOORCAMENTO="Proposto",$L35&lt;0,AND($L35&gt;100,RegimeExecucao="Global"),$O35&gt;$I35,$O35&lt;0)</formula>
    </cfRule>
    <cfRule type="expression" priority="33" aboveAverage="0" equalAverage="0" bottom="0" percent="0" rank="0" text="" dxfId="491">
      <formula>$A35=1</formula>
    </cfRule>
    <cfRule type="expression" priority="34" aboveAverage="0" equalAverage="0" bottom="0" percent="0" rank="0" text="" dxfId="492">
      <formula>$A35&lt;&gt;"S"</formula>
    </cfRule>
  </conditionalFormatting>
  <conditionalFormatting sqref="Q35:R35 AB35:AM35">
    <cfRule type="expression" priority="35" aboveAverage="0" equalAverage="0" bottom="0" percent="0" rank="0" text="" dxfId="493">
      <formula>$A35=1</formula>
    </cfRule>
    <cfRule type="expression" priority="36" aboveAverage="0" equalAverage="0" bottom="0" percent="0" rank="0" text="" dxfId="494">
      <formula>$A35&lt;&gt;"S"</formula>
    </cfRule>
  </conditionalFormatting>
  <conditionalFormatting sqref="D36:O36 T36:Z36">
    <cfRule type="expression" priority="37" aboveAverage="0" equalAverage="0" bottom="0" percent="0" rank="0" text="" dxfId="495">
      <formula>OR(ACOMPANHAMENTO="PLE",TIPOORCAMENTO="Proposto",$L36&lt;0,AND($L36&gt;100,RegimeExecucao="Global"),$O36&gt;$I36,$O36&lt;0)</formula>
    </cfRule>
    <cfRule type="expression" priority="38" aboveAverage="0" equalAverage="0" bottom="0" percent="0" rank="0" text="" dxfId="496">
      <formula>$A36=1</formula>
    </cfRule>
    <cfRule type="expression" priority="39" aboveAverage="0" equalAverage="0" bottom="0" percent="0" rank="0" text="" dxfId="497">
      <formula>$A36&lt;&gt;"S"</formula>
    </cfRule>
  </conditionalFormatting>
  <conditionalFormatting sqref="Q36:R36 AB36:AM36">
    <cfRule type="expression" priority="40" aboveAverage="0" equalAverage="0" bottom="0" percent="0" rank="0" text="" dxfId="498">
      <formula>$A36=1</formula>
    </cfRule>
    <cfRule type="expression" priority="41" aboveAverage="0" equalAverage="0" bottom="0" percent="0" rank="0" text="" dxfId="499">
      <formula>$A36&lt;&gt;"S"</formula>
    </cfRule>
  </conditionalFormatting>
  <conditionalFormatting sqref="O11">
    <cfRule type="expression" priority="42" aboveAverage="0" equalAverage="0" bottom="0" percent="0" rank="0" text="" dxfId="500">
      <formula>ROUND($P$11,4)&gt;ROUND($P$10,4)</formula>
    </cfRule>
  </conditionalFormatting>
  <conditionalFormatting sqref="D14:O14 T14:Z14 D38:O39 T38:Z39 D16:O16 T16:Z16 D30:O34 T30:Z34 T20:Z20 D20:O20 D22:O28 T22:Z28">
    <cfRule type="expression" priority="43" aboveAverage="0" equalAverage="0" bottom="0" percent="0" rank="0" text="" dxfId="501">
      <formula>OR(ACOMPANHAMENTO="PLE",TIPOORCAMENTO="Proposto",$L14&lt;0,AND($L14&gt;100,RegimeExecucao="Global"),$O14&gt;$I14,$O14&lt;0)</formula>
    </cfRule>
    <cfRule type="expression" priority="44" aboveAverage="0" equalAverage="0" bottom="0" percent="0" rank="0" text="" dxfId="502">
      <formula>$A14=1</formula>
    </cfRule>
    <cfRule type="expression" priority="45" aboveAverage="0" equalAverage="0" bottom="0" percent="0" rank="0" text="" dxfId="503">
      <formula>$A14&lt;&gt;"S"</formula>
    </cfRule>
  </conditionalFormatting>
  <conditionalFormatting sqref="Q14:R14 AB14:AM14 Q38:R39 AB38:AM39 Q16:R16 AB16:AM16 Q30:R34 AB30:AM34 AB20:AM20 Q20:R20 Q22:R28 AB22:AM28">
    <cfRule type="expression" priority="46" aboveAverage="0" equalAverage="0" bottom="0" percent="0" rank="0" text="" dxfId="504">
      <formula>$A14=1</formula>
    </cfRule>
    <cfRule type="expression" priority="47" aboveAverage="0" equalAverage="0" bottom="0" percent="0" rank="0" text="" dxfId="505">
      <formula>$A14&lt;&gt;"S"</formula>
    </cfRule>
  </conditionalFormatting>
  <conditionalFormatting sqref="E2">
    <cfRule type="expression" priority="48" aboveAverage="0" equalAverage="0" bottom="0" percent="0" rank="0" text="" dxfId="506">
      <formula>Import.RegimeExecução="(SELECIONAR)"</formula>
    </cfRule>
  </conditionalFormatting>
  <conditionalFormatting sqref="F13:H13">
    <cfRule type="expression" priority="49" aboveAverage="0" equalAverage="0" bottom="0" percent="0" rank="0" text="" dxfId="507">
      <formula>RegimeExecucao="Global"</formula>
    </cfRule>
  </conditionalFormatting>
  <conditionalFormatting sqref="D15:O15">
    <cfRule type="expression" priority="50" aboveAverage="0" equalAverage="0" bottom="0" percent="0" rank="0" text="" dxfId="508">
      <formula>OR(ACOMPANHAMENTO="PLE",TIPOORCAMENTO="Proposto")</formula>
    </cfRule>
  </conditionalFormatting>
  <conditionalFormatting sqref="AB13">
    <cfRule type="cellIs" priority="51" operator="notEqual" aboveAverage="0" equalAverage="0" bottom="0" percent="0" rank="0" text="" dxfId="509">
      <formula>1</formula>
    </cfRule>
  </conditionalFormatting>
  <dataValidations count="4">
    <dataValidation allowBlank="true" errorStyle="stop" operator="between" showDropDown="false" showErrorMessage="true" showInputMessage="false" sqref="Z14 Z16:Z39" type="list">
      <formula1>"não executado,não previsto no orçamento,material inadequado,desacordo com os projetos,não atende as observações,qualidade insatisfatória,ver observações abaixo"</formula1>
      <formula2>0</formula2>
    </dataValidation>
    <dataValidation allowBlank="true" error="Digite somente valores entre 0 e a Medição Acumulada." errorStyle="warning" errorTitle="Atenção!" operator="between" showDropDown="false" showErrorMessage="true" showInputMessage="false" sqref="Q14:R14 Q16:R39" type="decimal">
      <formula1>0</formula1>
      <formula2>BM.MEDAcumulado</formula2>
    </dataValidation>
    <dataValidation allowBlank="true" errorStyle="stop" operator="greaterThan" showDropDown="false" showErrorMessage="true" showInputMessage="true" sqref="O8" type="whole">
      <formula1>0</formula1>
      <formula2>0</formula2>
    </dataValidation>
    <dataValidation allowBlank="true" error="% medido é superior a 100% (Global)&#10;ou&#10;Quantidade é superior a contratada  (P. Unit)&#10;ou&#10;Evolução acumulada negativa" errorStyle="warning" errorTitle="Atenção!" operator="between" showDropDown="false" showErrorMessage="true" showInputMessage="false" sqref="AB14:AM14 AB16:AM39" type="decimal">
      <formula1>BM.MinMed</formula1>
      <formula2>BM.MaxMed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0.590277777777778" footer="0.590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&amp;C&amp;14I</oddHeader>
    <oddFooter>&amp;LPMv3.10&amp;R&amp;P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4" name=" ">
              <controlPr defaultSize="0" locked="1" autoFill="0" autoLine="0" autoPict="0" print="true" altText="CaixaArredMed">
                <anchor moveWithCells="true" sizeWithCells="false">
                  <from>
                    <xdr:col>3</xdr:col>
                    <xdr:colOff>9088560</xdr:colOff>
                    <xdr:row>6</xdr:row>
                    <xdr:rowOff>37800</xdr:rowOff>
                  </from>
                  <to>
                    <xdr:col>4</xdr:col>
                    <xdr:colOff>186480</xdr:colOff>
                    <xdr:row>7</xdr:row>
                    <xdr:rowOff>75960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O41"/>
  <sheetViews>
    <sheetView showFormulas="false" showGridLines="false" showRowColHeaders="true" showZeros="true" rightToLeft="false" tabSelected="false" showOutlineSymbols="true" defaultGridColor="true" view="pageBreakPreview" topLeftCell="A1" colorId="64" zoomScale="90" zoomScaleNormal="100" zoomScalePageLayoutView="90" workbookViewId="0">
      <pane xSplit="6" ySplit="13" topLeftCell="G14" activePane="bottomRight" state="frozen"/>
      <selection pane="topLeft" activeCell="A1" activeCellId="0" sqref="A1"/>
      <selection pane="topRight" activeCell="G1" activeCellId="0" sqref="G1"/>
      <selection pane="bottomLeft" activeCell="A14" activeCellId="0" sqref="A14"/>
      <selection pane="bottomRight" activeCell="A1" activeCellId="0" sqref="A1"/>
    </sheetView>
  </sheetViews>
  <sheetFormatPr defaultColWidth="8.6796875" defaultRowHeight="12.75" zeroHeight="false" outlineLevelRow="0" outlineLevelCol="0"/>
  <cols>
    <col collapsed="false" customWidth="true" hidden="true" outlineLevel="0" max="3" min="1" style="1" width="9.14"/>
    <col collapsed="false" customWidth="true" hidden="false" outlineLevel="0" max="4" min="4" style="1" width="3.57"/>
    <col collapsed="false" customWidth="true" hidden="false" outlineLevel="0" max="5" min="5" style="1" width="7.57"/>
    <col collapsed="false" customWidth="true" hidden="false" outlineLevel="0" max="6" min="6" style="1" width="35.57"/>
    <col collapsed="false" customWidth="true" hidden="false" outlineLevel="0" max="7" min="7" style="1" width="15.57"/>
    <col collapsed="false" customWidth="true" hidden="false" outlineLevel="0" max="8" min="8" style="1" width="12.57"/>
    <col collapsed="false" customWidth="true" hidden="false" outlineLevel="0" max="9" min="9" style="1" width="7.57"/>
    <col collapsed="false" customWidth="true" hidden="false" outlineLevel="0" max="10" min="10" style="1" width="16.57"/>
    <col collapsed="false" customWidth="true" hidden="false" outlineLevel="0" max="11" min="11" style="1" width="5.57"/>
    <col collapsed="false" customWidth="true" hidden="false" outlineLevel="0" max="15" min="12" style="1" width="16.57"/>
    <col collapsed="false" customWidth="true" hidden="false" outlineLevel="0" max="16" min="16" style="1" width="11.57"/>
    <col collapsed="false" customWidth="true" hidden="true" outlineLevel="0" max="21" min="17" style="1" width="9.14"/>
    <col collapsed="false" customWidth="true" hidden="true" outlineLevel="0" max="22" min="22" style="1" width="12.15"/>
    <col collapsed="false" customWidth="true" hidden="false" outlineLevel="0" max="24" min="23" style="1" width="5.57"/>
    <col collapsed="false" customWidth="true" hidden="false" outlineLevel="0" max="26" min="25" style="1" width="16.57"/>
    <col collapsed="false" customWidth="true" hidden="false" outlineLevel="0" max="27" min="27" style="1" width="1.57"/>
    <col collapsed="false" customWidth="true" hidden="true" outlineLevel="0" max="41" min="29" style="1" width="9.14"/>
  </cols>
  <sheetData>
    <row r="1" customFormat="false" ht="30" hidden="false" customHeight="true" outlineLevel="0" collapsed="false">
      <c r="F1" s="683" t="str">
        <f aca="false">CONCATENATE("RRE - RELATÓRIO RESUMO DO EMPREENDIMENTO - ",IF(CAIXA.Modo,"CAIXA","TOMADOR"))</f>
        <v>RRE - RELATÓRIO RESUMO DO EMPREENDIMENTO - TOMADOR</v>
      </c>
      <c r="H1" s="50"/>
      <c r="I1" s="50"/>
      <c r="P1" s="684" t="s">
        <v>914</v>
      </c>
      <c r="AD1" s="685" t="s">
        <v>915</v>
      </c>
      <c r="AE1" s="686" t="s">
        <v>916</v>
      </c>
    </row>
    <row r="2" customFormat="false" ht="12.75" hidden="false" customHeight="false" outlineLevel="0" collapsed="false">
      <c r="AC2" s="687" t="str">
        <f aca="false">J17</f>
        <v>Repasse</v>
      </c>
      <c r="AD2" s="688" t="e">
        <f aca="false">AD6-AD4-AD3</f>
        <v>#NAME?</v>
      </c>
      <c r="AE2" s="688" t="e">
        <f aca="false">AE6-AE4-AE3</f>
        <v>#NAME?</v>
      </c>
    </row>
    <row r="3" customFormat="false" ht="12.75" hidden="false" customHeight="false" outlineLevel="0" collapsed="false">
      <c r="E3" s="267" t="s">
        <v>667</v>
      </c>
      <c r="F3" s="267"/>
      <c r="G3" s="267"/>
      <c r="H3" s="267"/>
      <c r="I3" s="103" t="s">
        <v>665</v>
      </c>
      <c r="J3" s="103"/>
      <c r="K3" s="103"/>
      <c r="L3" s="162" t="s">
        <v>724</v>
      </c>
      <c r="M3" s="314"/>
      <c r="O3" s="689"/>
      <c r="P3" s="531" t="s">
        <v>732</v>
      </c>
      <c r="R3" s="314"/>
      <c r="S3" s="314"/>
      <c r="T3" s="314"/>
      <c r="U3" s="314"/>
      <c r="AC3" s="687" t="s">
        <v>471</v>
      </c>
      <c r="AD3" s="688" t="e">
        <f aca="true">SUM(T13:OFFSET(T16,-1,0))</f>
        <v>#NAME?</v>
      </c>
      <c r="AE3" s="688" t="e">
        <f aca="false">IF(OR($O$20&lt;$M$20,$M$18&gt;$AD$3),MIN($M$18,$L$18),MIN($AD$3,$N$20-$N$19+$M$18))</f>
        <v>#NAME?</v>
      </c>
    </row>
    <row r="4" customFormat="false" ht="12.75" hidden="false" customHeight="true" outlineLevel="0" collapsed="false">
      <c r="E4" s="179" t="str">
        <f aca="false">Import.Proponente</f>
        <v>PREFEITURA MUNICIPAL DE CAÇAPAVA DO SUL</v>
      </c>
      <c r="F4" s="179"/>
      <c r="G4" s="179"/>
      <c r="H4" s="179"/>
      <c r="I4" s="104" t="str">
        <f aca="false">Import.CR</f>
        <v>-</v>
      </c>
      <c r="J4" s="104"/>
      <c r="K4" s="104"/>
      <c r="L4" s="104" t="str">
        <f aca="false">Import.TransfereGOV</f>
        <v>-</v>
      </c>
      <c r="M4" s="528" t="s">
        <v>854</v>
      </c>
      <c r="N4" s="528"/>
      <c r="O4" s="528"/>
      <c r="P4" s="690" t="str">
        <f aca="false">import.recurso</f>
        <v>OGU</v>
      </c>
      <c r="R4" s="314"/>
      <c r="S4" s="314"/>
      <c r="T4" s="689"/>
      <c r="U4" s="689"/>
      <c r="AC4" s="687" t="s">
        <v>917</v>
      </c>
      <c r="AD4" s="688" t="e">
        <f aca="true">SUM(U13:OFFSET(U16,-1,0))</f>
        <v>#NAME?</v>
      </c>
      <c r="AE4" s="688" t="e">
        <f aca="false">IF(OR($O$20&lt;$M$20,$M$19&gt;$AD$4),MIN($M$19,$L$19),MIN($AD$4,$N$20+$M$19))</f>
        <v>#NAME?</v>
      </c>
    </row>
    <row r="5" customFormat="false" ht="4.5" hidden="false" customHeight="true" outlineLevel="0" collapsed="false">
      <c r="H5" s="534"/>
      <c r="I5" s="534"/>
      <c r="J5" s="534"/>
      <c r="K5" s="534"/>
      <c r="L5" s="534"/>
      <c r="M5" s="691"/>
      <c r="N5" s="36"/>
      <c r="O5" s="9"/>
      <c r="R5" s="314"/>
      <c r="S5" s="314"/>
      <c r="T5" s="314"/>
      <c r="U5" s="314"/>
    </row>
    <row r="6" customFormat="false" ht="12.75" hidden="false" customHeight="true" outlineLevel="0" collapsed="false">
      <c r="E6" s="634" t="s">
        <v>725</v>
      </c>
      <c r="F6" s="634"/>
      <c r="G6" s="634"/>
      <c r="H6" s="634"/>
      <c r="I6" s="692" t="s">
        <v>853</v>
      </c>
      <c r="J6" s="692"/>
      <c r="K6" s="692"/>
      <c r="L6" s="692"/>
      <c r="M6" s="103" t="str">
        <f aca="false">IF(import.recurso="FGTS","FINANCIAMENTO","REPASSE")</f>
        <v>REPASSE</v>
      </c>
      <c r="N6" s="267" t="s">
        <v>855</v>
      </c>
      <c r="O6" s="103" t="s">
        <v>856</v>
      </c>
      <c r="P6" s="315" t="s">
        <v>918</v>
      </c>
      <c r="R6" s="314"/>
      <c r="S6" s="314"/>
      <c r="T6" s="314"/>
      <c r="U6" s="314"/>
      <c r="AC6" s="687" t="s">
        <v>919</v>
      </c>
      <c r="AD6" s="688" t="e">
        <f aca="false">$O$20</f>
        <v>#NAME?</v>
      </c>
      <c r="AE6" s="688" t="e">
        <f aca="false">AD6</f>
        <v>#NAME?</v>
      </c>
    </row>
    <row r="7" customFormat="false" ht="12.75" hidden="false" customHeight="true" outlineLevel="0" collapsed="false">
      <c r="D7" s="105" t="s">
        <v>670</v>
      </c>
      <c r="E7" s="104" t="str">
        <f aca="false">Import.Apelido</f>
        <v>EMEF INSTITUTO AUGUSTA MARIA LIMA MARQUES</v>
      </c>
      <c r="F7" s="104"/>
      <c r="G7" s="104"/>
      <c r="H7" s="104"/>
      <c r="I7" s="693" t="str">
        <f aca="false">Import.Município</f>
        <v>CAÇÃPAVA DO SUL</v>
      </c>
      <c r="J7" s="693"/>
      <c r="K7" s="693"/>
      <c r="L7" s="693"/>
      <c r="M7" s="694" t="n">
        <f aca="false">Import.Repasse</f>
        <v>4413.98727</v>
      </c>
      <c r="N7" s="695" t="n">
        <f aca="false">Import.Contrapartida</f>
        <v>0</v>
      </c>
      <c r="O7" s="694" t="n">
        <f aca="false">M7+N7</f>
        <v>4413.98727</v>
      </c>
      <c r="P7" s="696" t="n">
        <f aca="true">IF(ACOMPANHAMENTO="PLE",PLE.Medicao,BM.medicao)</f>
        <v>1</v>
      </c>
      <c r="R7" s="314"/>
      <c r="S7" s="314"/>
      <c r="T7" s="314"/>
      <c r="U7" s="314"/>
    </row>
    <row r="8" customFormat="false" ht="12.75" hidden="false" customHeight="false" outlineLevel="0" collapsed="false">
      <c r="D8" s="10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R8" s="314"/>
      <c r="S8" s="314"/>
      <c r="T8" s="314"/>
      <c r="U8" s="314"/>
    </row>
    <row r="9" customFormat="false" ht="12.75" hidden="false" customHeight="true" outlineLevel="0" collapsed="false">
      <c r="D9" s="105"/>
      <c r="G9" s="316" t="s">
        <v>920</v>
      </c>
      <c r="H9" s="316"/>
      <c r="I9" s="316" t="s">
        <v>921</v>
      </c>
      <c r="J9" s="316"/>
      <c r="K9" s="697"/>
      <c r="L9" s="698" t="s">
        <v>860</v>
      </c>
      <c r="M9" s="699" t="s">
        <v>863</v>
      </c>
      <c r="N9" s="539" t="s">
        <v>758</v>
      </c>
      <c r="P9" s="700"/>
      <c r="R9" s="314"/>
      <c r="S9" s="314"/>
      <c r="T9" s="314"/>
      <c r="U9" s="314"/>
      <c r="V9" s="49" t="s">
        <v>922</v>
      </c>
    </row>
    <row r="10" customFormat="false" ht="12.75" hidden="false" customHeight="true" outlineLevel="0" collapsed="false">
      <c r="D10" s="105"/>
      <c r="G10" s="102" t="e">
        <f aca="false">IF(J10="-","-",IF($P$16&lt;J10,"Atrasada",IF($P$16&gt;J10,"Adiantada","Normal")))</f>
        <v>#NAME?</v>
      </c>
      <c r="H10" s="102"/>
      <c r="I10" s="701" t="n">
        <f aca="false">DATE(YEAR($L$27),MONTH($L$27),1)</f>
        <v>1</v>
      </c>
      <c r="J10" s="702" t="n">
        <f aca="true">IF($I$10&lt;DATE(YEAR(CRONO!$U$13),MONTH(CRONO!$U$13),1),0,IF($I$10&gt;OFFSET(CRONO!$AG$13,0,-1),1,INDEX(CRONO!$T$50:$AH$50,MATCH(RRE!$I$10,CRONO!$T$13:$AG$13,0))))</f>
        <v>0</v>
      </c>
      <c r="K10" s="697"/>
      <c r="L10" s="698"/>
      <c r="M10" s="703" t="n">
        <f aca="false">QCI!L10</f>
        <v>-0.0027299999992465</v>
      </c>
      <c r="N10" s="543" t="n">
        <f aca="false">QCI!M10</f>
        <v>0</v>
      </c>
      <c r="P10" s="700"/>
      <c r="R10" s="314"/>
      <c r="S10" s="314"/>
      <c r="T10" s="314"/>
      <c r="U10" s="314"/>
      <c r="AC10" s="704" t="s">
        <v>76</v>
      </c>
      <c r="AD10" s="704"/>
      <c r="AE10" s="704"/>
      <c r="AF10" s="704"/>
      <c r="AG10" s="704"/>
      <c r="AH10" s="704"/>
      <c r="AJ10" s="704" t="s">
        <v>78</v>
      </c>
      <c r="AK10" s="704"/>
      <c r="AL10" s="704"/>
      <c r="AM10" s="704"/>
      <c r="AN10" s="704"/>
      <c r="AO10" s="704"/>
    </row>
    <row r="11" customFormat="false" ht="19.5" hidden="false" customHeight="true" outlineLevel="0" collapsed="false">
      <c r="D11" s="105"/>
      <c r="M11" s="705" t="str">
        <f aca="false">IF(CAIXA.Modo,"Valores Aferidos (R$)","Valores Medidos (R$)")</f>
        <v>Valores Medidos (R$)</v>
      </c>
      <c r="N11" s="705"/>
      <c r="O11" s="705"/>
      <c r="R11" s="706"/>
      <c r="S11" s="706"/>
      <c r="T11" s="705"/>
      <c r="U11" s="705"/>
      <c r="V11" s="707" t="s">
        <v>923</v>
      </c>
      <c r="Y11" s="708" t="str">
        <f aca="false">IF(CAIXA.Modo,"Valores Aferidos (R$)","Valores Medidos (R$)")</f>
        <v>Valores Medidos (R$)</v>
      </c>
      <c r="Z11" s="708"/>
      <c r="AC11" s="191" t="s">
        <v>924</v>
      </c>
      <c r="AD11" s="191"/>
      <c r="AE11" s="191"/>
      <c r="AF11" s="191" t="s">
        <v>925</v>
      </c>
      <c r="AG11" s="191"/>
      <c r="AH11" s="191"/>
      <c r="AJ11" s="191" t="s">
        <v>924</v>
      </c>
      <c r="AK11" s="191"/>
      <c r="AL11" s="191"/>
      <c r="AM11" s="191" t="s">
        <v>925</v>
      </c>
      <c r="AN11" s="191"/>
      <c r="AO11" s="191"/>
    </row>
    <row r="12" customFormat="false" ht="12.75" hidden="true" customHeight="false" outlineLevel="0" collapsed="false">
      <c r="A12" s="1" t="e">
        <f aca="false">MATCH(E12,ORÇAMENTO!$E$15:$E$40,0)-1</f>
        <v>#N/A</v>
      </c>
      <c r="B12" s="1" t="e">
        <f aca="true">IF(ISERROR($A12),NA(),OFFSET(ORÇAMENTO!$D$15,$A12,0))</f>
        <v>#N/A</v>
      </c>
      <c r="C12" s="1" t="str">
        <f aca="false">QCI!B12</f>
        <v>Branco</v>
      </c>
      <c r="D12" s="1" t="str">
        <f aca="false">IF(L12&gt;0,"F","")</f>
        <v/>
      </c>
      <c r="E12" s="545" t="n">
        <f aca="false">QCI!D12</f>
        <v>-1</v>
      </c>
      <c r="F12" s="709" t="str">
        <f aca="false">QCI!G12</f>
        <v/>
      </c>
      <c r="G12" s="710" t="n">
        <f aca="false">QCI!H12</f>
        <v>0</v>
      </c>
      <c r="H12" s="548" t="n">
        <f aca="false">QCI!I12</f>
        <v>0</v>
      </c>
      <c r="I12" s="548" t="str">
        <f aca="false">QCI!J12</f>
        <v/>
      </c>
      <c r="J12" s="711" t="str">
        <f aca="false">QCI!K12</f>
        <v/>
      </c>
      <c r="K12" s="712" t="e">
        <f aca="false">_xlfn.single(IF($C12="Automático",IF(_xlfn.single(ACOMPANHAMENTO)="BM",BM.medicao,PLE.Medicao),IF(ISBLANK($X12),"",$X12)))</f>
        <v>#NAME?</v>
      </c>
      <c r="L12" s="553" t="n">
        <f aca="false">QCI!$O12</f>
        <v>0</v>
      </c>
      <c r="M12" s="550" t="n">
        <f aca="false">ROUND(IF(C12="Automático",AE12+AL12,Y12),2)</f>
        <v>0</v>
      </c>
      <c r="N12" s="551" t="n">
        <f aca="false">O12-M12</f>
        <v>0</v>
      </c>
      <c r="O12" s="552" t="n">
        <f aca="false">ROUND(IF(C12="Automático",AH12+AO12,Z12),2)</f>
        <v>0</v>
      </c>
      <c r="P12" s="713" t="n">
        <f aca="false">O12/(L12+10^-12)</f>
        <v>0</v>
      </c>
      <c r="R12" s="714" t="n">
        <f aca="false">ROUND(IF($C12="Automático",AC12+AJ12,$Y12*IF(ISERROR(QCI!$AA12/QCI!$O12),0,QCI!$AA12/QCI!$O12)),2)</f>
        <v>0</v>
      </c>
      <c r="S12" s="714" t="n">
        <f aca="false">ROUND(IF($C12="Automático",AD12+AK12,$Y12*IF(ISERROR(QCI!$AB12/QCI!$O12),0,QCI!$AB12/QCI!$O12)),2)</f>
        <v>0</v>
      </c>
      <c r="T12" s="714" t="n">
        <f aca="false">ROUND(IF($C12="Automático",AF12+AM12,$Z12*IF(ISERROR(QCI!$AA12/QCI!$O12),0,QCI!$AA12/QCI!$O12)),2)</f>
        <v>0</v>
      </c>
      <c r="U12" s="714" t="n">
        <f aca="false">ROUND(IF($C12="Automático",AG12+AN12,$Z12*IF(ISERROR(QCI!$AB12/QCI!$O12),0,QCI!$AB12/QCI!$O12)),2)</f>
        <v>0</v>
      </c>
      <c r="V12" s="99" t="str">
        <f aca="true">IF(AND($L12&gt;0,$J12&lt;&gt;0,$J12&lt;&gt;"",COUNTIF($J12:$J$13,$J12)=1),OFFSET(V12,-1,0)+1,OFFSET(V12,-1,0))</f>
        <v>Lista CTEFs</v>
      </c>
      <c r="X12" s="715"/>
      <c r="Y12" s="716"/>
      <c r="Z12" s="717"/>
      <c r="AC12" s="264" t="e">
        <f aca="false">IF(_xlfn.single(ACOMPANHAMENTO)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#NAME?</v>
      </c>
      <c r="AD12" s="264" t="e">
        <f aca="false">IF(_xlfn.single(ACOMPANHAMENTO)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#NAME?</v>
      </c>
      <c r="AE12" s="264" t="e">
        <f aca="false">ROUND(IF(_xlfn.single(ACOMPANHAMENTO)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#NAME?</v>
      </c>
      <c r="AF12" s="264" t="e">
        <f aca="false">IF(_xlfn.single(ACOMPANHAMENTO)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#NAME?</v>
      </c>
      <c r="AG12" s="264" t="e">
        <f aca="false">IF(_xlfn.single(ACOMPANHAMENTO)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#NAME?</v>
      </c>
      <c r="AH12" s="264" t="e">
        <f aca="false">ROUND(IF(_xlfn.single(ACOMPANHAMENTO)&lt;&gt;"PLE",0,SUMIF(OFFSET(CÁLCULO!$AX$15:$BH$15,$A12,0,$B12),"&lt;="&amp;PLE.Medicao,OFFSET(CÁLCULO!$AB$15:$AL$15,$A12,0,$B12))+IF(AUTOEVENTO="Manual",SUMIF(OFFSET(CÁLCULO!$M$15,$A12,0,$B12),1,OFFSET(ORÇAMENTO!$X$15,$A12,0,$B12))*PLE!$AE$9,0)),2)</f>
        <v>#NAME?</v>
      </c>
      <c r="AJ12" s="264" t="e">
        <f aca="false">IF(_xlfn.single(ACOMPANHAMENTO)&lt;&gt;"BM",0,SUMPRODUCT(OFFSET(BM!$M$15,$A12,0,$B12)*(OFFSET(BM!$A$15,$A12,0,$B12)="S")*OFFSET(ORÇAMENTO!AA$15,$A12,0,$B12)/(OFFSET(ORÇAMENTO!$X$15,$A12,0,$B12)+10^-12)))</f>
        <v>#NAME?</v>
      </c>
      <c r="AK12" s="264" t="e">
        <f aca="false">IF(_xlfn.single(ACOMPANHAMENTO)&lt;&gt;"BM",0,SUMPRODUCT(OFFSET(BM!$M$15,$A12,0,$B12)*(OFFSET(BM!$A$15,$A12,0,$B12)="S")*OFFSET(ORÇAMENTO!AB$15,$A12,0,$B12)/(OFFSET(ORÇAMENTO!$X$15,$A12,0,$B12)+10^-12)))</f>
        <v>#NAME?</v>
      </c>
      <c r="AL12" s="264" t="e">
        <f aca="false">IF(_xlfn.single(ACOMPANHAMENTO)&lt;&gt;"BM",0,OFFSET(BM!$M$15,$A12,0))</f>
        <v>#NAME?</v>
      </c>
      <c r="AM12" s="264" t="e">
        <f aca="false">IF(_xlfn.single(ACOMPANHAMENTO)&lt;&gt;"BM",0,SUMPRODUCT(OFFSET(BM!$O$15,$A12,0,$B12)*(OFFSET(BM!$A$15,$A12,0,$B12)="S")*OFFSET(ORÇAMENTO!AA$15,$A12,0,$B12)/(OFFSET(ORÇAMENTO!$X$15,$A12,0,$B12)+10^-12)))</f>
        <v>#NAME?</v>
      </c>
      <c r="AN12" s="264" t="e">
        <f aca="false">IF(_xlfn.single(ACOMPANHAMENTO)&lt;&gt;"BM",0,SUMPRODUCT(OFFSET(BM!$O$15,$A12,0,$B12)*(OFFSET(BM!$A$15,$A12,0,$B12)="S")*OFFSET(ORÇAMENTO!AB$15,$A12,0,$B12)/(OFFSET(ORÇAMENTO!$X$15,$A12,0,$B12)+10^-12)))</f>
        <v>#NAME?</v>
      </c>
      <c r="AO12" s="264" t="e">
        <f aca="false">IF(_xlfn.single(ACOMPANHAMENTO)&lt;&gt;"BM",0,OFFSET(BM!$O$15,$A12,0))</f>
        <v>#NAME?</v>
      </c>
    </row>
    <row r="13" customFormat="false" ht="39.75" hidden="false" customHeight="true" outlineLevel="0" collapsed="false">
      <c r="A13" s="563" t="s">
        <v>926</v>
      </c>
      <c r="B13" s="57" t="s">
        <v>742</v>
      </c>
      <c r="C13" s="563" t="s">
        <v>865</v>
      </c>
      <c r="D13" s="112" t="s">
        <v>675</v>
      </c>
      <c r="E13" s="189" t="s">
        <v>718</v>
      </c>
      <c r="F13" s="189" t="s">
        <v>868</v>
      </c>
      <c r="G13" s="189" t="s">
        <v>683</v>
      </c>
      <c r="H13" s="189" t="s">
        <v>729</v>
      </c>
      <c r="I13" s="189" t="s">
        <v>869</v>
      </c>
      <c r="J13" s="189" t="s">
        <v>870</v>
      </c>
      <c r="K13" s="564" t="s">
        <v>927</v>
      </c>
      <c r="L13" s="189" t="s">
        <v>928</v>
      </c>
      <c r="M13" s="564" t="s">
        <v>924</v>
      </c>
      <c r="N13" s="565" t="s">
        <v>929</v>
      </c>
      <c r="O13" s="566" t="s">
        <v>925</v>
      </c>
      <c r="P13" s="189" t="s">
        <v>930</v>
      </c>
      <c r="R13" s="718" t="s">
        <v>931</v>
      </c>
      <c r="S13" s="718" t="s">
        <v>932</v>
      </c>
      <c r="T13" s="718" t="s">
        <v>933</v>
      </c>
      <c r="U13" s="718" t="s">
        <v>934</v>
      </c>
      <c r="V13" s="319"/>
      <c r="X13" s="564" t="s">
        <v>927</v>
      </c>
      <c r="Y13" s="195" t="s">
        <v>924</v>
      </c>
      <c r="Z13" s="198" t="s">
        <v>925</v>
      </c>
      <c r="AC13" s="191" t="s">
        <v>471</v>
      </c>
      <c r="AD13" s="191" t="s">
        <v>917</v>
      </c>
      <c r="AE13" s="191" t="s">
        <v>919</v>
      </c>
      <c r="AF13" s="191" t="s">
        <v>471</v>
      </c>
      <c r="AG13" s="191" t="s">
        <v>917</v>
      </c>
      <c r="AH13" s="191" t="s">
        <v>919</v>
      </c>
      <c r="AJ13" s="191" t="s">
        <v>471</v>
      </c>
      <c r="AK13" s="191" t="s">
        <v>917</v>
      </c>
      <c r="AL13" s="191" t="s">
        <v>919</v>
      </c>
      <c r="AM13" s="191" t="s">
        <v>471</v>
      </c>
      <c r="AN13" s="191" t="s">
        <v>917</v>
      </c>
      <c r="AO13" s="191" t="s">
        <v>919</v>
      </c>
    </row>
    <row r="14" s="1" customFormat="true" ht="12.75" hidden="false" customHeight="false" outlineLevel="0" collapsed="false">
      <c r="A14" s="1" t="n">
        <f aca="false">MATCH(E14,ORÇAMENTO!$E$15:$E$40,0)-1</f>
        <v>1</v>
      </c>
      <c r="B14" s="1" t="n">
        <f aca="true">IF(ISERROR($A14),NA(),OFFSET(ORÇAMENTO!$D$15,$A14,0))</f>
        <v>24</v>
      </c>
      <c r="C14" s="1" t="str">
        <f aca="false">QCI!B14</f>
        <v>Automático</v>
      </c>
      <c r="D14" s="1" t="str">
        <f aca="false">IF(L14&gt;0,"F","")</f>
        <v>F</v>
      </c>
      <c r="E14" s="545" t="n">
        <f aca="false">QCI!D14</f>
        <v>1</v>
      </c>
      <c r="F14" s="709" t="str">
        <f aca="false">QCI!G14</f>
        <v>REFORMA DO TELHADO</v>
      </c>
      <c r="G14" s="710" t="str">
        <f aca="false">QCI!H14</f>
        <v>Em Análise</v>
      </c>
      <c r="H14" s="548" t="n">
        <f aca="false">QCI!I14</f>
        <v>866.98</v>
      </c>
      <c r="I14" s="548" t="str">
        <f aca="false">QCI!J14</f>
        <v>m²</v>
      </c>
      <c r="J14" s="711" t="str">
        <f aca="false">QCI!K14</f>
        <v>LOTE 1</v>
      </c>
      <c r="K14" s="712" t="e">
        <f aca="false">_xlfn.single(IF($C14="Automático",IF(_xlfn.single(ACOMPANHAMENTO)="BM",BM.medicao,PLE.Medicao),IF(ISBLANK($X14),"",$X14)))</f>
        <v>#NAME?</v>
      </c>
      <c r="L14" s="553" t="n">
        <f aca="false">QCI!$O14</f>
        <v>4413.98727</v>
      </c>
      <c r="M14" s="550" t="e">
        <f aca="false">ROUND(IF(C14="Automático",AE14+AL14,Y14),2)</f>
        <v>#NAME?</v>
      </c>
      <c r="N14" s="551" t="e">
        <f aca="false">O14-M14</f>
        <v>#NAME?</v>
      </c>
      <c r="O14" s="552" t="e">
        <f aca="false">ROUND(IF(C14="Automático",AH14+AO14,Z14),2)</f>
        <v>#NAME?</v>
      </c>
      <c r="P14" s="713" t="e">
        <f aca="false">O14/(L14+10^-12)</f>
        <v>#NAME?</v>
      </c>
      <c r="R14" s="714" t="e">
        <f aca="false">ROUND(IF($C14="Automático",AC14+AJ14,$Y14*IF(ISERROR(QCI!$AA14/QCI!$O14),0,QCI!$AA14/QCI!$O14)),2)</f>
        <v>#NAME?</v>
      </c>
      <c r="S14" s="714" t="e">
        <f aca="false">ROUND(IF($C14="Automático",AD14+AK14,$Y14*IF(ISERROR(QCI!$AB14/QCI!$O14),0,QCI!$AB14/QCI!$O14)),2)</f>
        <v>#NAME?</v>
      </c>
      <c r="T14" s="714" t="e">
        <f aca="false">ROUND(IF($C14="Automático",AF14+AM14,$Z14*IF(ISERROR(QCI!$AA14/QCI!$O14),0,QCI!$AA14/QCI!$O14)),2)</f>
        <v>#NAME?</v>
      </c>
      <c r="U14" s="714" t="e">
        <f aca="false">ROUND(IF($C14="Automático",AG14+AN14,$Z14*IF(ISERROR(QCI!$AB14/QCI!$O14),0,QCI!$AB14/QCI!$O14)),2)</f>
        <v>#NAME?</v>
      </c>
      <c r="V14" s="99" t="n">
        <f aca="true">IF(AND($L14&gt;0,$J14&lt;&gt;0,$J14&lt;&gt;"",COUNTIF($J$13:$J14,$J14)=1),OFFSET(V14,-1,0)+1,OFFSET(V14,-1,0))</f>
        <v>1</v>
      </c>
      <c r="X14" s="715"/>
      <c r="Y14" s="716"/>
      <c r="Z14" s="717"/>
      <c r="AC14" s="264" t="e">
        <f aca="false">IF(_xlfn.single(ACOMPANHAMENTO)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#NAME?</v>
      </c>
      <c r="AD14" s="264" t="e">
        <f aca="false">IF(_xlfn.single(ACOMPANHAMENTO)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#NAME?</v>
      </c>
      <c r="AE14" s="264" t="e">
        <f aca="false">ROUND(IF(_xlfn.single(ACOMPANHAMENTO)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#NAME?</v>
      </c>
      <c r="AF14" s="264" t="e">
        <f aca="false">IF(_xlfn.single(ACOMPANHAMENTO)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#NAME?</v>
      </c>
      <c r="AG14" s="264" t="e">
        <f aca="false">IF(_xlfn.single(ACOMPANHAMENTO)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#NAME?</v>
      </c>
      <c r="AH14" s="264" t="e">
        <f aca="false">ROUND(IF(_xlfn.single(ACOMPANHAMENTO)&lt;&gt;"PLE",0,SUMIF(OFFSET(CÁLCULO!$AX$15:$BH$15,$A14,0,$B14),"&lt;="&amp;PLE.Medicao,OFFSET(CÁLCULO!$AB$15:$AL$15,$A14,0,$B14))+IF(AUTOEVENTO="Manual",SUMIF(OFFSET(CÁLCULO!$M$15,$A14,0,$B14),1,OFFSET(ORÇAMENTO!$X$15,$A14,0,$B14))*PLE!$AE$9,0)),2)</f>
        <v>#NAME?</v>
      </c>
      <c r="AJ14" s="264" t="e">
        <f aca="false">IF(_xlfn.single(ACOMPANHAMENTO)&lt;&gt;"BM",0,SUMPRODUCT(OFFSET(BM!$M$15,$A14,0,$B14)*(OFFSET(BM!$A$15,$A14,0,$B14)="S")*OFFSET(ORÇAMENTO!AA$15,$A14,0,$B14)/(OFFSET(ORÇAMENTO!$X$15,$A14,0,$B14)+10^-12)))</f>
        <v>#NAME?</v>
      </c>
      <c r="AK14" s="264" t="e">
        <f aca="false">IF(_xlfn.single(ACOMPANHAMENTO)&lt;&gt;"BM",0,SUMPRODUCT(OFFSET(BM!$M$15,$A14,0,$B14)*(OFFSET(BM!$A$15,$A14,0,$B14)="S")*OFFSET(ORÇAMENTO!AB$15,$A14,0,$B14)/(OFFSET(ORÇAMENTO!$X$15,$A14,0,$B14)+10^-12)))</f>
        <v>#NAME?</v>
      </c>
      <c r="AL14" s="264" t="e">
        <f aca="false">IF(_xlfn.single(ACOMPANHAMENTO)&lt;&gt;"BM",0,OFFSET(BM!$M$15,$A14,0))</f>
        <v>#NAME?</v>
      </c>
      <c r="AM14" s="264" t="e">
        <f aca="false">IF(_xlfn.single(ACOMPANHAMENTO)&lt;&gt;"BM",0,SUMPRODUCT(OFFSET(BM!$O$15,$A14,0,$B14)*(OFFSET(BM!$A$15,$A14,0,$B14)="S")*OFFSET(ORÇAMENTO!AA$15,$A14,0,$B14)/(OFFSET(ORÇAMENTO!$X$15,$A14,0,$B14)+10^-12)))</f>
        <v>#NAME?</v>
      </c>
      <c r="AN14" s="264" t="e">
        <f aca="false">IF(_xlfn.single(ACOMPANHAMENTO)&lt;&gt;"BM",0,SUMPRODUCT(OFFSET(BM!$O$15,$A14,0,$B14)*(OFFSET(BM!$A$15,$A14,0,$B14)="S")*OFFSET(ORÇAMENTO!AB$15,$A14,0,$B14)/(OFFSET(ORÇAMENTO!$X$15,$A14,0,$B14)+10^-12)))</f>
        <v>#NAME?</v>
      </c>
      <c r="AO14" s="264" t="e">
        <f aca="false">IF(_xlfn.single(ACOMPANHAMENTO)&lt;&gt;"BM",0,OFFSET(BM!$O$15,$A14,0))</f>
        <v>#NAME?</v>
      </c>
    </row>
    <row r="15" s="1" customFormat="true" ht="12.75" hidden="false" customHeight="false" outlineLevel="0" collapsed="false">
      <c r="A15" s="1" t="e">
        <f aca="false">MATCH(E15,ORÇAMENTO!$E$15:$E$40,0)-1</f>
        <v>#N/A</v>
      </c>
      <c r="B15" s="1" t="e">
        <f aca="true">IF(ISERROR($A15),NA(),OFFSET(ORÇAMENTO!$D$15,$A15,0))</f>
        <v>#N/A</v>
      </c>
      <c r="C15" s="1" t="str">
        <f aca="false">QCI!B15</f>
        <v>Branco</v>
      </c>
      <c r="D15" s="1" t="str">
        <f aca="false">IF(L15&gt;0,"F","")</f>
        <v/>
      </c>
      <c r="E15" s="545" t="n">
        <f aca="false">QCI!D15</f>
        <v>2</v>
      </c>
      <c r="F15" s="709" t="str">
        <f aca="false">QCI!G15</f>
        <v/>
      </c>
      <c r="G15" s="710" t="str">
        <f aca="false">QCI!H15</f>
        <v>Em Análise</v>
      </c>
      <c r="H15" s="548" t="n">
        <f aca="false">QCI!I15</f>
        <v>866.98</v>
      </c>
      <c r="I15" s="548" t="str">
        <f aca="false">QCI!J15</f>
        <v>m²</v>
      </c>
      <c r="J15" s="711" t="str">
        <f aca="false">QCI!K15</f>
        <v/>
      </c>
      <c r="K15" s="712" t="e">
        <f aca="false">_xlfn.single(IF($C15="Automático",IF(_xlfn.single(ACOMPANHAMENTO)="BM",BM.medicao,PLE.Medicao),IF(ISBLANK($X15),"",$X15)))</f>
        <v>#NAME?</v>
      </c>
      <c r="L15" s="553" t="n">
        <f aca="false">QCI!$O15</f>
        <v>0</v>
      </c>
      <c r="M15" s="550" t="n">
        <f aca="false">ROUND(IF(C15="Automático",AE15+AL15,Y15),2)</f>
        <v>0</v>
      </c>
      <c r="N15" s="551" t="n">
        <f aca="false">O15-M15</f>
        <v>0</v>
      </c>
      <c r="O15" s="552" t="n">
        <f aca="false">ROUND(IF(C15="Automático",AH15+AO15,Z15),2)</f>
        <v>0</v>
      </c>
      <c r="P15" s="713" t="n">
        <f aca="false">O15/(L15+10^-12)</f>
        <v>0</v>
      </c>
      <c r="R15" s="714" t="n">
        <f aca="false">ROUND(IF($C15="Automático",AC15+AJ15,$Y15*IF(ISERROR(QCI!$AA15/QCI!$O15),0,QCI!$AA15/QCI!$O15)),2)</f>
        <v>0</v>
      </c>
      <c r="S15" s="714" t="n">
        <f aca="false">ROUND(IF($C15="Automático",AD15+AK15,$Y15*IF(ISERROR(QCI!$AB15/QCI!$O15),0,QCI!$AB15/QCI!$O15)),2)</f>
        <v>0</v>
      </c>
      <c r="T15" s="714" t="n">
        <f aca="false">ROUND(IF($C15="Automático",AF15+AM15,$Z15*IF(ISERROR(QCI!$AA15/QCI!$O15),0,QCI!$AA15/QCI!$O15)),2)</f>
        <v>0</v>
      </c>
      <c r="U15" s="714" t="n">
        <f aca="false">ROUND(IF($C15="Automático",AG15+AN15,$Z15*IF(ISERROR(QCI!$AB15/QCI!$O15),0,QCI!$AB15/QCI!$O15)),2)</f>
        <v>0</v>
      </c>
      <c r="V15" s="99" t="n">
        <f aca="true">IF(AND($L15&gt;0,$J15&lt;&gt;0,$J15&lt;&gt;"",COUNTIF($J$13:$J15,$J15)=1),OFFSET(V15,-1,0)+1,OFFSET(V15,-1,0))</f>
        <v>1</v>
      </c>
      <c r="X15" s="715"/>
      <c r="Y15" s="716"/>
      <c r="Z15" s="717"/>
      <c r="AC15" s="264" t="e">
        <f aca="false">IF(_xlfn.single(ACOMPANHAMENTO)&lt;&gt;"PLE",0,SUMPRODUCT((OFFSET(CÁLCULO!$AX$15:$BH$15,$A15,0,$B15)&lt;=(PLE.Medicao-1))*OFFSET(CÁLCULO!$AB$15:$AL$15,$A15,0,$B15)*OFFSET(ORÇAMENTO!$AA$15,$A15,0,$B15)/(OFFSET(ORÇAMENTO!$X$15,$A15,0,$B15)+10^-12))+IF(AUTOEVENTO="Manual",SUMPRODUCT((OFFSET(CÁLCULO!$M$15,$A15,0,$B15)=1)*OFFSET(ORÇAMENTO!$AA$15,$A15,0,$B15)*(PLE!$AE$9-PLE!$Y$9)),0))</f>
        <v>#NAME?</v>
      </c>
      <c r="AD15" s="264" t="e">
        <f aca="false">IF(_xlfn.single(ACOMPANHAMENTO)&lt;&gt;"PLE",0,SUMPRODUCT((OFFSET(CÁLCULO!$AX$15:$BH$15,$A15,0,$B15)&lt;=(PLE.Medicao-1))*OFFSET(CÁLCULO!$AB$15:$AL$15,$A15,0,$B15)*OFFSET(ORÇAMENTO!$AB$15,$A15,0,$B15)/(OFFSET(ORÇAMENTO!$X$15,$A15,0,$B15)+10^-12))+IF(AUTOEVENTO="Manual",SUMPRODUCT((OFFSET(CÁLCULO!$M$15,$A15,0,$B15)=1)*OFFSET(ORÇAMENTO!$AB$15,$A15,0,$B15)*(PLE!$AE$9-PLE!$Y$9)),0))</f>
        <v>#NAME?</v>
      </c>
      <c r="AE15" s="264" t="e">
        <f aca="false">ROUND(IF(_xlfn.single(ACOMPANHAMENTO)&lt;&gt;"PLE",0,SUMIF(OFFSET(CÁLCULO!$AX$15:$BH$15,$A15,0,$B15),"&lt;="&amp;(PLE.Medicao-1),OFFSET(CÁLCULO!$AB$15:$AL$15,$A15,0,$B15))+IF(AUTOEVENTO="Manual",SUMIF(OFFSET(CÁLCULO!$M$15,$A15,0,$B15),1,OFFSET(ORÇAMENTO!$X$15,$A15,0,$B15))*(PLE!$AE$9-PLE!$Y$9),0)),2)</f>
        <v>#NAME?</v>
      </c>
      <c r="AF15" s="264" t="e">
        <f aca="false">IF(_xlfn.single(ACOMPANHAMENTO)&lt;&gt;"PLE",0,SUMPRODUCT((OFFSET(CÁLCULO!$AX$15:$BH$15,$A15,0,$B15)&lt;=PLE.Medicao)*OFFSET(CÁLCULO!$AB$15:$AL$15,$A15,0,$B15)*OFFSET(ORÇAMENTO!$AA$15,$A15,0,$B15)/(OFFSET(ORÇAMENTO!$X$15,$A15,0,$B15)+10^-12))+IF(AUTOEVENTO="Manual",SUMPRODUCT((OFFSET(CÁLCULO!$M$15,$A15,0,$B15)=1)*OFFSET(ORÇAMENTO!$AA$15,$A15,0,$B15)*PLE!$AE$9),0))</f>
        <v>#NAME?</v>
      </c>
      <c r="AG15" s="264" t="e">
        <f aca="false">IF(_xlfn.single(ACOMPANHAMENTO)&lt;&gt;"PLE",0,SUMPRODUCT((OFFSET(CÁLCULO!$AX$15:$BH$15,$A15,0,$B15)&lt;=PLE.Medicao)*OFFSET(CÁLCULO!$AB$15:$AL$15,$A15,0,$B15)*OFFSET(ORÇAMENTO!$AB$15,$A15,0,$B15)/(OFFSET(ORÇAMENTO!$X$15,$A15,0,$B15)+10^-12))+IF(AUTOEVENTO="Manual",SUMPRODUCT((OFFSET(CÁLCULO!$M$15,$A15,0,$B15)=1)*OFFSET(ORÇAMENTO!$AB$15,$A15,0,$B15)*PLE!$AE$9),0))</f>
        <v>#NAME?</v>
      </c>
      <c r="AH15" s="264" t="e">
        <f aca="false">ROUND(IF(_xlfn.single(ACOMPANHAMENTO)&lt;&gt;"PLE",0,SUMIF(OFFSET(CÁLCULO!$AX$15:$BH$15,$A15,0,$B15),"&lt;="&amp;PLE.Medicao,OFFSET(CÁLCULO!$AB$15:$AL$15,$A15,0,$B15))+IF(AUTOEVENTO="Manual",SUMIF(OFFSET(CÁLCULO!$M$15,$A15,0,$B15),1,OFFSET(ORÇAMENTO!$X$15,$A15,0,$B15))*PLE!$AE$9,0)),2)</f>
        <v>#NAME?</v>
      </c>
      <c r="AJ15" s="264" t="e">
        <f aca="false">IF(_xlfn.single(ACOMPANHAMENTO)&lt;&gt;"BM",0,SUMPRODUCT(OFFSET(BM!$M$15,$A15,0,$B15)*(OFFSET(BM!$A$15,$A15,0,$B15)="S")*OFFSET(ORÇAMENTO!AA$15,$A15,0,$B15)/(OFFSET(ORÇAMENTO!$X$15,$A15,0,$B15)+10^-12)))</f>
        <v>#NAME?</v>
      </c>
      <c r="AK15" s="264" t="e">
        <f aca="false">IF(_xlfn.single(ACOMPANHAMENTO)&lt;&gt;"BM",0,SUMPRODUCT(OFFSET(BM!$M$15,$A15,0,$B15)*(OFFSET(BM!$A$15,$A15,0,$B15)="S")*OFFSET(ORÇAMENTO!AB$15,$A15,0,$B15)/(OFFSET(ORÇAMENTO!$X$15,$A15,0,$B15)+10^-12)))</f>
        <v>#NAME?</v>
      </c>
      <c r="AL15" s="264" t="e">
        <f aca="false">IF(_xlfn.single(ACOMPANHAMENTO)&lt;&gt;"BM",0,OFFSET(BM!$M$15,$A15,0))</f>
        <v>#NAME?</v>
      </c>
      <c r="AM15" s="264" t="e">
        <f aca="false">IF(_xlfn.single(ACOMPANHAMENTO)&lt;&gt;"BM",0,SUMPRODUCT(OFFSET(BM!$O$15,$A15,0,$B15)*(OFFSET(BM!$A$15,$A15,0,$B15)="S")*OFFSET(ORÇAMENTO!AA$15,$A15,0,$B15)/(OFFSET(ORÇAMENTO!$X$15,$A15,0,$B15)+10^-12)))</f>
        <v>#NAME?</v>
      </c>
      <c r="AN15" s="264" t="e">
        <f aca="false">IF(_xlfn.single(ACOMPANHAMENTO)&lt;&gt;"BM",0,SUMPRODUCT(OFFSET(BM!$O$15,$A15,0,$B15)*(OFFSET(BM!$A$15,$A15,0,$B15)="S")*OFFSET(ORÇAMENTO!AB$15,$A15,0,$B15)/(OFFSET(ORÇAMENTO!$X$15,$A15,0,$B15)+10^-12)))</f>
        <v>#NAME?</v>
      </c>
      <c r="AO15" s="264" t="e">
        <f aca="false">IF(_xlfn.single(ACOMPANHAMENTO)&lt;&gt;"BM",0,OFFSET(BM!$O$15,$A15,0))</f>
        <v>#NAME?</v>
      </c>
    </row>
    <row r="16" customFormat="false" ht="12.75" hidden="false" customHeight="true" outlineLevel="0" collapsed="false">
      <c r="D16" s="1" t="s">
        <v>551</v>
      </c>
      <c r="E16" s="33"/>
      <c r="F16" s="33"/>
      <c r="G16" s="33"/>
      <c r="H16" s="33"/>
      <c r="I16" s="34"/>
      <c r="J16" s="719" t="s">
        <v>935</v>
      </c>
      <c r="K16" s="719"/>
      <c r="L16" s="720" t="n">
        <f aca="false">IF(ISERROR(L20/$L20),0,ROUND(L20/$L20,4))</f>
        <v>1</v>
      </c>
      <c r="M16" s="721" t="n">
        <f aca="false">IF(ISERROR(M20/$L20),0,ROUND(M20/$L20,4))</f>
        <v>0</v>
      </c>
      <c r="N16" s="722" t="n">
        <f aca="false">IF(ISERROR(N20/$L20),0,ROUND(N20/$L20,4))</f>
        <v>0</v>
      </c>
      <c r="O16" s="723" t="n">
        <f aca="false">IF(ISERROR(O20/$L20),0,ROUND(O20/$L20,4))</f>
        <v>0</v>
      </c>
      <c r="P16" s="724" t="e">
        <f aca="false">O20/(L20+10^-12)</f>
        <v>#NAME?</v>
      </c>
      <c r="X16" s="579"/>
      <c r="Y16" s="581"/>
      <c r="Z16" s="582"/>
    </row>
    <row r="17" customFormat="false" ht="12.75" hidden="false" customHeight="true" outlineLevel="0" collapsed="false">
      <c r="D17" s="1" t="s">
        <v>551</v>
      </c>
      <c r="I17" s="9"/>
      <c r="J17" s="725" t="str">
        <f aca="false">IF(import.recurso="FGTS","Financiamento","Repasse")</f>
        <v>Repasse</v>
      </c>
      <c r="K17" s="725"/>
      <c r="L17" s="553" t="n">
        <f aca="false">QCI!L16</f>
        <v>4413.99</v>
      </c>
      <c r="M17" s="550" t="e">
        <f aca="false">M20-M19-M18</f>
        <v>#NAME?</v>
      </c>
      <c r="N17" s="551" t="e">
        <f aca="false">O17-M17</f>
        <v>#NAME?</v>
      </c>
      <c r="O17" s="552" t="e">
        <f aca="false">O20-O19-O18</f>
        <v>#NAME?</v>
      </c>
      <c r="P17" s="724"/>
      <c r="X17" s="726"/>
      <c r="Y17" s="727" t="s">
        <v>936</v>
      </c>
      <c r="Z17" s="728" t="s">
        <v>937</v>
      </c>
      <c r="AC17" s="729" t="s">
        <v>938</v>
      </c>
      <c r="AD17" s="729" t="s">
        <v>939</v>
      </c>
    </row>
    <row r="18" customFormat="false" ht="12.75" hidden="false" customHeight="true" outlineLevel="0" collapsed="false">
      <c r="D18" s="1" t="s">
        <v>551</v>
      </c>
      <c r="I18" s="9"/>
      <c r="J18" s="730" t="s">
        <v>940</v>
      </c>
      <c r="K18" s="730"/>
      <c r="L18" s="731" t="n">
        <f aca="false">QCI!M16</f>
        <v>0</v>
      </c>
      <c r="M18" s="732" t="e">
        <f aca="true">ROUND(IF(OFFSET($X$18,0,1)&lt;&gt;"",OFFSET($X$18,0,1),SUM(R13:OFFSET(R16,-1,0))),2)</f>
        <v>#NAME?</v>
      </c>
      <c r="N18" s="733" t="e">
        <f aca="false">O18-M18</f>
        <v>#NAME?</v>
      </c>
      <c r="O18" s="734" t="e">
        <f aca="true">IF(OFFSET($X$18,0,2)&lt;&gt;"",OFFSET($X$18,0,2),$AE$3)</f>
        <v>#NAME?</v>
      </c>
      <c r="P18" s="724"/>
      <c r="X18" s="735" t="s">
        <v>471</v>
      </c>
      <c r="Y18" s="736"/>
      <c r="Z18" s="737"/>
      <c r="AC18" s="738" t="e">
        <f aca="true">MIN($L18,$O$20-OFFSET($X$19,0,1))</f>
        <v>#NAME?</v>
      </c>
      <c r="AD18" s="738" t="e">
        <f aca="true">MIN($L18,$O$20-OFFSET($X$19,0,2))</f>
        <v>#NAME?</v>
      </c>
    </row>
    <row r="19" customFormat="false" ht="12.75" hidden="false" customHeight="true" outlineLevel="0" collapsed="false">
      <c r="D19" s="1" t="s">
        <v>551</v>
      </c>
      <c r="I19" s="9"/>
      <c r="J19" s="739" t="s">
        <v>917</v>
      </c>
      <c r="K19" s="739"/>
      <c r="L19" s="740" t="n">
        <f aca="false">QCI!N16</f>
        <v>0</v>
      </c>
      <c r="M19" s="741" t="e">
        <f aca="true">ROUND(IF(OFFSET($X$19,0,1)&lt;&gt;"",OFFSET($X$19,0,1),SUM(S13:OFFSET(S16,-1,0))),2)</f>
        <v>#NAME?</v>
      </c>
      <c r="N19" s="742" t="e">
        <f aca="false">O19-M19</f>
        <v>#NAME?</v>
      </c>
      <c r="O19" s="743" t="e">
        <f aca="true">IF(OFFSET($X$19,0,2)&lt;&gt;"",OFFSET($X$19,0,2),$AE$4)</f>
        <v>#NAME?</v>
      </c>
      <c r="P19" s="724"/>
      <c r="X19" s="744" t="s">
        <v>839</v>
      </c>
      <c r="Y19" s="745"/>
      <c r="Z19" s="746"/>
      <c r="AC19" s="738" t="e">
        <f aca="true">MIN($L19,$O$20-OFFSET($X$18,0,1))</f>
        <v>#NAME?</v>
      </c>
      <c r="AD19" s="738" t="e">
        <f aca="true">MIN($L19,$O$20-OFFSET($X$18,0,2))</f>
        <v>#NAME?</v>
      </c>
    </row>
    <row r="20" customFormat="false" ht="15" hidden="false" customHeight="false" outlineLevel="0" collapsed="false">
      <c r="D20" s="1" t="s">
        <v>551</v>
      </c>
      <c r="I20" s="9"/>
      <c r="J20" s="747" t="s">
        <v>919</v>
      </c>
      <c r="K20" s="747"/>
      <c r="L20" s="748" t="n">
        <f aca="true">SUM(L13:OFFSET(L16,-1,0))</f>
        <v>4413.98727</v>
      </c>
      <c r="M20" s="749" t="e">
        <f aca="true">ROUND(SUM(M13:OFFSET(M16,-1,0)),2)</f>
        <v>#NAME?</v>
      </c>
      <c r="N20" s="750" t="e">
        <f aca="false">O20-M20</f>
        <v>#NAME?</v>
      </c>
      <c r="O20" s="751" t="e">
        <f aca="true">SUM(O13:OFFSET(O16,-1,0))</f>
        <v>#NAME?</v>
      </c>
      <c r="P20" s="724"/>
      <c r="X20" s="591"/>
      <c r="Y20" s="593"/>
      <c r="Z20" s="594"/>
    </row>
    <row r="21" customFormat="false" ht="12.75" hidden="false" customHeight="false" outlineLevel="0" collapsed="false">
      <c r="O21" s="752" t="e">
        <f aca="false">"Acumulado Anterior:  "&amp;TEXT($M$20/($L$20+10^-12),"0,00%")</f>
        <v>#NAME?</v>
      </c>
      <c r="P21" s="752"/>
    </row>
    <row r="22" customFormat="false" ht="14.25" hidden="false" customHeight="false" outlineLevel="0" collapsed="false">
      <c r="E22" s="248" t="s">
        <v>704</v>
      </c>
      <c r="P22" s="9"/>
    </row>
    <row r="23" customFormat="false" ht="12.75" hidden="false" customHeight="true" outlineLevel="0" collapsed="false"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</row>
    <row r="24" customFormat="false" ht="12.75" hidden="false" customHeight="true" outlineLevel="0" collapsed="false"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Y24" s="753"/>
      <c r="Z24" s="753"/>
    </row>
    <row r="25" customFormat="false" ht="12.75" hidden="false" customHeight="true" outlineLevel="0" collapsed="false"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</row>
    <row r="26" customFormat="false" ht="12.75" hidden="false" customHeight="false" outlineLevel="0" collapsed="false">
      <c r="L26" s="111" t="str">
        <f aca="false">IF(L27=0,"Preencher a data de fechamento do RRE na aba DADOS (célula "&amp;ADDRESS(ROW(Import.DataFechaRRE),COLUMN(Import.DataFechaRRE),4)&amp;")","")</f>
        <v>Preencher a data de fechamento do RRE na aba DADOS (célula C48)</v>
      </c>
    </row>
    <row r="27" customFormat="false" ht="15" hidden="false" customHeight="false" outlineLevel="0" collapsed="false">
      <c r="E27" s="255" t="str">
        <f aca="false">Import.Município</f>
        <v>CAÇÃPAVA DO SUL</v>
      </c>
      <c r="F27" s="255"/>
      <c r="G27" s="255"/>
      <c r="I27" s="754"/>
      <c r="K27" s="755"/>
      <c r="L27" s="304" t="n">
        <f aca="false">DADOS!$C$48</f>
        <v>0</v>
      </c>
      <c r="M27" s="304"/>
      <c r="N27" s="304"/>
      <c r="O27" s="304"/>
    </row>
    <row r="28" customFormat="false" ht="12.75" hidden="false" customHeight="false" outlineLevel="0" collapsed="false">
      <c r="E28" s="57" t="s">
        <v>709</v>
      </c>
      <c r="L28" s="57" t="s">
        <v>710</v>
      </c>
    </row>
    <row r="30" customFormat="false" ht="12.75" hidden="false" customHeight="false" outlineLevel="0" collapsed="false">
      <c r="E30" s="47"/>
      <c r="F30" s="47"/>
      <c r="G30" s="47"/>
      <c r="L30" s="47"/>
      <c r="M30" s="47"/>
      <c r="N30" s="47"/>
      <c r="O30" s="47"/>
    </row>
    <row r="31" customFormat="false" ht="12.75" hidden="false" customHeight="false" outlineLevel="0" collapsed="false">
      <c r="E31" s="756" t="str">
        <f aca="false">IF(CAIXA.Modo,"Responsável Gerencial CAIXA","Representante Tomador")</f>
        <v>Representante Tomador</v>
      </c>
      <c r="F31" s="49"/>
      <c r="L31" s="756" t="str">
        <f aca="false">IF(CAIXA.Modo,"Responsável Técnico CAIXA","Responsável Técnico pela Fiscalização")</f>
        <v>Responsável Técnico pela Fiscalização</v>
      </c>
    </row>
    <row r="32" customFormat="false" ht="12.75" hidden="false" customHeight="false" outlineLevel="0" collapsed="false">
      <c r="E32" s="150" t="s">
        <v>249</v>
      </c>
      <c r="F32" s="625" t="str">
        <f aca="false">IF(CAIXA.Modo,DADOS!C60,DADOS!C28)</f>
        <v>MARCELO SPODE</v>
      </c>
      <c r="L32" s="150" t="s">
        <v>249</v>
      </c>
      <c r="M32" s="679" t="n">
        <f aca="false">IF(CAIXA.Modo,BM!X52,DADOS!C51)</f>
        <v>0</v>
      </c>
      <c r="N32" s="679"/>
      <c r="O32" s="679"/>
    </row>
    <row r="33" customFormat="false" ht="12.75" hidden="false" customHeight="false" outlineLevel="0" collapsed="false">
      <c r="E33" s="150" t="str">
        <f aca="false">IF(CAIXA.Modo,"Função:","Cargo:")</f>
        <v>Cargo:</v>
      </c>
      <c r="F33" s="625" t="str">
        <f aca="false">IF(CAIXA.Modo,DADOS!C61,DADOS!C29)</f>
        <v>PREFEITO MUNICIPAL</v>
      </c>
      <c r="L33" s="150" t="str">
        <f aca="false">IF(CAIXA.Modo,"Matrícula:","Profissão:")</f>
        <v>Profissão:</v>
      </c>
      <c r="M33" s="679" t="n">
        <f aca="false">IF(CAIXA.Modo,BM!X53,DADOS!C52)</f>
        <v>0</v>
      </c>
      <c r="N33" s="679"/>
      <c r="O33" s="679"/>
    </row>
    <row r="34" customFormat="false" ht="12.75" hidden="false" customHeight="false" outlineLevel="0" collapsed="false">
      <c r="L34" s="150" t="s">
        <v>253</v>
      </c>
      <c r="M34" s="679" t="n">
        <f aca="false">IF(CAIXA.Modo,BM!X54,DADOS!C53)</f>
        <v>0</v>
      </c>
      <c r="N34" s="679"/>
      <c r="O34" s="679"/>
    </row>
    <row r="35" customFormat="false" ht="12.75" hidden="false" customHeight="false" outlineLevel="0" collapsed="false">
      <c r="L35" s="150" t="str">
        <f aca="false">IF(CAIXA.Modo,"","ART/RRT:")</f>
        <v>ART/RRT:</v>
      </c>
      <c r="M35" s="64" t="n">
        <f aca="false">IF(CAIXA.Modo,"",DADOS!C54)</f>
        <v>0</v>
      </c>
    </row>
    <row r="37" customFormat="false" ht="12.75" hidden="false" customHeight="false" outlineLevel="0" collapsed="false">
      <c r="E37" s="47"/>
      <c r="F37" s="47"/>
      <c r="G37" s="47"/>
      <c r="L37" s="47"/>
      <c r="M37" s="47"/>
      <c r="N37" s="47"/>
      <c r="O37" s="47"/>
    </row>
    <row r="38" customFormat="false" ht="12.75" hidden="false" customHeight="false" outlineLevel="0" collapsed="false">
      <c r="E38" s="1" t="str">
        <f aca="false">IF(CAIXA.Modo,"Responsável Social CAIXA","Responsável Social")</f>
        <v>Responsável Social</v>
      </c>
      <c r="L38" s="1" t="str">
        <f aca="false">IF(CAIXA.Modo,"Responsável Operacional CAIXA","Responsável Financeiro")</f>
        <v>Responsável Financeiro</v>
      </c>
    </row>
    <row r="39" customFormat="false" ht="12.75" hidden="false" customHeight="false" outlineLevel="0" collapsed="false">
      <c r="E39" s="150" t="s">
        <v>249</v>
      </c>
      <c r="F39" s="682"/>
      <c r="G39" s="682"/>
      <c r="L39" s="150" t="s">
        <v>249</v>
      </c>
      <c r="M39" s="682"/>
      <c r="N39" s="682"/>
      <c r="O39" s="682"/>
    </row>
    <row r="40" customFormat="false" ht="12.75" hidden="false" customHeight="false" outlineLevel="0" collapsed="false">
      <c r="E40" s="150" t="str">
        <f aca="false">IF(CAIXA.Modo,"Função:","Cargo:")</f>
        <v>Cargo:</v>
      </c>
      <c r="F40" s="682"/>
      <c r="G40" s="682"/>
      <c r="L40" s="150" t="str">
        <f aca="false">IF(CAIXA.Modo,"Função:","Cargo:")</f>
        <v>Cargo:</v>
      </c>
      <c r="M40" s="682"/>
      <c r="N40" s="682"/>
      <c r="O40" s="682"/>
    </row>
    <row r="41" customFormat="false" ht="12.75" hidden="false" customHeight="false" outlineLevel="0" collapsed="false">
      <c r="E41" s="150" t="n">
        <f aca="false">IF(CAIXA.Modo,"Matr:","")</f>
        <v>0</v>
      </c>
      <c r="F41" s="682"/>
      <c r="G41" s="682"/>
      <c r="L41" s="150" t="n">
        <f aca="false">IF(CAIXA.Modo,"Matrícula:","")</f>
        <v>0</v>
      </c>
      <c r="M41" s="682"/>
      <c r="N41" s="682"/>
      <c r="O41" s="682"/>
    </row>
  </sheetData>
  <sheetProtection sheet="true" password="bd1f" objects="true" scenarios="true" autoFilter="false"/>
  <autoFilter ref="D13:D22"/>
  <mergeCells count="40">
    <mergeCell ref="E3:H3"/>
    <mergeCell ref="I3:K3"/>
    <mergeCell ref="E4:H4"/>
    <mergeCell ref="I4:K4"/>
    <mergeCell ref="M4:O4"/>
    <mergeCell ref="E6:H6"/>
    <mergeCell ref="I6:L6"/>
    <mergeCell ref="D7:D11"/>
    <mergeCell ref="E7:H7"/>
    <mergeCell ref="I7:L7"/>
    <mergeCell ref="G9:H9"/>
    <mergeCell ref="I9:J9"/>
    <mergeCell ref="L9:L10"/>
    <mergeCell ref="G10:H10"/>
    <mergeCell ref="AC10:AH10"/>
    <mergeCell ref="AJ10:AO10"/>
    <mergeCell ref="Y11:Z11"/>
    <mergeCell ref="AC11:AE11"/>
    <mergeCell ref="AF11:AH11"/>
    <mergeCell ref="AJ11:AL11"/>
    <mergeCell ref="AM11:AO11"/>
    <mergeCell ref="J16:K16"/>
    <mergeCell ref="P16:P20"/>
    <mergeCell ref="J17:K17"/>
    <mergeCell ref="J18:K18"/>
    <mergeCell ref="J19:K19"/>
    <mergeCell ref="J20:K20"/>
    <mergeCell ref="O21:P21"/>
    <mergeCell ref="E23:P25"/>
    <mergeCell ref="E27:G27"/>
    <mergeCell ref="L27:O27"/>
    <mergeCell ref="M32:O32"/>
    <mergeCell ref="M33:O33"/>
    <mergeCell ref="M34:O34"/>
    <mergeCell ref="F39:G39"/>
    <mergeCell ref="M39:O39"/>
    <mergeCell ref="F40:G40"/>
    <mergeCell ref="M40:O40"/>
    <mergeCell ref="F41:G41"/>
    <mergeCell ref="M41:O41"/>
  </mergeCells>
  <conditionalFormatting sqref="X14:Z15">
    <cfRule type="expression" priority="2" aboveAverage="0" equalAverage="0" bottom="0" percent="0" rank="0" text="" dxfId="510">
      <formula>OR($C14="Automático",$C14="Branco")</formula>
    </cfRule>
  </conditionalFormatting>
  <conditionalFormatting sqref="M14:M15 O14:O15">
    <cfRule type="cellIs" priority="3" operator="notBetween" aboveAverage="0" equalAverage="0" bottom="0" percent="0" rank="0" text="" dxfId="511">
      <formula>0</formula>
      <formula>$L14</formula>
    </cfRule>
  </conditionalFormatting>
  <conditionalFormatting sqref="X12:Z12">
    <cfRule type="expression" priority="4" aboveAverage="0" equalAverage="0" bottom="0" percent="0" rank="0" text="" dxfId="512">
      <formula>OR($C12="Automático",$C12="Branco")</formula>
    </cfRule>
  </conditionalFormatting>
  <conditionalFormatting sqref="F41:G41 M41:O41">
    <cfRule type="expression" priority="5" aboveAverage="0" equalAverage="0" bottom="0" percent="0" rank="0" text="" dxfId="513">
      <formula>CAIXA.Modo=0</formula>
    </cfRule>
  </conditionalFormatting>
  <conditionalFormatting sqref="M12 M17:M20 O12 O17:O20">
    <cfRule type="cellIs" priority="6" operator="notBetween" aboveAverage="0" equalAverage="0" bottom="0" percent="0" rank="0" text="" dxfId="514">
      <formula>0</formula>
      <formula>$L12</formula>
    </cfRule>
  </conditionalFormatting>
  <conditionalFormatting sqref="M10:N10">
    <cfRule type="cellIs" priority="7" operator="lessThan" aboveAverage="0" equalAverage="0" bottom="0" percent="0" rank="0" text="" dxfId="515">
      <formula>0</formula>
    </cfRule>
  </conditionalFormatting>
  <dataValidations count="5">
    <dataValidation allowBlank="true" error="Valor menor que 0,00 ou maior que o valor da Contrapartida/Outros." errorStyle="warning" errorTitle="Erro de valor" operator="between" prompt="Deixe essa célula em branco para o cálculo automático. Preencha somente para valores de CP diferentes do previsto." promptTitle="Contrapartida Anterior:" showDropDown="false" showErrorMessage="true" showInputMessage="true" sqref="Y18" type="decimal">
      <formula1>0</formula1>
      <formula2>RRE.MaxCPAnt</formula2>
    </dataValidation>
    <dataValidation allowBlank="true" error="Valor menor que 0,00 ou maior que o valor da Contrapartida/Outros." errorStyle="warning" errorTitle="Erro de valor" operator="between" prompt="Deixe essa célula em branco para o cálculo automático. Preencha somente para valores de CP diferentes do previsto." promptTitle="Contrapartida Acumulada:" showDropDown="false" showErrorMessage="true" showInputMessage="true" sqref="Z18" type="decimal">
      <formula1>0</formula1>
      <formula2>RRE.MaxCPAcum</formula2>
    </dataValidation>
    <dataValidation allowBlank="true" error="Valor menor que 0,00 ou maior que o valor da Contrapartida/Outros." errorStyle="warning" errorTitle="Erro de valor" operator="between" prompt="Deixe essa célula em branco para o cálculo automático. Preencha somente para valores de Outros diferentes do previsto." promptTitle="Outros Anterior:" showDropDown="false" showErrorMessage="true" showInputMessage="true" sqref="Y19" type="decimal">
      <formula1>0</formula1>
      <formula2>RRE.MaxOUAnt</formula2>
    </dataValidation>
    <dataValidation allowBlank="true" error="Valor menor que 0,00 ou maior que o valor da Contrapartida/Outros." errorStyle="warning" errorTitle="Erro de valor" operator="between" prompt="Deixe essa célula em branco para o cálculo automático. Preencha somente para valores de Outros diferentes do previsto." promptTitle="Outros Acumulada:" showDropDown="false" showErrorMessage="true" showInputMessage="true" sqref="Z19" type="decimal">
      <formula1>0</formula1>
      <formula2>RRE.MaxOUAcum</formula2>
    </dataValidation>
    <dataValidation allowBlank="true" errorStyle="stop" operator="between" showDropDown="false" showErrorMessage="true" showInputMessage="true" sqref="Y12:Z12 Y14:Z15" type="decimal">
      <formula1>0</formula1>
      <formula2>RRE.VIMeta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0.590277777777778" footer="0.590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&amp;L_&amp;C&amp;14I</oddHeader>
    <oddFooter>&amp;LPMv3.10&amp;R&amp;P / &amp;N</oddFooter>
  </headerFooter>
  <colBreaks count="1" manualBreakCount="1">
    <brk id="15" man="true" max="65535" min="0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M56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5.57"/>
    <col collapsed="false" customWidth="true" hidden="false" outlineLevel="0" max="3" min="3" style="1" width="6.57"/>
    <col collapsed="false" customWidth="true" hidden="false" outlineLevel="0" max="5" min="4" style="1" width="20.57"/>
    <col collapsed="false" customWidth="true" hidden="false" outlineLevel="0" max="6" min="6" style="1" width="8.57"/>
    <col collapsed="false" customWidth="true" hidden="false" outlineLevel="0" max="7" min="7" style="1" width="12.57"/>
    <col collapsed="false" customWidth="true" hidden="false" outlineLevel="0" max="8" min="8" style="1" width="20.57"/>
    <col collapsed="false" customWidth="true" hidden="false" outlineLevel="0" max="10" min="10" style="1" width="14.14"/>
  </cols>
  <sheetData>
    <row r="1" customFormat="false" ht="12.75" hidden="false" customHeight="false" outlineLevel="0" collapsed="false">
      <c r="B1" s="757"/>
      <c r="C1" s="757"/>
      <c r="D1" s="96"/>
      <c r="E1" s="96"/>
      <c r="F1" s="96"/>
      <c r="G1" s="99" t="s">
        <v>659</v>
      </c>
    </row>
    <row r="2" customFormat="false" ht="12.75" hidden="false" customHeight="false" outlineLevel="0" collapsed="false">
      <c r="B2" s="757"/>
      <c r="C2" s="757"/>
      <c r="D2" s="96"/>
      <c r="E2" s="96"/>
      <c r="F2" s="96"/>
      <c r="G2" s="59" t="s">
        <v>941</v>
      </c>
    </row>
    <row r="3" customFormat="false" ht="25.5" hidden="false" customHeight="true" outlineLevel="0" collapsed="false">
      <c r="B3" s="757"/>
      <c r="C3" s="757"/>
      <c r="D3" s="96"/>
      <c r="E3" s="96"/>
      <c r="F3" s="96"/>
      <c r="G3" s="758"/>
    </row>
    <row r="4" customFormat="false" ht="12.75" hidden="false" customHeight="true" outlineLevel="0" collapsed="false">
      <c r="B4" s="757"/>
      <c r="C4" s="757"/>
      <c r="D4" s="96"/>
      <c r="E4" s="96"/>
      <c r="F4" s="96"/>
      <c r="G4" s="96"/>
    </row>
    <row r="5" customFormat="false" ht="12.75" hidden="false" customHeight="false" outlineLevel="0" collapsed="false">
      <c r="C5" s="111" t="str">
        <f aca="false">IF(Import.Ofício.Num=0,"Preencher o número do Ofício","")</f>
        <v>Preencher o número do Ofício</v>
      </c>
    </row>
    <row r="6" customFormat="false" ht="12.75" hidden="false" customHeight="false" outlineLevel="0" collapsed="false">
      <c r="B6" s="759" t="s">
        <v>942</v>
      </c>
      <c r="C6" s="760"/>
      <c r="D6" s="760"/>
      <c r="E6" s="759"/>
      <c r="F6" s="759"/>
      <c r="G6" s="96"/>
      <c r="J6" s="57"/>
    </row>
    <row r="7" customFormat="false" ht="12.75" hidden="false" customHeight="false" outlineLevel="0" collapsed="false">
      <c r="B7" s="96"/>
      <c r="C7" s="96"/>
      <c r="D7" s="96"/>
      <c r="E7" s="96"/>
      <c r="F7" s="96"/>
      <c r="G7" s="96"/>
    </row>
    <row r="8" customFormat="false" ht="12.75" hidden="false" customHeight="false" outlineLevel="0" collapsed="false">
      <c r="B8" s="761" t="str">
        <f aca="false">CONCATENATE(RRE!$E$27,", ",TEXT(RRE!$L$27,"dd"" de ""mmmm"" de ""aaaa"))</f>
        <v>CAÇÃPAVA DO SUL, 00 de janeiro de 1900</v>
      </c>
      <c r="C8" s="761"/>
      <c r="D8" s="761"/>
      <c r="E8" s="761"/>
      <c r="F8" s="761"/>
      <c r="G8" s="761"/>
      <c r="H8" s="762"/>
      <c r="J8" s="762"/>
      <c r="K8" s="762"/>
      <c r="L8" s="762"/>
      <c r="M8" s="762"/>
    </row>
    <row r="9" customFormat="false" ht="12.75" hidden="false" customHeight="false" outlineLevel="0" collapsed="false">
      <c r="B9" s="763" t="s">
        <v>943</v>
      </c>
      <c r="C9" s="96"/>
      <c r="D9" s="96"/>
      <c r="G9" s="96"/>
      <c r="H9" s="762"/>
      <c r="J9" s="762"/>
      <c r="K9" s="762"/>
      <c r="L9" s="762"/>
      <c r="M9" s="762"/>
    </row>
    <row r="10" customFormat="false" ht="12.75" hidden="false" customHeight="false" outlineLevel="0" collapsed="false">
      <c r="B10" s="764" t="s">
        <v>944</v>
      </c>
      <c r="C10" s="764"/>
      <c r="D10" s="764"/>
      <c r="G10" s="96"/>
      <c r="H10" s="762"/>
      <c r="J10" s="762"/>
      <c r="K10" s="762"/>
      <c r="L10" s="762"/>
      <c r="M10" s="762"/>
    </row>
    <row r="11" customFormat="false" ht="12.75" hidden="false" customHeight="false" outlineLevel="0" collapsed="false">
      <c r="B11" s="765" t="s">
        <v>945</v>
      </c>
      <c r="C11" s="682"/>
      <c r="D11" s="682"/>
      <c r="G11" s="96"/>
      <c r="H11" s="762"/>
      <c r="J11" s="762"/>
      <c r="K11" s="762"/>
      <c r="L11" s="762"/>
      <c r="M11" s="762"/>
    </row>
    <row r="12" customFormat="false" ht="12.75" hidden="false" customHeight="false" outlineLevel="0" collapsed="false">
      <c r="B12" s="303"/>
      <c r="C12" s="303"/>
      <c r="D12" s="303"/>
      <c r="E12" s="303"/>
      <c r="F12" s="303"/>
      <c r="G12" s="96"/>
      <c r="H12" s="762"/>
      <c r="J12" s="762"/>
      <c r="K12" s="762"/>
      <c r="L12" s="762"/>
      <c r="M12" s="762"/>
    </row>
    <row r="13" customFormat="false" ht="12.75" hidden="false" customHeight="false" outlineLevel="0" collapsed="false">
      <c r="B13" s="96"/>
      <c r="C13" s="96"/>
      <c r="D13" s="96"/>
      <c r="E13" s="96"/>
      <c r="F13" s="96"/>
      <c r="G13" s="96"/>
    </row>
    <row r="14" customFormat="false" ht="12.75" hidden="false" customHeight="false" outlineLevel="0" collapsed="false">
      <c r="B14" s="763" t="s">
        <v>946</v>
      </c>
      <c r="C14" s="766" t="str">
        <f aca="true">CONCATENATE(RRE.Numero,"ª"," Solicitação de ",IF(import.recurso="OGU","Desbloqueio","Desembolso")," de Recursos.")</f>
        <v>1ª Solicitação de Desbloqueio de Recursos.</v>
      </c>
      <c r="D14" s="766"/>
      <c r="E14" s="766"/>
      <c r="F14" s="766"/>
      <c r="G14" s="766"/>
    </row>
    <row r="15" customFormat="false" ht="12.75" hidden="false" customHeight="true" outlineLevel="0" collapsed="false">
      <c r="B15" s="763" t="s">
        <v>947</v>
      </c>
      <c r="C15" s="767" t="str">
        <f aca="false">CONCATENATE("Contrato de ",IF(import.recurso="OGU","Repasse","Financiamento")," - Operação nº ",Import.CR,IF(Import.TransfereGOV="","",CONCATENATE(" - TransfereGOV nº ",Import.TransfereGOV)))</f>
        <v>Contrato de Repasse - Operação nº - - TransfereGOV nº -</v>
      </c>
      <c r="D15" s="767"/>
      <c r="E15" s="767"/>
      <c r="F15" s="767"/>
      <c r="G15" s="767"/>
    </row>
    <row r="16" customFormat="false" ht="12.75" hidden="false" customHeight="false" outlineLevel="0" collapsed="false">
      <c r="B16" s="763"/>
      <c r="C16" s="767"/>
      <c r="D16" s="767"/>
      <c r="E16" s="767"/>
      <c r="F16" s="767"/>
      <c r="G16" s="767"/>
    </row>
    <row r="17" customFormat="false" ht="12.75" hidden="false" customHeight="false" outlineLevel="0" collapsed="false">
      <c r="B17" s="96"/>
      <c r="C17" s="96"/>
      <c r="D17" s="96"/>
      <c r="E17" s="96"/>
      <c r="F17" s="96"/>
      <c r="G17" s="96"/>
    </row>
    <row r="18" customFormat="false" ht="12.75" hidden="false" customHeight="true" outlineLevel="0" collapsed="false">
      <c r="B18" s="625" t="s">
        <v>948</v>
      </c>
      <c r="C18" s="768" t="str">
        <f aca="false">Import.DescLote</f>
        <v>REFORMA DO TELHADO</v>
      </c>
      <c r="D18" s="768"/>
      <c r="E18" s="768"/>
      <c r="F18" s="768"/>
      <c r="G18" s="768"/>
    </row>
    <row r="19" customFormat="false" ht="12.75" hidden="false" customHeight="true" outlineLevel="0" collapsed="false">
      <c r="B19" s="769" t="s">
        <v>949</v>
      </c>
      <c r="C19" s="770" t="str">
        <f aca="false">Import.Proponente</f>
        <v>PREFEITURA MUNICIPAL DE CAÇAPAVA DO SUL</v>
      </c>
      <c r="D19" s="770"/>
      <c r="E19" s="770"/>
      <c r="F19" s="770"/>
      <c r="G19" s="770"/>
    </row>
    <row r="20" customFormat="false" ht="12.75" hidden="false" customHeight="false" outlineLevel="0" collapsed="false">
      <c r="B20" s="769"/>
      <c r="C20" s="770"/>
      <c r="D20" s="770"/>
      <c r="E20" s="770"/>
      <c r="F20" s="770"/>
      <c r="G20" s="770"/>
    </row>
    <row r="21" customFormat="false" ht="12.75" hidden="false" customHeight="false" outlineLevel="0" collapsed="false">
      <c r="B21" s="96"/>
      <c r="C21" s="96"/>
      <c r="D21" s="96"/>
      <c r="E21" s="96"/>
      <c r="F21" s="96"/>
      <c r="G21" s="96"/>
    </row>
    <row r="22" customFormat="false" ht="12.75" hidden="false" customHeight="false" outlineLevel="0" collapsed="false">
      <c r="B22" s="1" t="str">
        <f aca="false">IF(B11="GIGOV","Senhor Gerente","Senhor Superintendente")</f>
        <v>Senhor Gerente</v>
      </c>
      <c r="D22" s="96"/>
      <c r="E22" s="96"/>
      <c r="F22" s="96"/>
      <c r="G22" s="96"/>
    </row>
    <row r="23" customFormat="false" ht="12.75" hidden="false" customHeight="false" outlineLevel="0" collapsed="false">
      <c r="B23" s="96"/>
      <c r="C23" s="96"/>
      <c r="D23" s="96"/>
      <c r="E23" s="96"/>
      <c r="F23" s="96"/>
      <c r="G23" s="96"/>
    </row>
    <row r="24" customFormat="false" ht="12.75" hidden="false" customHeight="true" outlineLevel="0" collapsed="false">
      <c r="B24" s="768" t="str">
        <f aca="false"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68"/>
      <c r="D24" s="768"/>
      <c r="E24" s="768"/>
      <c r="F24" s="768"/>
      <c r="G24" s="768"/>
    </row>
    <row r="25" customFormat="false" ht="12.75" hidden="false" customHeight="false" outlineLevel="0" collapsed="false">
      <c r="B25" s="768"/>
      <c r="C25" s="768"/>
      <c r="D25" s="768"/>
      <c r="E25" s="768"/>
      <c r="F25" s="768"/>
      <c r="G25" s="768"/>
    </row>
    <row r="26" customFormat="false" ht="12.75" hidden="false" customHeight="false" outlineLevel="0" collapsed="false">
      <c r="B26" s="768"/>
      <c r="C26" s="768"/>
      <c r="D26" s="768"/>
      <c r="E26" s="768"/>
      <c r="F26" s="768"/>
      <c r="G26" s="768"/>
    </row>
    <row r="27" customFormat="false" ht="12.75" hidden="false" customHeight="false" outlineLevel="0" collapsed="false">
      <c r="B27" s="96"/>
      <c r="C27" s="96"/>
      <c r="D27" s="96"/>
      <c r="E27" s="96"/>
      <c r="F27" s="96"/>
      <c r="G27" s="96"/>
    </row>
    <row r="28" customFormat="false" ht="12.75" hidden="false" customHeight="true" outlineLevel="0" collapsed="false">
      <c r="B28" s="771"/>
      <c r="C28" s="771"/>
      <c r="D28" s="772" t="s">
        <v>950</v>
      </c>
      <c r="E28" s="772" t="str">
        <f aca="true">"Evolução da "&amp;RRE.Numero&amp;"ª Medição"</f>
        <v>Evolução da 1ª Medição</v>
      </c>
      <c r="F28" s="773" t="s">
        <v>951</v>
      </c>
      <c r="G28" s="773"/>
    </row>
    <row r="29" customFormat="false" ht="12.75" hidden="false" customHeight="false" outlineLevel="0" collapsed="false">
      <c r="B29" s="771"/>
      <c r="C29" s="771"/>
      <c r="D29" s="772"/>
      <c r="E29" s="772"/>
      <c r="F29" s="773"/>
      <c r="G29" s="773"/>
    </row>
    <row r="30" customFormat="false" ht="12.75" hidden="false" customHeight="false" outlineLevel="0" collapsed="false">
      <c r="B30" s="774" t="str">
        <f aca="false">IF(import.recurso="FGTS","Financiamento:","Repasse:")</f>
        <v>Repasse:</v>
      </c>
      <c r="C30" s="774"/>
      <c r="D30" s="775" t="n">
        <f aca="false">RRE!L17</f>
        <v>4413.99</v>
      </c>
      <c r="E30" s="775" t="e">
        <f aca="false">RRE!N17</f>
        <v>#NAME?</v>
      </c>
      <c r="F30" s="776" t="e">
        <f aca="false">RRE!O17</f>
        <v>#NAME?</v>
      </c>
      <c r="G30" s="776"/>
    </row>
    <row r="31" customFormat="false" ht="12.75" hidden="false" customHeight="false" outlineLevel="0" collapsed="false">
      <c r="B31" s="774" t="s">
        <v>952</v>
      </c>
      <c r="C31" s="774"/>
      <c r="D31" s="775" t="n">
        <f aca="false">RRE!L18</f>
        <v>0</v>
      </c>
      <c r="E31" s="775" t="e">
        <f aca="false">RRE!N18</f>
        <v>#NAME?</v>
      </c>
      <c r="F31" s="776" t="e">
        <f aca="false">RRE!O18</f>
        <v>#NAME?</v>
      </c>
      <c r="G31" s="776"/>
    </row>
    <row r="32" customFormat="false" ht="12.75" hidden="false" customHeight="false" outlineLevel="0" collapsed="false">
      <c r="B32" s="774" t="s">
        <v>846</v>
      </c>
      <c r="C32" s="774"/>
      <c r="D32" s="775" t="n">
        <f aca="false">RRE!L19</f>
        <v>0</v>
      </c>
      <c r="E32" s="775" t="e">
        <f aca="false">RRE!N19</f>
        <v>#NAME?</v>
      </c>
      <c r="F32" s="776" t="e">
        <f aca="false">RRE!O19</f>
        <v>#NAME?</v>
      </c>
      <c r="G32" s="776"/>
    </row>
    <row r="33" customFormat="false" ht="12.75" hidden="false" customHeight="false" outlineLevel="0" collapsed="false">
      <c r="B33" s="774" t="s">
        <v>847</v>
      </c>
      <c r="C33" s="774"/>
      <c r="D33" s="775" t="n">
        <f aca="false">RRE!L20</f>
        <v>4413.98727</v>
      </c>
      <c r="E33" s="775" t="e">
        <f aca="false">RRE!N20</f>
        <v>#NAME?</v>
      </c>
      <c r="F33" s="776" t="e">
        <f aca="false">RRE!O20</f>
        <v>#NAME?</v>
      </c>
      <c r="G33" s="776"/>
    </row>
    <row r="34" customFormat="false" ht="12.75" hidden="false" customHeight="false" outlineLevel="0" collapsed="false">
      <c r="B34" s="777" t="s">
        <v>953</v>
      </c>
      <c r="C34" s="777"/>
      <c r="D34" s="778" t="s">
        <v>186</v>
      </c>
      <c r="E34" s="779" t="e">
        <f aca="false">RRE!$N$20/(RRE!$L$20+10^-12)</f>
        <v>#NAME?</v>
      </c>
      <c r="F34" s="780" t="e">
        <f aca="false">RRE!P16</f>
        <v>#NAME?</v>
      </c>
      <c r="G34" s="780"/>
    </row>
    <row r="35" customFormat="false" ht="12.75" hidden="false" customHeight="false" outlineLevel="0" collapsed="false">
      <c r="B35" s="257"/>
      <c r="C35" s="96"/>
      <c r="D35" s="96"/>
      <c r="E35" s="96"/>
      <c r="F35" s="96"/>
      <c r="G35" s="96"/>
    </row>
    <row r="36" customFormat="false" ht="12.75" hidden="false" customHeight="false" outlineLevel="0" collapsed="false">
      <c r="B36" s="257"/>
      <c r="C36" s="257"/>
      <c r="D36" s="257"/>
      <c r="E36" s="257"/>
      <c r="F36" s="257"/>
      <c r="G36" s="96"/>
    </row>
    <row r="37" customFormat="false" ht="12.75" hidden="false" customHeight="false" outlineLevel="0" collapsed="false">
      <c r="B37" s="781" t="str">
        <f aca="true">IF(RRE.Numero&gt;1,"2. Encaminhamos ainda a documentação relativa à prestação de contas da etapa físico-financeira anterior.","")</f>
        <v/>
      </c>
      <c r="C37" s="781"/>
      <c r="D37" s="781"/>
      <c r="E37" s="781"/>
      <c r="F37" s="781"/>
      <c r="G37" s="781"/>
    </row>
    <row r="38" customFormat="false" ht="12.75" hidden="false" customHeight="false" outlineLevel="0" collapsed="false">
      <c r="B38" s="781"/>
      <c r="C38" s="781"/>
      <c r="D38" s="781"/>
      <c r="E38" s="781"/>
      <c r="F38" s="781"/>
      <c r="G38" s="781"/>
    </row>
    <row r="39" customFormat="false" ht="12.75" hidden="false" customHeight="true" outlineLevel="0" collapsed="false">
      <c r="B39" s="781" t="str">
        <f aca="true">IF(AND(RRE.Numero&gt;1,NOT(ISBLANK(Import.TransfereGOV))),"3. Na oportunidade, informamos que a execução financeira da parcela anterior está devidamente comprovada no TransfereGOV.","")</f>
        <v/>
      </c>
      <c r="C39" s="781"/>
      <c r="D39" s="781"/>
      <c r="E39" s="781"/>
      <c r="F39" s="781"/>
      <c r="G39" s="781"/>
    </row>
    <row r="40" customFormat="false" ht="12.75" hidden="false" customHeight="false" outlineLevel="0" collapsed="false">
      <c r="B40" s="781"/>
      <c r="C40" s="781"/>
      <c r="D40" s="781"/>
      <c r="E40" s="781"/>
      <c r="F40" s="781"/>
      <c r="G40" s="781"/>
    </row>
    <row r="41" customFormat="false" ht="12.75" hidden="false" customHeight="false" outlineLevel="0" collapsed="false">
      <c r="B41" s="782"/>
      <c r="C41" s="765"/>
      <c r="D41" s="765"/>
      <c r="E41" s="765"/>
      <c r="F41" s="765"/>
      <c r="G41" s="765"/>
    </row>
    <row r="42" customFormat="false" ht="12.75" hidden="false" customHeight="true" outlineLevel="0" collapsed="false">
      <c r="B42" s="781" t="str">
        <f aca="false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81"/>
      <c r="D42" s="781"/>
      <c r="E42" s="781"/>
      <c r="F42" s="781"/>
      <c r="G42" s="781"/>
    </row>
    <row r="43" customFormat="false" ht="12.75" hidden="false" customHeight="false" outlineLevel="0" collapsed="false">
      <c r="B43" s="781"/>
      <c r="C43" s="781"/>
      <c r="D43" s="781"/>
      <c r="E43" s="781"/>
      <c r="F43" s="781"/>
      <c r="G43" s="781"/>
    </row>
    <row r="44" customFormat="false" ht="12.75" hidden="false" customHeight="false" outlineLevel="0" collapsed="false">
      <c r="B44" s="781"/>
      <c r="C44" s="781"/>
      <c r="D44" s="781"/>
      <c r="E44" s="781"/>
      <c r="F44" s="781"/>
      <c r="G44" s="781"/>
    </row>
    <row r="45" customFormat="false" ht="12.75" hidden="false" customHeight="false" outlineLevel="0" collapsed="false">
      <c r="B45" s="781"/>
      <c r="C45" s="781"/>
      <c r="D45" s="781"/>
      <c r="E45" s="781"/>
      <c r="F45" s="781"/>
      <c r="G45" s="781"/>
    </row>
    <row r="46" customFormat="false" ht="12.75" hidden="false" customHeight="false" outlineLevel="0" collapsed="false">
      <c r="B46" s="781"/>
      <c r="C46" s="781"/>
      <c r="D46" s="781"/>
      <c r="E46" s="781"/>
      <c r="F46" s="781"/>
      <c r="G46" s="781"/>
    </row>
    <row r="47" customFormat="false" ht="12.75" hidden="false" customHeight="false" outlineLevel="0" collapsed="false">
      <c r="G47" s="534"/>
    </row>
    <row r="48" customFormat="false" ht="12.75" hidden="false" customHeight="false" outlineLevel="0" collapsed="false">
      <c r="G48" s="534"/>
    </row>
    <row r="49" customFormat="false" ht="12.75" hidden="false" customHeight="false" outlineLevel="0" collapsed="false">
      <c r="B49" s="96" t="s">
        <v>954</v>
      </c>
      <c r="G49" s="534"/>
    </row>
    <row r="50" customFormat="false" ht="12.75" hidden="false" customHeight="false" outlineLevel="0" collapsed="false">
      <c r="B50" s="534"/>
      <c r="C50" s="534"/>
      <c r="D50" s="534"/>
      <c r="E50" s="534"/>
      <c r="F50" s="534"/>
      <c r="G50" s="534"/>
    </row>
    <row r="51" customFormat="false" ht="12.75" hidden="false" customHeight="false" outlineLevel="0" collapsed="false">
      <c r="B51" s="96"/>
      <c r="C51" s="96"/>
      <c r="D51" s="96"/>
      <c r="E51" s="96"/>
      <c r="F51" s="96"/>
      <c r="G51" s="96"/>
    </row>
    <row r="52" customFormat="false" ht="12.75" hidden="false" customHeight="false" outlineLevel="0" collapsed="false">
      <c r="B52" s="96"/>
      <c r="C52" s="96"/>
      <c r="D52" s="96"/>
      <c r="E52" s="96"/>
      <c r="F52" s="96"/>
      <c r="G52" s="96"/>
    </row>
    <row r="53" customFormat="false" ht="12.75" hidden="false" customHeight="false" outlineLevel="0" collapsed="false">
      <c r="B53" s="783"/>
      <c r="C53" s="783"/>
      <c r="D53" s="783"/>
      <c r="E53" s="96"/>
      <c r="F53" s="96"/>
      <c r="G53" s="96"/>
    </row>
    <row r="54" customFormat="false" ht="12.75" hidden="false" customHeight="false" outlineLevel="0" collapsed="false">
      <c r="B54" s="784" t="str">
        <f aca="false">DADOS!$C$28</f>
        <v>MARCELO SPODE</v>
      </c>
      <c r="C54" s="784"/>
      <c r="D54" s="784"/>
      <c r="E54" s="784"/>
      <c r="F54" s="784"/>
      <c r="G54" s="784"/>
    </row>
    <row r="55" customFormat="false" ht="12.75" hidden="false" customHeight="false" outlineLevel="0" collapsed="false">
      <c r="B55" s="784" t="str">
        <f aca="false">DADOS!$C$29</f>
        <v>PREFEITO MUNICIPAL</v>
      </c>
      <c r="C55" s="784"/>
      <c r="D55" s="784"/>
      <c r="E55" s="784"/>
      <c r="F55" s="784"/>
      <c r="G55" s="784"/>
    </row>
    <row r="56" customFormat="false" ht="12.75" hidden="false" customHeight="false" outlineLevel="0" collapsed="false">
      <c r="B56" s="784"/>
      <c r="C56" s="784"/>
      <c r="D56" s="784"/>
      <c r="E56" s="784"/>
      <c r="F56" s="784"/>
      <c r="G56" s="784"/>
    </row>
  </sheetData>
  <sheetProtection sheet="true" password="bd1f" objects="true" scenarios="true" autoFilter="false"/>
  <mergeCells count="30">
    <mergeCell ref="B1:C4"/>
    <mergeCell ref="C6:D6"/>
    <mergeCell ref="B8:G8"/>
    <mergeCell ref="B10:D10"/>
    <mergeCell ref="C11:D11"/>
    <mergeCell ref="C14:G14"/>
    <mergeCell ref="C15:G16"/>
    <mergeCell ref="C18:G18"/>
    <mergeCell ref="B19:B20"/>
    <mergeCell ref="C19:G20"/>
    <mergeCell ref="B24:G26"/>
    <mergeCell ref="B28:C29"/>
    <mergeCell ref="D28:D29"/>
    <mergeCell ref="E28:E29"/>
    <mergeCell ref="F28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7:G38"/>
    <mergeCell ref="B39:G40"/>
    <mergeCell ref="B42:G46"/>
    <mergeCell ref="B54:G54"/>
    <mergeCell ref="B55:G56"/>
  </mergeCells>
  <conditionalFormatting sqref="D30:D33 F30:G33">
    <cfRule type="cellIs" priority="2" operator="notBetween" aboveAverage="0" equalAverage="0" bottom="0" percent="0" rank="0" text="" dxfId="516">
      <formula>0</formula>
      <formula>D$33</formula>
    </cfRule>
  </conditionalFormatting>
  <dataValidations count="1">
    <dataValidation allowBlank="true" errorStyle="stop" operator="between" showDropDown="false" showErrorMessage="true" showInputMessage="false" sqref="B11" type="list">
      <formula1>"GIGOV,SR"</formula1>
      <formula2>0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97" fitToWidth="1" fitToHeight="1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785" width="15"/>
    <col collapsed="false" customWidth="true" hidden="false" outlineLevel="0" max="2" min="2" style="785" width="25"/>
    <col collapsed="false" customWidth="true" hidden="false" outlineLevel="0" max="3" min="3" style="785" width="12"/>
    <col collapsed="false" customWidth="true" hidden="false" outlineLevel="0" max="4" min="4" style="786" width="15.57"/>
    <col collapsed="false" customWidth="true" hidden="false" outlineLevel="0" max="5" min="5" style="785" width="70"/>
    <col collapsed="false" customWidth="true" hidden="false" outlineLevel="0" max="6" min="6" style="785" width="20"/>
    <col collapsed="false" customWidth="true" hidden="false" outlineLevel="0" max="7" min="7" style="785" width="10"/>
    <col collapsed="false" customWidth="true" hidden="false" outlineLevel="0" max="8" min="8" style="785" width="25"/>
    <col collapsed="false" customWidth="true" hidden="false" outlineLevel="0" max="9" min="9" style="785" width="15"/>
    <col collapsed="false" customWidth="true" hidden="false" outlineLevel="0" max="10" min="10" style="785" width="13"/>
    <col collapsed="false" customWidth="true" hidden="false" outlineLevel="0" max="12" min="11" style="785" width="35"/>
    <col collapsed="false" customWidth="true" hidden="false" outlineLevel="0" max="13" min="13" style="785" width="20"/>
    <col collapsed="false" customWidth="true" hidden="false" outlineLevel="0" max="14" min="14" style="785" width="15"/>
    <col collapsed="false" customWidth="true" hidden="false" outlineLevel="0" max="15" min="15" style="785" width="50"/>
    <col collapsed="false" customWidth="true" hidden="false" outlineLevel="0" max="16" min="16" style="785" width="20"/>
    <col collapsed="false" customWidth="true" hidden="false" outlineLevel="0" max="17" min="17" style="785" width="50"/>
    <col collapsed="false" customWidth="true" hidden="false" outlineLevel="0" max="18" min="18" style="785" width="15"/>
    <col collapsed="false" customWidth="true" hidden="false" outlineLevel="0" max="19" min="19" style="785" width="17.57"/>
    <col collapsed="false" customWidth="false" hidden="false" outlineLevel="0" max="16384" min="20" style="785" width="9.14"/>
  </cols>
  <sheetData>
    <row r="1" customFormat="false" ht="15" hidden="false" customHeight="false" outlineLevel="0" collapsed="false">
      <c r="A1" s="787" t="s">
        <v>955</v>
      </c>
      <c r="B1" s="787" t="s">
        <v>956</v>
      </c>
      <c r="C1" s="787" t="s">
        <v>753</v>
      </c>
      <c r="D1" s="788" t="s">
        <v>754</v>
      </c>
      <c r="E1" s="787" t="s">
        <v>957</v>
      </c>
      <c r="F1" s="787" t="s">
        <v>958</v>
      </c>
      <c r="G1" s="787" t="s">
        <v>959</v>
      </c>
      <c r="H1" s="787" t="s">
        <v>960</v>
      </c>
      <c r="I1" s="787" t="s">
        <v>961</v>
      </c>
      <c r="J1" s="787" t="s">
        <v>23</v>
      </c>
      <c r="K1" s="787" t="s">
        <v>962</v>
      </c>
      <c r="L1" s="787" t="s">
        <v>963</v>
      </c>
      <c r="M1" s="787" t="s">
        <v>964</v>
      </c>
      <c r="N1" s="787" t="s">
        <v>965</v>
      </c>
      <c r="O1" s="787" t="s">
        <v>966</v>
      </c>
      <c r="P1" s="787" t="s">
        <v>967</v>
      </c>
      <c r="Q1" s="787" t="s">
        <v>968</v>
      </c>
      <c r="R1" s="787" t="s">
        <v>969</v>
      </c>
      <c r="S1" s="787" t="s">
        <v>970</v>
      </c>
    </row>
    <row r="2" customFormat="false" ht="45" hidden="false" customHeight="true" outlineLevel="0" collapsed="false">
      <c r="A2" s="789"/>
      <c r="B2" s="789"/>
      <c r="C2" s="789"/>
      <c r="D2" s="789"/>
      <c r="E2" s="789"/>
      <c r="F2" s="790"/>
      <c r="G2" s="789"/>
      <c r="H2" s="791"/>
      <c r="I2" s="791"/>
      <c r="J2" s="792"/>
      <c r="K2" s="793"/>
      <c r="L2" s="794"/>
      <c r="M2" s="789"/>
      <c r="N2" s="795"/>
      <c r="O2" s="789"/>
      <c r="P2" s="795"/>
      <c r="Q2" s="789"/>
      <c r="R2" s="796"/>
      <c r="S2" s="793"/>
    </row>
  </sheetData>
  <sheetProtection algorithmName="SHA-512" hashValue="IbwASnmskSpspmDmAE3FGnKm9vxzW6KTfoXijsf+9xkyUqdg0uLlF1v0/HkxodVhvSYxYVx5FWqbZmeLdATjvg==" saltValue="uEpUZp85KVY6SFtDkBLA2A==" spinCount="100000" sheet="true" objects="true" scenarios="true"/>
  <conditionalFormatting sqref="R2">
    <cfRule type="expression" priority="2" aboveAverage="0" equalAverage="0" bottom="0" percent="0" rank="0" text="" dxfId="517">
      <formula>IF($A2="Macrosserviço",R2&lt;&gt;"",OR(NOT(ISNUMBER(R2)),R2&lt;&gt;ROUND(R2,2),R2&lt;=0,R2&gt;99999999.99))</formula>
    </cfRule>
  </conditionalFormatting>
  <conditionalFormatting sqref="B2">
    <cfRule type="cellIs" priority="3" operator="equal" aboveAverage="0" equalAverage="0" bottom="0" percent="0" rank="0" text="" dxfId="518">
      <formula>""</formula>
    </cfRule>
  </conditionalFormatting>
  <conditionalFormatting sqref="Q2">
    <cfRule type="expression" priority="4" aboveAverage="0" equalAverage="0" bottom="0" percent="0" rank="0" text="" dxfId="519">
      <formula>IF($A2="Macrosserviço",Q2&lt;&gt;"",OR(Q2="",LEN(Q2)&gt;100))</formula>
    </cfRule>
  </conditionalFormatting>
  <conditionalFormatting sqref="P2">
    <cfRule type="expression" priority="5" aboveAverage="0" equalAverage="0" bottom="0" percent="0" rank="0" text="" dxfId="520">
      <formula>IF($A2="Macrosserviço",P2&lt;&gt;"",OR(NOT(ISNUMBER(P2)),P2&lt;&gt;ROUND(P2,0),P2&lt;1,P2&gt;999))</formula>
    </cfRule>
  </conditionalFormatting>
  <conditionalFormatting sqref="O2">
    <cfRule type="expression" priority="6" aboveAverage="0" equalAverage="0" bottom="0" percent="0" rank="0" text="" dxfId="521">
      <formula>IF($A2="Serviço",OR(O2="",LEN(O2)&gt;100),O2&lt;&gt;"")</formula>
    </cfRule>
  </conditionalFormatting>
  <conditionalFormatting sqref="N2">
    <cfRule type="expression" priority="7" aboveAverage="0" equalAverage="0" bottom="0" percent="0" rank="0" text="" dxfId="522">
      <formula>IF($A2="Serviço",OR(NOT(ISNUMBER(N2)),N2&lt;&gt;ROUND(N2,0),N2&lt;1,N2&gt;999),N2&lt;&gt;"")</formula>
    </cfRule>
  </conditionalFormatting>
  <conditionalFormatting sqref="J2">
    <cfRule type="expression" priority="8" aboveAverage="0" equalAverage="0" bottom="0" percent="0" rank="0" text="" dxfId="523">
      <formula>IF($A2="Serviço",OR(NOT(ISNUMBER(VALUE(J2))),VALUE(J2)&lt;&gt;ROUND(VALUE(J2),4),VALUE(J2)&lt;=0,VALUE(J2)&gt;100%),J2&lt;&gt;"")</formula>
    </cfRule>
  </conditionalFormatting>
  <conditionalFormatting sqref="I2">
    <cfRule type="expression" priority="9" aboveAverage="0" equalAverage="0" bottom="0" percent="0" rank="0" text="" dxfId="524">
      <formula>IF($A2="Serviço",OR(NOT(ISNUMBER(I2)),I2&lt;&gt;ROUND(I2,2),I2&lt;=0,I2&gt;9999999999.99),I2&lt;&gt;"")</formula>
    </cfRule>
  </conditionalFormatting>
  <conditionalFormatting sqref="H2">
    <cfRule type="expression" priority="10" aboveAverage="0" equalAverage="0" bottom="0" percent="0" rank="0" text="" dxfId="525">
      <formula>IF(A2="Serviço",OR(NOT(ISNUMBER(H2)),H2&lt;&gt;ROUND(H2,2),AND(C2&lt;&gt;"SINAPI",H2=0),H2&lt;0,H2&gt;9999999999.99),H2&lt;&gt;"")</formula>
    </cfRule>
  </conditionalFormatting>
  <conditionalFormatting sqref="D2">
    <cfRule type="expression" priority="11" aboveAverage="0" equalAverage="0" bottom="0" percent="0" rank="0" text="" dxfId="526">
      <formula>IF($A2="Serviço",OR(D2="",LEN($D2)&gt;13),D2&lt;&gt;"")</formula>
    </cfRule>
  </conditionalFormatting>
  <conditionalFormatting sqref="C2">
    <cfRule type="expression" priority="12" aboveAverage="0" equalAverage="0" bottom="0" percent="0" rank="0" text="" dxfId="527">
      <formula>IF($A2="Serviço",AND(C2&lt;&gt;"Composição",C2&lt;&gt;"Cotação",C2&lt;&gt;"SINAPI",C2&lt;&gt;"Outros"),C2&lt;&gt;"")</formula>
    </cfRule>
  </conditionalFormatting>
  <conditionalFormatting sqref="A2">
    <cfRule type="expression" priority="13" aboveAverage="0" equalAverage="0" bottom="0" percent="0" rank="0" text="" dxfId="528">
      <formula>AND(A2&lt;&gt;"Macrosserviço",A2&lt;&gt;"Serviço")</formula>
    </cfRule>
  </conditionalFormatting>
  <conditionalFormatting sqref="A2:S2">
    <cfRule type="expression" priority="14" aboveAverage="0" equalAverage="0" bottom="0" percent="0" rank="0" text="" dxfId="529">
      <formula>$A2="Macrosserviço"</formula>
    </cfRule>
  </conditionalFormatting>
  <conditionalFormatting sqref="M2">
    <cfRule type="expression" priority="15" aboveAverage="0" equalAverage="0" bottom="0" percent="0" rank="0" text="" dxfId="530">
      <formula>IF($A2="Serviço",LEN(M2)&gt;500,M2&lt;&gt;"")</formula>
    </cfRule>
  </conditionalFormatting>
  <conditionalFormatting sqref="E2">
    <cfRule type="expression" priority="16" aboveAverage="0" equalAverage="0" bottom="0" percent="0" rank="0" text="" dxfId="531">
      <formula>OR(E2="",IF($A2="Macrosserviço",LEN($E2)&gt;100,LEN($E2)&gt;500))</formula>
    </cfRule>
  </conditionalFormatting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4B418DD-6EF7-4178-9F60-504EE3BE8CF9}">
            <xm:f>AND($A2="Serviço",OR($G2="",ISNA(MATCH($G2,DADOS!$AQ$3:$AQ$221,0))))</xm:f>
            <x14:dxf>
              <fill>
                <patternFill>
                  <bgColor rgb="FFFF0000"/>
                </patternFill>
              </fill>
            </x14:dxf>
          </x14:cfRule>
          <xm:sqref>G2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785" width="15"/>
    <col collapsed="false" customWidth="true" hidden="false" outlineLevel="0" max="2" min="2" style="785" width="50"/>
    <col collapsed="false" customWidth="true" hidden="false" outlineLevel="0" max="3" min="3" style="785" width="20"/>
    <col collapsed="false" customWidth="true" hidden="false" outlineLevel="0" max="4" min="4" style="785" width="50"/>
    <col collapsed="false" customWidth="true" hidden="false" outlineLevel="0" max="5" min="5" style="785" width="35"/>
    <col collapsed="false" customWidth="false" hidden="false" outlineLevel="0" max="16384" min="6" style="785" width="9.14"/>
  </cols>
  <sheetData>
    <row r="1" customFormat="false" ht="15" hidden="false" customHeight="false" outlineLevel="0" collapsed="false">
      <c r="A1" s="787" t="s">
        <v>971</v>
      </c>
      <c r="B1" s="787" t="s">
        <v>804</v>
      </c>
      <c r="C1" s="787" t="s">
        <v>972</v>
      </c>
      <c r="D1" s="787" t="s">
        <v>968</v>
      </c>
      <c r="E1" s="787" t="s">
        <v>973</v>
      </c>
    </row>
    <row r="2" customFormat="false" ht="45" hidden="false" customHeight="true" outlineLevel="0" collapsed="false">
      <c r="A2" s="797"/>
      <c r="B2" s="797"/>
      <c r="C2" s="798"/>
      <c r="D2" s="798"/>
      <c r="E2" s="798"/>
    </row>
  </sheetData>
  <sheetProtection algorithmName="SHA-512" hashValue="pwJibfYdYa27svLryhUYtdIAeIOADR2swUrkgOf+0XBMBgRRtZ5Z1EiaYNJRayG8U/WP+S34AOvuX5WYBpHALw==" saltValue="5LP8y1OzxG8OB9NecNE4qA==" spinCount="100000" sheet="true" objects="true" scenarios="true"/>
  <conditionalFormatting sqref="E2">
    <cfRule type="expression" priority="2" aboveAverage="0" equalAverage="0" bottom="0" percent="0" rank="0" text="" dxfId="533">
      <formula>OR(NOT(ISNUMBER(E2)),E2&lt;&gt;ROUND(E2,0),E2&lt;1,E2&gt;120)</formula>
    </cfRule>
  </conditionalFormatting>
  <conditionalFormatting sqref="D2">
    <cfRule type="expression" priority="3" aboveAverage="0" equalAverage="0" bottom="0" percent="0" rank="0" text="" dxfId="534">
      <formula>OR(D2="",LEN(D2)&gt;100)</formula>
    </cfRule>
  </conditionalFormatting>
  <conditionalFormatting sqref="C2">
    <cfRule type="expression" priority="4" aboveAverage="0" equalAverage="0" bottom="0" percent="0" rank="0" text="" dxfId="535">
      <formula>OR(NOT(ISNUMBER(C2)),C2&lt;&gt;ROUND(C2,0),C2&lt;1,C2&gt;999)</formula>
    </cfRule>
  </conditionalFormatting>
  <conditionalFormatting sqref="B2">
    <cfRule type="expression" priority="5" aboveAverage="0" equalAverage="0" bottom="0" percent="0" rank="0" text="" dxfId="536">
      <formula>OR(B2="",LEN(B2)&gt;100)</formula>
    </cfRule>
  </conditionalFormatting>
  <conditionalFormatting sqref="A2">
    <cfRule type="expression" priority="6" aboveAverage="0" equalAverage="0" bottom="0" percent="0" rank="0" text="" dxfId="537">
      <formula>OR(NOT(ISNUMBER(A2)),A2&lt;&gt;ROUND(A2,0),A2&lt;1,A2&gt;999)</formula>
    </cfRule>
  </conditionalFormatting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785" width="15"/>
    <col collapsed="false" customWidth="true" hidden="false" outlineLevel="0" max="2" min="2" style="785" width="25"/>
    <col collapsed="false" customWidth="true" hidden="false" outlineLevel="0" max="3" min="3" style="785" width="12"/>
    <col collapsed="false" customWidth="true" hidden="false" outlineLevel="0" max="4" min="4" style="786" width="15.57"/>
    <col collapsed="false" customWidth="true" hidden="false" outlineLevel="0" max="5" min="5" style="785" width="70"/>
    <col collapsed="false" customWidth="true" hidden="false" outlineLevel="0" max="6" min="6" style="785" width="20"/>
    <col collapsed="false" customWidth="true" hidden="false" outlineLevel="0" max="7" min="7" style="785" width="10"/>
    <col collapsed="false" customWidth="true" hidden="false" outlineLevel="0" max="8" min="8" style="785" width="25"/>
    <col collapsed="false" customWidth="true" hidden="false" outlineLevel="0" max="9" min="9" style="785" width="15"/>
    <col collapsed="false" customWidth="true" hidden="false" outlineLevel="0" max="10" min="10" style="785" width="13"/>
    <col collapsed="false" customWidth="true" hidden="false" outlineLevel="0" max="12" min="11" style="785" width="35"/>
    <col collapsed="false" customWidth="true" hidden="false" outlineLevel="0" max="14" min="13" style="785" width="20"/>
    <col collapsed="false" customWidth="true" hidden="false" outlineLevel="0" max="15" min="15" style="785" width="50"/>
    <col collapsed="false" customWidth="true" hidden="false" outlineLevel="0" max="16" min="16" style="785" width="15"/>
    <col collapsed="false" customWidth="true" hidden="false" outlineLevel="0" max="17" min="17" style="785" width="17.57"/>
    <col collapsed="false" customWidth="false" hidden="false" outlineLevel="0" max="16384" min="18" style="785" width="9.14"/>
  </cols>
  <sheetData>
    <row r="1" customFormat="false" ht="15" hidden="false" customHeight="false" outlineLevel="0" collapsed="false">
      <c r="A1" s="787" t="s">
        <v>955</v>
      </c>
      <c r="B1" s="787" t="s">
        <v>956</v>
      </c>
      <c r="C1" s="787" t="s">
        <v>753</v>
      </c>
      <c r="D1" s="788" t="s">
        <v>754</v>
      </c>
      <c r="E1" s="787" t="s">
        <v>957</v>
      </c>
      <c r="F1" s="787" t="s">
        <v>958</v>
      </c>
      <c r="G1" s="787" t="s">
        <v>959</v>
      </c>
      <c r="H1" s="787" t="s">
        <v>960</v>
      </c>
      <c r="I1" s="787" t="s">
        <v>961</v>
      </c>
      <c r="J1" s="787" t="s">
        <v>23</v>
      </c>
      <c r="K1" s="787" t="s">
        <v>962</v>
      </c>
      <c r="L1" s="787" t="s">
        <v>963</v>
      </c>
      <c r="M1" s="787" t="s">
        <v>964</v>
      </c>
      <c r="N1" s="787" t="s">
        <v>967</v>
      </c>
      <c r="O1" s="787" t="s">
        <v>968</v>
      </c>
      <c r="P1" s="787" t="s">
        <v>969</v>
      </c>
      <c r="Q1" s="787" t="s">
        <v>970</v>
      </c>
    </row>
    <row r="2" customFormat="false" ht="45" hidden="false" customHeight="true" outlineLevel="0" collapsed="false">
      <c r="A2" s="789"/>
      <c r="B2" s="789"/>
      <c r="C2" s="789"/>
      <c r="D2" s="789"/>
      <c r="E2" s="789"/>
      <c r="F2" s="790"/>
      <c r="G2" s="789"/>
      <c r="H2" s="791"/>
      <c r="I2" s="791"/>
      <c r="J2" s="799"/>
      <c r="K2" s="793"/>
      <c r="L2" s="793"/>
      <c r="M2" s="789"/>
      <c r="N2" s="795"/>
      <c r="O2" s="789"/>
      <c r="P2" s="796"/>
      <c r="Q2" s="793"/>
    </row>
  </sheetData>
  <sheetProtection algorithmName="SHA-512" hashValue="GUqofRu0rAHgSfW2n3/SIoJ0C0TI0xFYrpabzym4boKDnVIKtsiKX5DtVbT0mu591I/yB/ILd1boTP7mR/75tw==" saltValue="053lLC44CcKS55J6iwFNIQ==" spinCount="100000" sheet="true" objects="true" scenarios="true"/>
  <conditionalFormatting sqref="P2">
    <cfRule type="expression" priority="2" aboveAverage="0" equalAverage="0" bottom="0" percent="0" rank="0" text="" dxfId="538">
      <formula>IF($A2="Macrosserviço",P2&lt;&gt;"",OR(NOT(ISNUMBER(P2)),P2&lt;&gt;ROUND(P2,2),P2&lt;=0,P2&gt;99999999.99))</formula>
    </cfRule>
  </conditionalFormatting>
  <conditionalFormatting sqref="O2">
    <cfRule type="expression" priority="3" aboveAverage="0" equalAverage="0" bottom="0" percent="0" rank="0" text="" dxfId="539">
      <formula>IF($A2="Macrosserviço",O2&lt;&gt;"",OR(O2="",LEN(O2)&gt;100))</formula>
    </cfRule>
  </conditionalFormatting>
  <conditionalFormatting sqref="N2">
    <cfRule type="expression" priority="4" aboveAverage="0" equalAverage="0" bottom="0" percent="0" rank="0" text="" dxfId="540">
      <formula>IF($A2="Macrosserviço",N2&lt;&gt;"",OR(NOT(ISNUMBER(N2)),N2&lt;&gt;ROUND(N2,0),N2&lt;1,N2&gt;999))</formula>
    </cfRule>
  </conditionalFormatting>
  <conditionalFormatting sqref="B2">
    <cfRule type="cellIs" priority="5" operator="equal" aboveAverage="0" equalAverage="0" bottom="0" percent="0" rank="0" text="" dxfId="541">
      <formula>""</formula>
    </cfRule>
  </conditionalFormatting>
  <conditionalFormatting sqref="J2">
    <cfRule type="expression" priority="6" aboveAverage="0" equalAverage="0" bottom="0" percent="0" rank="0" text="" dxfId="542">
      <formula>IF($A2="Serviço",OR(NOT(ISNUMBER(VALUE(J2))),VALUE(J2)&lt;&gt;ROUND(VALUE(J2),4),VALUE(J2)&lt;=0,VALUE(J2)&gt;100%),J2&lt;&gt;"")</formula>
    </cfRule>
  </conditionalFormatting>
  <conditionalFormatting sqref="I2">
    <cfRule type="expression" priority="7" aboveAverage="0" equalAverage="0" bottom="0" percent="0" rank="0" text="" dxfId="543">
      <formula>IF($A2="Serviço",OR(NOT(ISNUMBER(I2)),I2&lt;&gt;ROUND(I2,2),I2&lt;=0,I2&gt;9999999999.99),I2&lt;&gt;"")</formula>
    </cfRule>
  </conditionalFormatting>
  <conditionalFormatting sqref="H2">
    <cfRule type="expression" priority="8" aboveAverage="0" equalAverage="0" bottom="0" percent="0" rank="0" text="" dxfId="544">
      <formula>IF(A2="Serviço",OR(NOT(ISNUMBER(H2)),H2&lt;&gt;ROUND(H2,2),AND(C2&lt;&gt;"SINAPI",H2=0),H2&lt;0,H2&gt;9999999999.99),H2&lt;&gt;"")</formula>
    </cfRule>
  </conditionalFormatting>
  <conditionalFormatting sqref="D2">
    <cfRule type="expression" priority="9" aboveAverage="0" equalAverage="0" bottom="0" percent="0" rank="0" text="" dxfId="545">
      <formula>IF($A2="Serviço",OR(D2="",LEN($D2)&gt;13),D2&lt;&gt;"")</formula>
    </cfRule>
  </conditionalFormatting>
  <conditionalFormatting sqref="C2">
    <cfRule type="expression" priority="10" aboveAverage="0" equalAverage="0" bottom="0" percent="0" rank="0" text="" dxfId="546">
      <formula>IF($A2="Serviço",AND(C2&lt;&gt;"Composição",C2&lt;&gt;"Cotação",C2&lt;&gt;"SINAPI",C2&lt;&gt;"Outros"),C2&lt;&gt;"")</formula>
    </cfRule>
  </conditionalFormatting>
  <conditionalFormatting sqref="A2">
    <cfRule type="expression" priority="11" aboveAverage="0" equalAverage="0" bottom="0" percent="0" rank="0" text="" dxfId="547">
      <formula>AND(A2&lt;&gt;"Macrosserviço",A2&lt;&gt;"Serviço")</formula>
    </cfRule>
  </conditionalFormatting>
  <conditionalFormatting sqref="A2:Q2">
    <cfRule type="expression" priority="12" aboveAverage="0" equalAverage="0" bottom="0" percent="0" rank="0" text="" dxfId="548">
      <formula>$A2="Macrosserviço"</formula>
    </cfRule>
  </conditionalFormatting>
  <conditionalFormatting sqref="M2">
    <cfRule type="expression" priority="13" aboveAverage="0" equalAverage="0" bottom="0" percent="0" rank="0" text="" dxfId="549">
      <formula>IF($A2="Serviço",LEN(M2)&gt;500,M2&lt;&gt;"")</formula>
    </cfRule>
  </conditionalFormatting>
  <conditionalFormatting sqref="E2">
    <cfRule type="expression" priority="14" aboveAverage="0" equalAverage="0" bottom="0" percent="0" rank="0" text="" dxfId="550">
      <formula>OR(E2="",IF($A2="Macrosserviço",LEN($E2)&gt;100,LEN($E2)&gt;500))</formula>
    </cfRule>
  </conditionalFormatting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BA44F42-5844-4382-B9D5-BCE88700A064}">
            <xm:f>AND($A2="Serviço",OR($G2="",ISNA(MATCH($G2,DADOS!$AQ$3:$AQ$221,0))))</xm:f>
            <x14:dxf>
              <fill>
                <patternFill>
                  <bgColor rgb="FFFF0000"/>
                </patternFill>
              </fill>
            </x14:dxf>
          </x14:cfRule>
          <xm:sqref>G2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785" width="15"/>
    <col collapsed="false" customWidth="true" hidden="false" outlineLevel="0" max="2" min="2" style="785" width="70"/>
    <col collapsed="false" customWidth="true" hidden="false" outlineLevel="0" max="3" min="3" style="785" width="10"/>
    <col collapsed="false" customWidth="true" hidden="false" outlineLevel="0" max="4" min="4" style="785" width="20"/>
    <col collapsed="false" customWidth="false" hidden="false" outlineLevel="0" max="16384" min="5" style="785" width="9.14"/>
  </cols>
  <sheetData>
    <row r="1" customFormat="false" ht="15" hidden="false" customHeight="false" outlineLevel="0" collapsed="false">
      <c r="A1" s="787" t="s">
        <v>974</v>
      </c>
      <c r="B1" s="787" t="s">
        <v>975</v>
      </c>
      <c r="C1" s="787" t="s">
        <v>825</v>
      </c>
      <c r="D1" s="787" t="s">
        <v>976</v>
      </c>
    </row>
    <row r="2" customFormat="false" ht="45" hidden="false" customHeight="true" outlineLevel="0" collapsed="false">
      <c r="A2" s="797"/>
      <c r="B2" s="797"/>
      <c r="C2" s="798"/>
      <c r="D2" s="792"/>
    </row>
  </sheetData>
  <sheetProtection algorithmName="SHA-512" hashValue="LQIoqYAcMeJypLsJOS/ns1OqHn+iZeW4aJ20ULXLvPiop1U24UL4wfXLIdB6xU050dmUycTm5/sFLirsHvN9Dg==" saltValue="1GaLuFNnkVwoOZRI58cvHw==" spinCount="100000" sheet="true" objects="true" scenarios="true"/>
  <conditionalFormatting sqref="D2">
    <cfRule type="expression" priority="2" aboveAverage="0" equalAverage="0" bottom="0" percent="0" rank="0" text="" dxfId="552">
      <formula>OR(NOT(ISNUMBER(D2)),D2&lt;&gt;ROUND(D2,2),D2&lt;=0,D2&gt;100)</formula>
    </cfRule>
  </conditionalFormatting>
  <conditionalFormatting sqref="D2">
    <cfRule type="expression" priority="3" aboveAverage="0" equalAverage="0" bottom="0" percent="0" rank="0" text="" dxfId="553">
      <formula>$A2="Macrosserviço"</formula>
    </cfRule>
  </conditionalFormatting>
  <conditionalFormatting sqref="B2">
    <cfRule type="expression" priority="4" aboveAverage="0" equalAverage="0" bottom="0" percent="0" rank="0" text="" dxfId="554">
      <formula>OR(B2="",LEN(B2)&gt;100)</formula>
    </cfRule>
  </conditionalFormatting>
  <conditionalFormatting sqref="A2 C2">
    <cfRule type="expression" priority="5" aboveAverage="0" equalAverage="0" bottom="0" percent="0" rank="0" text="" dxfId="555">
      <formula>OR(NOT(ISNUMBER(A2)),A2&lt;&gt;ROUND(A2,0),A2&lt;1,A2&gt;999)</formula>
    </cfRule>
  </conditionalFormatting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5"/>
  <sheetViews>
    <sheetView showFormulas="false" showGridLines="false" showRowColHeaders="true" showZeros="true" rightToLeft="false" tabSelected="false" showOutlineSymbols="true" defaultGridColor="true" view="pageBreakPreview" topLeftCell="A1" colorId="64" zoomScale="85" zoomScaleNormal="100" zoomScalePageLayoutView="85" workbookViewId="0">
      <selection pane="topLeft" activeCell="E6" activeCellId="0" sqref="E6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.86"/>
    <col collapsed="false" customWidth="true" hidden="false" outlineLevel="0" max="2" min="2" style="1" width="5.57"/>
    <col collapsed="false" customWidth="true" hidden="false" outlineLevel="0" max="3" min="3" style="1" width="38.57"/>
    <col collapsed="false" customWidth="true" hidden="false" outlineLevel="0" max="4" min="4" style="1" width="5.57"/>
    <col collapsed="false" customWidth="true" hidden="false" outlineLevel="0" max="5" min="5" style="1" width="38.57"/>
    <col collapsed="false" customWidth="true" hidden="false" outlineLevel="0" max="6" min="6" style="1" width="5.57"/>
    <col collapsed="false" customWidth="true" hidden="false" outlineLevel="0" max="7" min="7" style="1" width="38.57"/>
    <col collapsed="false" customWidth="true" hidden="false" outlineLevel="0" max="8" min="8" style="1" width="5.57"/>
    <col collapsed="false" customWidth="true" hidden="false" outlineLevel="0" max="9" min="9" style="1" width="2.86"/>
    <col collapsed="false" customWidth="true" hidden="false" outlineLevel="0" max="10" min="10" style="1" width="19"/>
    <col collapsed="false" customWidth="true" hidden="false" outlineLevel="0" max="11" min="11" style="1" width="3"/>
    <col collapsed="false" customWidth="true" hidden="false" outlineLevel="0" max="13" min="13" style="1" width="1.57"/>
    <col collapsed="false" customWidth="true" hidden="false" outlineLevel="0" max="14" min="14" style="1" width="38.86"/>
  </cols>
  <sheetData>
    <row r="1" customFormat="false" ht="15" hidden="false" customHeight="true" outlineLevel="0" collapsed="false">
      <c r="A1" s="21"/>
      <c r="B1" s="21"/>
      <c r="C1" s="21"/>
      <c r="D1" s="21"/>
      <c r="E1" s="21"/>
      <c r="F1" s="21"/>
      <c r="G1" s="21"/>
      <c r="H1" s="21"/>
      <c r="I1" s="21"/>
      <c r="J1" s="22" t="s">
        <v>86</v>
      </c>
      <c r="K1" s="23" t="n">
        <f aca="false">TRUE()</f>
        <v>0</v>
      </c>
    </row>
    <row r="2" customFormat="false" ht="22.5" hidden="false" customHeight="true" outlineLevel="0" collapsed="false">
      <c r="A2" s="21"/>
      <c r="B2" s="24"/>
      <c r="C2" s="24"/>
      <c r="D2" s="24"/>
      <c r="E2" s="25" t="str">
        <f aca="false">CHOOSE(MATCH(Objeto,{"PM","PO"}),"PLANILHA MÚLTIPLA ","PLANILHA ORÇAMENTÁRIA ")&amp; Versao</f>
        <v>PLANILHA MÚLTIPLA v3.10</v>
      </c>
      <c r="F2" s="25"/>
      <c r="G2" s="25"/>
      <c r="H2" s="26"/>
      <c r="I2" s="24"/>
      <c r="J2" s="22" t="s">
        <v>87</v>
      </c>
      <c r="K2" s="23" t="n">
        <f aca="false">TRUE()</f>
        <v>0</v>
      </c>
    </row>
    <row r="3" customFormat="false" ht="22.5" hidden="false" customHeight="true" outlineLevel="0" collapsed="false">
      <c r="A3" s="21"/>
      <c r="B3" s="24"/>
      <c r="C3" s="24"/>
      <c r="D3" s="24"/>
      <c r="E3" s="25"/>
      <c r="F3" s="25"/>
      <c r="G3" s="25"/>
      <c r="H3" s="26"/>
      <c r="I3" s="24"/>
      <c r="O3" s="27" t="n">
        <v>1</v>
      </c>
    </row>
    <row r="4" customFormat="false" ht="16.5" hidden="false" customHeight="true" outlineLevel="0" collapsed="false">
      <c r="A4" s="21"/>
      <c r="B4" s="24"/>
      <c r="C4" s="24"/>
      <c r="D4" s="24"/>
      <c r="E4" s="24"/>
      <c r="F4" s="28"/>
      <c r="G4" s="26"/>
      <c r="H4" s="26"/>
      <c r="I4" s="24"/>
      <c r="J4" s="29" t="str">
        <f aca="false">IF(VALUE(MENU!$O$4)=2,"BM","PLE")</f>
        <v>BM</v>
      </c>
      <c r="O4" s="27" t="n">
        <v>2</v>
      </c>
    </row>
    <row r="5" customFormat="false" ht="16.5" hidden="false" customHeight="true" outlineLevel="0" collapsed="false">
      <c r="A5" s="21"/>
      <c r="B5" s="24"/>
      <c r="C5" s="24"/>
      <c r="D5" s="24"/>
      <c r="E5" s="24"/>
      <c r="F5" s="28"/>
      <c r="G5" s="26"/>
      <c r="H5" s="26"/>
      <c r="I5" s="24"/>
      <c r="J5" s="29" t="s">
        <v>88</v>
      </c>
    </row>
    <row r="6" customFormat="false" ht="21" hidden="false" customHeight="true" outlineLevel="0" collapsed="false">
      <c r="A6" s="21"/>
      <c r="B6" s="21"/>
      <c r="C6" s="21"/>
      <c r="D6" s="21"/>
      <c r="E6" s="30" t="s">
        <v>89</v>
      </c>
      <c r="F6" s="31"/>
      <c r="G6" s="30" t="s">
        <v>90</v>
      </c>
      <c r="H6" s="21"/>
      <c r="I6" s="21"/>
      <c r="J6" s="29" t="s">
        <v>91</v>
      </c>
    </row>
    <row r="7" customFormat="false" ht="12.75" hidden="false" customHeight="false" outlineLevel="0" collapsed="false">
      <c r="A7" s="21"/>
      <c r="B7" s="21"/>
      <c r="C7" s="21"/>
      <c r="D7" s="21"/>
      <c r="E7" s="21"/>
      <c r="F7" s="21"/>
      <c r="G7" s="21"/>
      <c r="H7" s="21"/>
      <c r="I7" s="21"/>
      <c r="J7" s="29" t="s">
        <v>76</v>
      </c>
      <c r="K7" s="32"/>
      <c r="L7" s="33"/>
      <c r="M7" s="33"/>
      <c r="N7" s="34"/>
    </row>
    <row r="8" customFormat="false" ht="21" hidden="false" customHeight="true" outlineLevel="0" collapsed="false">
      <c r="A8" s="24"/>
      <c r="B8" s="35" t="str">
        <f aca="false">IF($O$3&lt;&gt;2,"DOCUMENTAÇÃO DA PROPOSTA","PROPOSTA: Para visualizar/preencher esta seção, altere o TIPO DE ORÇAMENTO para 'Proposto'")</f>
        <v>DOCUMENTAÇÃO DA PROPOSTA</v>
      </c>
      <c r="C8" s="35"/>
      <c r="D8" s="35"/>
      <c r="E8" s="35"/>
      <c r="F8" s="35"/>
      <c r="G8" s="35"/>
      <c r="H8" s="35"/>
      <c r="I8" s="21"/>
      <c r="J8" s="29" t="s">
        <v>78</v>
      </c>
      <c r="K8" s="36"/>
      <c r="L8" s="37" t="s">
        <v>92</v>
      </c>
      <c r="M8" s="37"/>
      <c r="N8" s="9"/>
    </row>
    <row r="9" customFormat="false" ht="13.5" hidden="false" customHeight="false" outlineLevel="0" collapsed="false">
      <c r="A9" s="21"/>
      <c r="B9" s="21"/>
      <c r="C9" s="21"/>
      <c r="D9" s="21"/>
      <c r="E9" s="21"/>
      <c r="F9" s="21"/>
      <c r="G9" s="21"/>
      <c r="H9" s="21"/>
      <c r="I9" s="21"/>
      <c r="K9" s="36"/>
      <c r="L9" s="1" t="s">
        <v>93</v>
      </c>
      <c r="N9" s="9"/>
    </row>
    <row r="10" customFormat="false" ht="21" hidden="false" customHeight="true" outlineLevel="0" collapsed="false">
      <c r="A10" s="21"/>
      <c r="B10" s="21"/>
      <c r="C10" s="38" t="str">
        <f aca="false">IF(TIPOORCAMENTO&lt;&gt;"Proposto","","                    BDI                    ")</f>
        <v>                    BDI                    </v>
      </c>
      <c r="D10" s="31"/>
      <c r="E10" s="38" t="str">
        <f aca="false">IF(TIPOORCAMENTO&lt;&gt;"Proposto","","             ORÇAMENTO             ")</f>
        <v>             ORÇAMENTO             </v>
      </c>
      <c r="F10" s="31"/>
      <c r="G10" s="39" t="str">
        <f aca="false">IF(TIPOORCAMENTO&lt;&gt;"Proposto","","MEMÓRIA DE CÁLCULO / PLQ")</f>
        <v>MEMÓRIA DE CÁLCULO / PLQ</v>
      </c>
      <c r="H10" s="21"/>
      <c r="I10" s="21"/>
      <c r="K10" s="36"/>
      <c r="L10" s="40"/>
      <c r="M10" s="8"/>
      <c r="N10" s="41" t="s">
        <v>94</v>
      </c>
    </row>
    <row r="11" customFormat="false" ht="13.5" hidden="false" customHeight="false" outlineLevel="0" collapsed="false">
      <c r="A11" s="21"/>
      <c r="B11" s="21"/>
      <c r="C11" s="31"/>
      <c r="D11" s="31"/>
      <c r="E11" s="31"/>
      <c r="F11" s="31"/>
      <c r="G11" s="31"/>
      <c r="H11" s="21"/>
      <c r="I11" s="21"/>
      <c r="K11" s="36"/>
      <c r="N11" s="9"/>
    </row>
    <row r="12" customFormat="false" ht="21" hidden="false" customHeight="true" outlineLevel="0" collapsed="false">
      <c r="A12" s="21"/>
      <c r="B12" s="21"/>
      <c r="C12" s="38" t="str">
        <f aca="false">IF(TIPOORCAMENTO&lt;&gt;"Proposto","","                    QCI                    ")</f>
        <v>                    QCI                    </v>
      </c>
      <c r="D12" s="31"/>
      <c r="E12" s="42" t="str">
        <f aca="false">IF(TIPOORCAMENTO&lt;&gt;"Proposto","","CRONOGRAMA FÍSICO-FINANCEIRO")</f>
        <v>CRONOGRAMA FÍSICO-FINANCEIRO</v>
      </c>
      <c r="F12" s="31"/>
      <c r="G12" s="31"/>
      <c r="H12" s="21"/>
      <c r="I12" s="21"/>
      <c r="K12" s="36"/>
      <c r="L12" s="43"/>
      <c r="M12" s="8"/>
      <c r="N12" s="41" t="s">
        <v>95</v>
      </c>
    </row>
    <row r="13" customFormat="false" ht="12.75" hidden="false" customHeight="false" outlineLevel="0" collapsed="false">
      <c r="A13" s="21"/>
      <c r="B13" s="21"/>
      <c r="C13" s="21"/>
      <c r="D13" s="21"/>
      <c r="E13" s="21"/>
      <c r="F13" s="21"/>
      <c r="G13" s="21"/>
      <c r="H13" s="21"/>
      <c r="I13" s="21"/>
      <c r="K13" s="36"/>
      <c r="N13" s="9"/>
    </row>
    <row r="14" customFormat="false" ht="12.75" hidden="false" customHeight="false" outlineLevel="0" collapsed="false">
      <c r="A14" s="21"/>
      <c r="B14" s="21"/>
      <c r="C14" s="21" t="str">
        <f aca="true">IF(TIPOORCAMENTO&lt;&gt;"Proposto","","Obs: Composições e Cotações devem ser preenchidas diretamente no arquivo Referência "&amp;IF(ISBLANK(Import.DataBase),"mm-aaaa",TEXT(Import.DataBase,"mm-aaaa"))&amp;".xlsm.")</f>
        <v>Obs: Composições e Cotações devem ser preenchidas diretamente no arquivo Referência 09-2025.xlsm.</v>
      </c>
      <c r="D14" s="21"/>
      <c r="E14" s="21"/>
      <c r="F14" s="21"/>
      <c r="G14" s="21"/>
      <c r="H14" s="21"/>
      <c r="I14" s="21"/>
      <c r="K14" s="36"/>
      <c r="N14" s="9"/>
    </row>
    <row r="15" customFormat="false" ht="12.75" hidden="false" customHeight="false" outlineLevel="0" collapsed="false">
      <c r="A15" s="21"/>
      <c r="B15" s="21"/>
      <c r="C15" s="21"/>
      <c r="D15" s="21"/>
      <c r="E15" s="21"/>
      <c r="F15" s="21"/>
      <c r="G15" s="21"/>
      <c r="H15" s="21"/>
      <c r="I15" s="21"/>
      <c r="K15" s="36"/>
      <c r="L15" s="1" t="s">
        <v>96</v>
      </c>
      <c r="N15" s="9"/>
    </row>
    <row r="16" customFormat="false" ht="21" hidden="false" customHeight="true" outlineLevel="0" collapsed="false">
      <c r="A16" s="21"/>
      <c r="B16" s="35" t="str">
        <f aca="false"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35"/>
      <c r="D16" s="35"/>
      <c r="E16" s="35"/>
      <c r="F16" s="35"/>
      <c r="G16" s="35"/>
      <c r="H16" s="35"/>
      <c r="I16" s="21"/>
      <c r="K16" s="36"/>
      <c r="L16" s="44"/>
      <c r="M16" s="8"/>
      <c r="N16" s="41" t="s">
        <v>97</v>
      </c>
    </row>
    <row r="17" customFormat="false" ht="13.5" hidden="false" customHeight="false" outlineLevel="0" collapsed="false">
      <c r="A17" s="21"/>
      <c r="B17" s="21"/>
      <c r="C17" s="21"/>
      <c r="D17" s="21"/>
      <c r="E17" s="21"/>
      <c r="F17" s="21"/>
      <c r="G17" s="21"/>
      <c r="H17" s="21"/>
      <c r="I17" s="21"/>
      <c r="K17" s="36"/>
      <c r="N17" s="9"/>
    </row>
    <row r="18" customFormat="false" ht="21" hidden="false" customHeight="true" outlineLevel="0" collapsed="false">
      <c r="A18" s="21"/>
      <c r="B18" s="21"/>
      <c r="C18" s="38" t="n">
        <f aca="false">IF(TIPOORCAMENTO&lt;&gt;"Licitado","","             ORÇAMENTO             ")</f>
        <v>0</v>
      </c>
      <c r="D18" s="31"/>
      <c r="E18" s="38" t="n">
        <f aca="false">IF(TIPOORCAMENTO&lt;&gt;"Licitado","","                    QCI                    ")</f>
        <v>0</v>
      </c>
      <c r="F18" s="31"/>
      <c r="G18" s="42" t="n">
        <f aca="false">IF(TIPOORCAMENTO&lt;&gt;"Licitado","","CRONOGRAMA FÍSICO-FINANCEIRO")</f>
        <v>0</v>
      </c>
      <c r="H18" s="21"/>
      <c r="I18" s="21"/>
      <c r="K18" s="36"/>
      <c r="L18" s="45"/>
      <c r="M18" s="8"/>
      <c r="N18" s="41" t="s">
        <v>98</v>
      </c>
    </row>
    <row r="19" customFormat="false" ht="12.75" hidden="false" customHeight="false" outlineLevel="0" collapsed="false">
      <c r="A19" s="21"/>
      <c r="B19" s="21"/>
      <c r="C19" s="21"/>
      <c r="D19" s="21"/>
      <c r="E19" s="21"/>
      <c r="F19" s="21"/>
      <c r="G19" s="21"/>
      <c r="H19" s="21"/>
      <c r="I19" s="21"/>
      <c r="K19" s="46"/>
      <c r="L19" s="47"/>
      <c r="M19" s="47"/>
      <c r="N19" s="3"/>
    </row>
    <row r="20" customFormat="false" ht="21" hidden="false" customHeight="true" outlineLevel="0" collapsed="false">
      <c r="A20" s="24"/>
      <c r="B20" s="35" t="str">
        <f aca="false"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35"/>
      <c r="D20" s="35"/>
      <c r="E20" s="35"/>
      <c r="F20" s="35"/>
      <c r="G20" s="35"/>
      <c r="H20" s="35"/>
      <c r="I20" s="21"/>
    </row>
    <row r="21" customFormat="false" ht="13.5" hidden="false" customHeight="false" outlineLevel="0" collapsed="false">
      <c r="A21" s="21"/>
      <c r="B21" s="21"/>
      <c r="C21" s="21"/>
      <c r="D21" s="21"/>
      <c r="E21" s="21"/>
      <c r="F21" s="21"/>
      <c r="G21" s="21"/>
      <c r="H21" s="21"/>
      <c r="I21" s="21"/>
    </row>
    <row r="22" customFormat="false" ht="21" hidden="false" customHeight="true" outlineLevel="0" collapsed="false">
      <c r="A22" s="21"/>
      <c r="B22" s="21"/>
      <c r="C22" s="48" t="e">
        <f aca="false" t="array" ref="C22:C22">IF(OR(_xlfn.single(TIPOORCAMENTO)&lt;&gt;"Licitado",ACOMPANHAMENTO&lt;&gt;"PLE"),"","PLAN. DE LEVANT. DE EVENTOS - PLE")</f>
        <v>#NAME?</v>
      </c>
      <c r="D22" s="31"/>
      <c r="E22" s="38" t="n">
        <f aca="false">IF(TIPOORCAMENTO&lt;&gt;"Licitado","","                    RRE                    ")</f>
        <v>0</v>
      </c>
      <c r="F22" s="31"/>
      <c r="G22" s="39" t="e">
        <f aca="false" t="array" ref="G22:G22">IF(OR(_xlfn.single(TIPOORCAMENTO)&lt;&gt;"Licitado",ACOMPANHAMENTO&lt;&gt;"BM"),"","  BOLETIM DE MEDIÇÃO - BM  ")</f>
        <v>#NAME?</v>
      </c>
      <c r="H22" s="21"/>
      <c r="I22" s="21"/>
    </row>
    <row r="23" customFormat="false" ht="13.5" hidden="false" customHeight="false" outlineLevel="0" collapsed="false">
      <c r="A23" s="21"/>
      <c r="B23" s="21"/>
      <c r="C23" s="31"/>
      <c r="D23" s="31"/>
      <c r="E23" s="31"/>
      <c r="F23" s="31"/>
      <c r="G23" s="31"/>
      <c r="H23" s="21"/>
      <c r="I23" s="21"/>
    </row>
    <row r="24" customFormat="false" ht="21" hidden="false" customHeight="true" outlineLevel="0" collapsed="false">
      <c r="A24" s="21"/>
      <c r="B24" s="21"/>
      <c r="C24" s="31"/>
      <c r="D24" s="31"/>
      <c r="E24" s="48" t="n">
        <f aca="false">IF(TIPOORCAMENTO&lt;&gt;"Licitado","","OF. DE SOLICITAÇÃO DE DESBLOQUEIO")</f>
        <v>0</v>
      </c>
      <c r="F24" s="31"/>
      <c r="G24" s="31"/>
      <c r="H24" s="21"/>
      <c r="I24" s="21"/>
    </row>
    <row r="25" customFormat="false" ht="12.75" hidden="false" customHeight="false" outlineLevel="0" collapsed="false">
      <c r="A25" s="21"/>
      <c r="B25" s="21"/>
      <c r="C25" s="21"/>
      <c r="D25" s="21"/>
      <c r="E25" s="21"/>
      <c r="F25" s="21"/>
      <c r="G25" s="21"/>
      <c r="H25" s="21"/>
      <c r="I25" s="21"/>
    </row>
  </sheetData>
  <sheetProtection sheet="true" password="bd1f" objects="true" scenarios="true" autoFilter="false"/>
  <mergeCells count="4">
    <mergeCell ref="E2:G3"/>
    <mergeCell ref="B8:H8"/>
    <mergeCell ref="B16:H16"/>
    <mergeCell ref="B20:H20"/>
  </mergeCells>
  <conditionalFormatting sqref="C10:G14">
    <cfRule type="expression" priority="2" aboveAverage="0" equalAverage="0" bottom="0" percent="0" rank="0" text="" dxfId="0">
      <formula>TIPOORCAMENTO="Licitado"</formula>
    </cfRule>
  </conditionalFormatting>
  <conditionalFormatting sqref="C18:G18 E22:E24">
    <cfRule type="expression" priority="3" aboveAverage="0" equalAverage="0" bottom="0" percent="0" rank="0" text="" dxfId="1">
      <formula>TIPOORCAMENTO&lt;&gt;"Licitado"</formula>
    </cfRule>
  </conditionalFormatting>
  <conditionalFormatting sqref="C22">
    <cfRule type="expression" priority="4" aboveAverage="0" equalAverage="0" bottom="0" percent="0" rank="0" text="" dxfId="2">
      <formula>OR(TIPOORCAMENTO&lt;&gt;"Licitado",ACOMPANHAMENTO&lt;&gt;"PLE")</formula>
    </cfRule>
  </conditionalFormatting>
  <conditionalFormatting sqref="G22">
    <cfRule type="expression" priority="5" aboveAverage="0" equalAverage="0" bottom="0" percent="0" rank="0" text="" dxfId="3">
      <formula>OR(TIPOORCAMENTO&lt;&gt;"Licitado",ACOMPANHAMENTO&lt;&gt;"BM")</formula>
    </cfRule>
  </conditionalFormatting>
  <conditionalFormatting sqref="B16:H16 B20:H20">
    <cfRule type="expression" priority="6" aboveAverage="0" equalAverage="0" bottom="0" percent="0" rank="0" text="" dxfId="4">
      <formula>$O$3&lt;&gt;2</formula>
    </cfRule>
  </conditionalFormatting>
  <conditionalFormatting sqref="B8:H8">
    <cfRule type="expression" priority="7" aboveAverage="0" equalAverage="0" bottom="0" percent="0" rank="0" text="" dxfId="5">
      <formula>$O$3&lt;&gt;1</formula>
    </cfRule>
  </conditionalFormatting>
  <hyperlinks>
    <hyperlink ref="E6" location="DADOS!E3" display="DADOS DO CONTRATO"/>
    <hyperlink ref="G6" location="'NOVO'!A1" display="NOVIDADES DA VERSÃO"/>
    <hyperlink ref="C10" location="BDI!Q11" display="#BDI.Q11"/>
    <hyperlink ref="E10" location="ORÇAMENTO!M13" display="#ORÇAMENTO.M13"/>
    <hyperlink ref="G10" location="CÁLCULO!D13" display="#CÁLCULO.D13"/>
    <hyperlink ref="C12" location="QCI!D13" display="#QCI.D13"/>
    <hyperlink ref="E12" location="CRONO!G12" display="#CRONO.G12"/>
    <hyperlink ref="C18" location="ORÇAMENTO!AM15" display="#ORÇAMENTO.AM15"/>
    <hyperlink ref="E18" location="QCI!D13" display="#QCI.D13"/>
    <hyperlink ref="G18" location="CRONO!G12" display="#CRONO.G12"/>
    <hyperlink ref="C22" location="PLE!J8" display="#PLE.J8"/>
    <hyperlink ref="E22" location="RRE!E13" display="#RRE.E13"/>
    <hyperlink ref="G22" location="BM!D13" display="#BM.D13"/>
    <hyperlink ref="E24" location="Ofício!C6" display="#Ofício!C6"/>
  </hyperlinks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  <colBreaks count="1" manualBreakCount="1">
    <brk id="9" man="true" max="65535" min="0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3" name="Importar Fórmulas para o Custo Unitário (aba ORÇAMENTO)">
              <controlPr defaultSize="0" locked="1" autoFill="0" autoLine="0" autoPict="0" print="true" altText="Check Box 95">
                <anchor moveWithCells="true" sizeWithCells="false">
                  <from>
                    <xdr:col>5</xdr:col>
                    <xdr:colOff>442440</xdr:colOff>
                    <xdr:row>0</xdr:row>
                    <xdr:rowOff>47520</xdr:rowOff>
                  </from>
                  <to>
                    <xdr:col>11</xdr:col>
                    <xdr:colOff>40320</xdr:colOff>
                    <xdr:row>1</xdr:row>
                    <xdr:rowOff>56880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4" name="Importar Fórmulas para as Quantidades da PLQ (aba CÁLCULO)">
              <controlPr defaultSize="0" locked="1" autoFill="0" autoLine="0" autoPict="0" print="true" altText="Check Box 96">
                <anchor moveWithCells="true" sizeWithCells="false">
                  <from>
                    <xdr:col>10</xdr:col>
                    <xdr:colOff>38160</xdr:colOff>
                    <xdr:row>1</xdr:row>
                    <xdr:rowOff>66600</xdr:rowOff>
                  </from>
                  <to>
                    <xdr:col>13</xdr:col>
                    <xdr:colOff>2390400</xdr:colOff>
                    <xdr:row>2</xdr:row>
                    <xdr:rowOff>-57240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R222"/>
  <sheetViews>
    <sheetView showFormulas="false" showGridLines="false" showRowColHeaders="true" showZeros="true" rightToLeft="false" tabSelected="false" showOutlineSymbols="true" defaultGridColor="true" view="pageBreakPreview" topLeftCell="B1" colorId="64" zoomScale="100" zoomScaleNormal="100" zoomScalePageLayoutView="100" workbookViewId="0">
      <pane xSplit="0" ySplit="2" topLeftCell="A3" activePane="bottomLeft" state="frozen"/>
      <selection pane="topLeft" activeCell="B1" activeCellId="0" sqref="B1"/>
      <selection pane="bottomLeft" activeCell="C9" activeCellId="0" sqref="C9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0.57"/>
    <col collapsed="false" customWidth="true" hidden="false" outlineLevel="0" max="2" min="2" style="8" width="42.57"/>
    <col collapsed="false" customWidth="true" hidden="false" outlineLevel="0" max="3" min="3" style="8" width="53.42"/>
    <col collapsed="false" customWidth="true" hidden="false" outlineLevel="0" max="4" min="4" style="1" width="80.57"/>
    <col collapsed="false" customWidth="true" hidden="false" outlineLevel="0" max="6" min="5" style="1" width="9.14"/>
    <col collapsed="false" customWidth="true" hidden="true" outlineLevel="0" max="7" min="7" style="1" width="14.42"/>
    <col collapsed="false" customWidth="true" hidden="true" outlineLevel="0" max="10" min="8" style="1" width="9.14"/>
    <col collapsed="false" customWidth="true" hidden="true" outlineLevel="0" max="11" min="11" style="49" width="9.14"/>
    <col collapsed="false" customWidth="true" hidden="true" outlineLevel="0" max="43" min="12" style="1" width="9.14"/>
    <col collapsed="false" customWidth="true" hidden="true" outlineLevel="0" max="44" min="44" style="1" width="15.57"/>
    <col collapsed="false" customWidth="true" hidden="false" outlineLevel="0" max="45" min="45" style="1" width="9.14"/>
  </cols>
  <sheetData>
    <row r="1" customFormat="false" ht="15.75" hidden="false" customHeight="true" outlineLevel="0" collapsed="false">
      <c r="B1" s="50" t="s">
        <v>99</v>
      </c>
      <c r="C1" s="51"/>
      <c r="D1" s="52" t="str">
        <f aca="false">IF(D3&lt;&gt;"","Falta preencher os Dados do Contrato",IF(D15&lt;&gt;"","Falta preencher os Dados do Empreendimento",IF(D21&lt;&gt;"","Falta preencher os Dados do Responsável pelo Orçamento",IF(D27&lt;&gt;"","Falta preencher os Dados do Responsável pelo Tomador",IF(D31&lt;&gt;"","Falta definir o método de arredondamento das frentes de obra",IF(D35&lt;&gt;"","Falta preencher os Dados da Licitação",IF(D46&lt;&gt;"","Falta preencher os Dados da Obra",IF(D50&lt;&gt;"","Falta preencher os Dados do Responsável pela Fiscalização",""))))))))</f>
        <v/>
      </c>
      <c r="H1" s="53"/>
      <c r="I1" s="54" t="s">
        <v>100</v>
      </c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Q1" s="55" t="s">
        <v>101</v>
      </c>
      <c r="AR1" s="56"/>
    </row>
    <row r="2" customFormat="false" ht="12.75" hidden="false" customHeight="true" outlineLevel="0" collapsed="false">
      <c r="B2" s="50"/>
      <c r="G2" s="57" t="s">
        <v>102</v>
      </c>
      <c r="H2" s="58" t="s">
        <v>103</v>
      </c>
      <c r="I2" s="59" t="n">
        <f aca="false">COUNTA(H:H)-1</f>
        <v>3</v>
      </c>
      <c r="J2" s="58" t="s">
        <v>104</v>
      </c>
      <c r="K2" s="59" t="n">
        <f aca="false">COUNTA(J:J)-1</f>
        <v>6</v>
      </c>
      <c r="L2" s="58" t="s">
        <v>105</v>
      </c>
      <c r="M2" s="59" t="n">
        <f aca="false">COUNTA(L:L)-1</f>
        <v>6</v>
      </c>
      <c r="N2" s="58" t="s">
        <v>106</v>
      </c>
      <c r="O2" s="59" t="n">
        <f aca="false">COUNTA(N:N)-1</f>
        <v>6</v>
      </c>
      <c r="P2" s="58" t="s">
        <v>107</v>
      </c>
      <c r="Q2" s="59" t="n">
        <f aca="false">COUNTA(P:P)-1</f>
        <v>11</v>
      </c>
      <c r="R2" s="58" t="s">
        <v>108</v>
      </c>
      <c r="S2" s="59" t="n">
        <f aca="false">COUNTA(R:R)-1</f>
        <v>8</v>
      </c>
      <c r="T2" s="58" t="s">
        <v>109</v>
      </c>
      <c r="U2" s="59" t="n">
        <f aca="false">COUNTA(T:T)-1</f>
        <v>4</v>
      </c>
      <c r="V2" s="58" t="s">
        <v>110</v>
      </c>
      <c r="W2" s="59" t="n">
        <f aca="false">COUNTA(V:V)-1</f>
        <v>6</v>
      </c>
      <c r="X2" s="58" t="s">
        <v>111</v>
      </c>
      <c r="Y2" s="59" t="n">
        <f aca="false">COUNTA(X:X)-1</f>
        <v>2</v>
      </c>
      <c r="Z2" s="58" t="s">
        <v>112</v>
      </c>
      <c r="AA2" s="59" t="n">
        <f aca="false">COUNTA(Z:Z)-1</f>
        <v>2</v>
      </c>
      <c r="AB2" s="58" t="s">
        <v>113</v>
      </c>
      <c r="AC2" s="59" t="n">
        <f aca="false">COUNTA(AB:AB)-1</f>
        <v>2</v>
      </c>
      <c r="AD2" s="58" t="s">
        <v>114</v>
      </c>
      <c r="AE2" s="59" t="n">
        <f aca="false">COUNTA(AD:AD)-1</f>
        <v>1</v>
      </c>
      <c r="AF2" s="58" t="s">
        <v>115</v>
      </c>
      <c r="AG2" s="59" t="n">
        <f aca="false">COUNTA(AF:AF)-1</f>
        <v>1</v>
      </c>
      <c r="AH2" s="58" t="s">
        <v>116</v>
      </c>
      <c r="AI2" s="59" t="n">
        <f aca="false">COUNTA(AH:AH)-1</f>
        <v>1</v>
      </c>
      <c r="AJ2" s="58" t="s">
        <v>117</v>
      </c>
      <c r="AK2" s="59" t="n">
        <f aca="false">COUNTA(AJ:AJ)-1</f>
        <v>3</v>
      </c>
      <c r="AL2" s="58" t="s">
        <v>118</v>
      </c>
      <c r="AM2" s="59" t="n">
        <f aca="false">COUNTA(AL:AL)-1</f>
        <v>1</v>
      </c>
      <c r="AN2" s="58" t="s">
        <v>119</v>
      </c>
      <c r="AO2" s="59" t="n">
        <f aca="false">COUNTA(AN:AN)-1</f>
        <v>4</v>
      </c>
      <c r="AQ2" s="60" t="s">
        <v>120</v>
      </c>
      <c r="AR2" s="61" t="s">
        <v>121</v>
      </c>
    </row>
    <row r="3" customFormat="false" ht="15.75" hidden="false" customHeight="false" outlineLevel="0" collapsed="false">
      <c r="B3" s="62" t="s">
        <v>122</v>
      </c>
      <c r="C3" s="62"/>
      <c r="D3" s="63" t="str">
        <f aca="false">IF(COUNTIF(D4:D13,"◄")=0,"","Falta preencher a linha "&amp;MATCH("◄",D4:D13,0)+ROW(D3))</f>
        <v/>
      </c>
      <c r="G3" s="64" t="s">
        <v>103</v>
      </c>
      <c r="H3" s="1" t="s">
        <v>123</v>
      </c>
      <c r="I3" s="49" t="s">
        <v>124</v>
      </c>
      <c r="J3" s="64" t="s">
        <v>125</v>
      </c>
      <c r="K3" s="49" t="s">
        <v>126</v>
      </c>
      <c r="L3" s="1" t="s">
        <v>127</v>
      </c>
      <c r="M3" s="49" t="s">
        <v>126</v>
      </c>
      <c r="N3" s="1" t="s">
        <v>128</v>
      </c>
      <c r="O3" s="49" t="s">
        <v>129</v>
      </c>
      <c r="P3" s="1" t="s">
        <v>130</v>
      </c>
      <c r="Q3" s="49" t="s">
        <v>131</v>
      </c>
      <c r="R3" s="1" t="s">
        <v>132</v>
      </c>
      <c r="S3" s="49" t="s">
        <v>124</v>
      </c>
      <c r="T3" s="1" t="s">
        <v>133</v>
      </c>
      <c r="U3" s="49" t="s">
        <v>124</v>
      </c>
      <c r="V3" s="1" t="s">
        <v>134</v>
      </c>
      <c r="W3" s="49" t="s">
        <v>124</v>
      </c>
      <c r="X3" s="1" t="s">
        <v>135</v>
      </c>
      <c r="Y3" s="49" t="s">
        <v>126</v>
      </c>
      <c r="Z3" s="1" t="s">
        <v>136</v>
      </c>
      <c r="AA3" s="49" t="s">
        <v>126</v>
      </c>
      <c r="AB3" s="1" t="s">
        <v>113</v>
      </c>
      <c r="AC3" s="49" t="s">
        <v>126</v>
      </c>
      <c r="AD3" s="1" t="s">
        <v>114</v>
      </c>
      <c r="AE3" s="49" t="s">
        <v>124</v>
      </c>
      <c r="AF3" s="1" t="s">
        <v>115</v>
      </c>
      <c r="AG3" s="49" t="s">
        <v>124</v>
      </c>
      <c r="AH3" s="1" t="s">
        <v>116</v>
      </c>
      <c r="AI3" s="49" t="s">
        <v>124</v>
      </c>
      <c r="AJ3" s="1" t="s">
        <v>137</v>
      </c>
      <c r="AK3" s="49" t="s">
        <v>124</v>
      </c>
      <c r="AL3" s="1" t="s">
        <v>118</v>
      </c>
      <c r="AM3" s="49" t="s">
        <v>138</v>
      </c>
      <c r="AN3" s="1" t="s">
        <v>139</v>
      </c>
      <c r="AO3" s="49" t="s">
        <v>140</v>
      </c>
      <c r="AQ3" s="1" t="s">
        <v>138</v>
      </c>
      <c r="AR3" s="1" t="s">
        <v>138</v>
      </c>
    </row>
    <row r="4" customFormat="false" ht="12.75" hidden="false" customHeight="false" outlineLevel="0" collapsed="false">
      <c r="B4" s="65" t="s">
        <v>141</v>
      </c>
      <c r="C4" s="66" t="s">
        <v>142</v>
      </c>
      <c r="D4" s="67" t="str">
        <f aca="true">IF(OR(OFFSET(D4,0,-1)="",OFFSET(D4,0,-1)="(SELECIONAR)"),"◄","")</f>
        <v/>
      </c>
      <c r="G4" s="64" t="s">
        <v>104</v>
      </c>
      <c r="H4" s="1" t="s">
        <v>143</v>
      </c>
      <c r="I4" s="49" t="s">
        <v>124</v>
      </c>
      <c r="J4" s="1" t="s">
        <v>144</v>
      </c>
      <c r="K4" s="49" t="s">
        <v>126</v>
      </c>
      <c r="L4" s="1" t="s">
        <v>145</v>
      </c>
      <c r="M4" s="49" t="s">
        <v>126</v>
      </c>
      <c r="N4" s="1" t="s">
        <v>146</v>
      </c>
      <c r="O4" s="49" t="s">
        <v>129</v>
      </c>
      <c r="P4" s="1" t="s">
        <v>147</v>
      </c>
      <c r="Q4" s="49" t="s">
        <v>131</v>
      </c>
      <c r="R4" s="1" t="s">
        <v>148</v>
      </c>
      <c r="S4" s="49" t="s">
        <v>129</v>
      </c>
      <c r="T4" s="1" t="s">
        <v>149</v>
      </c>
      <c r="U4" s="49" t="s">
        <v>124</v>
      </c>
      <c r="V4" s="1" t="s">
        <v>150</v>
      </c>
      <c r="W4" s="49" t="s">
        <v>151</v>
      </c>
      <c r="X4" s="1" t="s">
        <v>152</v>
      </c>
      <c r="Y4" s="49" t="s">
        <v>126</v>
      </c>
      <c r="Z4" s="1" t="s">
        <v>153</v>
      </c>
      <c r="AA4" s="49" t="s">
        <v>126</v>
      </c>
      <c r="AB4" s="1" t="s">
        <v>154</v>
      </c>
      <c r="AC4" s="49" t="s">
        <v>126</v>
      </c>
      <c r="AE4" s="49"/>
      <c r="AG4" s="49"/>
      <c r="AI4" s="49"/>
      <c r="AJ4" s="1" t="s">
        <v>155</v>
      </c>
      <c r="AK4" s="49" t="s">
        <v>124</v>
      </c>
      <c r="AN4" s="1" t="s">
        <v>156</v>
      </c>
      <c r="AO4" s="49" t="s">
        <v>140</v>
      </c>
      <c r="AQ4" s="1" t="s">
        <v>157</v>
      </c>
      <c r="AR4" s="1" t="s">
        <v>158</v>
      </c>
    </row>
    <row r="5" customFormat="false" ht="12.75" hidden="false" customHeight="false" outlineLevel="0" collapsed="false">
      <c r="B5" s="68" t="s">
        <v>159</v>
      </c>
      <c r="C5" s="69" t="s">
        <v>160</v>
      </c>
      <c r="D5" s="67" t="str">
        <f aca="true">IF(OFFSET(D5,0,-1)="","◄","")</f>
        <v/>
      </c>
      <c r="G5" s="64" t="s">
        <v>105</v>
      </c>
      <c r="H5" s="1" t="s">
        <v>161</v>
      </c>
      <c r="I5" s="49" t="s">
        <v>124</v>
      </c>
      <c r="J5" s="1" t="s">
        <v>162</v>
      </c>
      <c r="K5" s="49" t="s">
        <v>126</v>
      </c>
      <c r="L5" s="1" t="s">
        <v>163</v>
      </c>
      <c r="M5" s="49" t="s">
        <v>129</v>
      </c>
      <c r="N5" s="1" t="s">
        <v>164</v>
      </c>
      <c r="O5" s="49" t="s">
        <v>129</v>
      </c>
      <c r="P5" s="1" t="s">
        <v>165</v>
      </c>
      <c r="Q5" s="49" t="s">
        <v>131</v>
      </c>
      <c r="R5" s="1" t="s">
        <v>166</v>
      </c>
      <c r="S5" s="49" t="s">
        <v>129</v>
      </c>
      <c r="T5" s="1" t="s">
        <v>167</v>
      </c>
      <c r="U5" s="49" t="s">
        <v>129</v>
      </c>
      <c r="V5" s="1" t="s">
        <v>168</v>
      </c>
      <c r="W5" s="49" t="s">
        <v>151</v>
      </c>
      <c r="Y5" s="49"/>
      <c r="AA5" s="49"/>
      <c r="AC5" s="49"/>
      <c r="AE5" s="49"/>
      <c r="AG5" s="49"/>
      <c r="AI5" s="49"/>
      <c r="AJ5" s="1" t="s">
        <v>169</v>
      </c>
      <c r="AK5" s="49" t="s">
        <v>124</v>
      </c>
      <c r="AN5" s="1" t="s">
        <v>170</v>
      </c>
      <c r="AO5" s="49" t="s">
        <v>140</v>
      </c>
      <c r="AQ5" s="1" t="s">
        <v>171</v>
      </c>
      <c r="AR5" s="1" t="s">
        <v>172</v>
      </c>
    </row>
    <row r="6" customFormat="false" ht="12.75" hidden="false" customHeight="false" outlineLevel="0" collapsed="false">
      <c r="B6" s="68" t="s">
        <v>173</v>
      </c>
      <c r="C6" s="69" t="s">
        <v>174</v>
      </c>
      <c r="D6" s="67" t="str">
        <f aca="true">IF(OFFSET(D6,0,-1)="","◄","")</f>
        <v/>
      </c>
      <c r="G6" s="64" t="s">
        <v>106</v>
      </c>
      <c r="J6" s="1" t="s">
        <v>175</v>
      </c>
      <c r="K6" s="49" t="s">
        <v>126</v>
      </c>
      <c r="L6" s="1" t="s">
        <v>176</v>
      </c>
      <c r="M6" s="49" t="s">
        <v>126</v>
      </c>
      <c r="N6" s="1" t="s">
        <v>177</v>
      </c>
      <c r="O6" s="49" t="s">
        <v>126</v>
      </c>
      <c r="P6" s="1" t="s">
        <v>178</v>
      </c>
      <c r="Q6" s="49" t="s">
        <v>129</v>
      </c>
      <c r="R6" s="1" t="s">
        <v>179</v>
      </c>
      <c r="S6" s="49" t="s">
        <v>129</v>
      </c>
      <c r="T6" s="1" t="s">
        <v>180</v>
      </c>
      <c r="U6" s="49" t="s">
        <v>129</v>
      </c>
      <c r="V6" s="1" t="s">
        <v>181</v>
      </c>
      <c r="W6" s="49" t="s">
        <v>124</v>
      </c>
      <c r="AN6" s="1" t="s">
        <v>182</v>
      </c>
      <c r="AO6" s="49" t="s">
        <v>140</v>
      </c>
      <c r="AQ6" s="1" t="s">
        <v>183</v>
      </c>
      <c r="AR6" s="1" t="s">
        <v>184</v>
      </c>
    </row>
    <row r="7" customFormat="false" ht="12.75" hidden="false" customHeight="false" outlineLevel="0" collapsed="false">
      <c r="B7" s="70" t="s">
        <v>185</v>
      </c>
      <c r="C7" s="71" t="s">
        <v>186</v>
      </c>
      <c r="D7" s="67" t="str">
        <f aca="true">IF(OFFSET(D7,0,-1)="","◄","")</f>
        <v/>
      </c>
      <c r="G7" s="64" t="s">
        <v>107</v>
      </c>
      <c r="J7" s="1" t="s">
        <v>187</v>
      </c>
      <c r="K7" s="49" t="s">
        <v>126</v>
      </c>
      <c r="L7" s="1" t="s">
        <v>188</v>
      </c>
      <c r="M7" s="49" t="s">
        <v>126</v>
      </c>
      <c r="N7" s="1" t="s">
        <v>189</v>
      </c>
      <c r="O7" s="49" t="s">
        <v>151</v>
      </c>
      <c r="P7" s="1" t="s">
        <v>190</v>
      </c>
      <c r="Q7" s="49" t="s">
        <v>131</v>
      </c>
      <c r="R7" s="1" t="s">
        <v>191</v>
      </c>
      <c r="S7" s="49" t="s">
        <v>131</v>
      </c>
      <c r="V7" s="1" t="s">
        <v>192</v>
      </c>
      <c r="W7" s="49" t="s">
        <v>124</v>
      </c>
      <c r="AQ7" s="1" t="s">
        <v>193</v>
      </c>
      <c r="AR7" s="1" t="s">
        <v>194</v>
      </c>
    </row>
    <row r="8" customFormat="false" ht="12.75" hidden="false" customHeight="false" outlineLevel="0" collapsed="false">
      <c r="B8" s="70" t="s">
        <v>195</v>
      </c>
      <c r="C8" s="71" t="s">
        <v>186</v>
      </c>
      <c r="D8" s="67" t="str">
        <f aca="true">IF(AND(Import.TipoArredondamento="TransfereGOV",OFFSET(D8,0,-1)=""),"◄","")</f>
        <v/>
      </c>
      <c r="G8" s="64" t="s">
        <v>108</v>
      </c>
      <c r="J8" s="1" t="s">
        <v>196</v>
      </c>
      <c r="K8" s="49" t="s">
        <v>126</v>
      </c>
      <c r="L8" s="1" t="s">
        <v>197</v>
      </c>
      <c r="M8" s="49" t="s">
        <v>126</v>
      </c>
      <c r="N8" s="1" t="s">
        <v>198</v>
      </c>
      <c r="O8" s="49" t="s">
        <v>131</v>
      </c>
      <c r="P8" s="1" t="s">
        <v>199</v>
      </c>
      <c r="Q8" s="49" t="s">
        <v>131</v>
      </c>
      <c r="R8" s="1" t="s">
        <v>200</v>
      </c>
      <c r="S8" s="49" t="s">
        <v>131</v>
      </c>
      <c r="V8" s="1" t="s">
        <v>201</v>
      </c>
      <c r="W8" s="49" t="s">
        <v>126</v>
      </c>
      <c r="AQ8" s="1" t="s">
        <v>202</v>
      </c>
      <c r="AR8" s="1" t="s">
        <v>203</v>
      </c>
    </row>
    <row r="9" customFormat="false" ht="12.75" hidden="false" customHeight="false" outlineLevel="0" collapsed="false">
      <c r="B9" s="70" t="str">
        <f aca="false">IF(C4="FGTS","Valor de Financiamento Contratado (R$):","Valor do Repasse Contratado (R$):")</f>
        <v>Valor do Repasse Contratado (R$):</v>
      </c>
      <c r="C9" s="72" t="n">
        <f aca="false">ORÇAMENTO!X15</f>
        <v>4413.98727</v>
      </c>
      <c r="D9" s="67" t="str">
        <f aca="true">IF(OFFSET(D9,0,-1)="","◄","")</f>
        <v/>
      </c>
      <c r="G9" s="64" t="s">
        <v>109</v>
      </c>
      <c r="P9" s="1" t="s">
        <v>204</v>
      </c>
      <c r="Q9" s="49" t="s">
        <v>129</v>
      </c>
      <c r="R9" s="1" t="s">
        <v>205</v>
      </c>
      <c r="S9" s="49" t="s">
        <v>131</v>
      </c>
      <c r="AQ9" s="1" t="s">
        <v>206</v>
      </c>
      <c r="AR9" s="1" t="s">
        <v>207</v>
      </c>
    </row>
    <row r="10" customFormat="false" ht="12.75" hidden="false" customHeight="false" outlineLevel="0" collapsed="false">
      <c r="B10" s="70" t="s">
        <v>208</v>
      </c>
      <c r="C10" s="72" t="n">
        <v>0</v>
      </c>
      <c r="D10" s="67" t="str">
        <f aca="true">IF(OFFSET(D10,0,-1)="","◄","")</f>
        <v/>
      </c>
      <c r="G10" s="64" t="s">
        <v>110</v>
      </c>
      <c r="P10" s="1" t="s">
        <v>209</v>
      </c>
      <c r="Q10" s="49" t="s">
        <v>151</v>
      </c>
      <c r="R10" s="1" t="s">
        <v>210</v>
      </c>
      <c r="S10" s="49" t="s">
        <v>124</v>
      </c>
      <c r="AQ10" s="1" t="s">
        <v>211</v>
      </c>
      <c r="AR10" s="1" t="s">
        <v>212</v>
      </c>
    </row>
    <row r="11" customFormat="false" ht="12.75" hidden="false" customHeight="false" outlineLevel="0" collapsed="false">
      <c r="B11" s="70" t="s">
        <v>213</v>
      </c>
      <c r="C11" s="73" t="n">
        <v>0</v>
      </c>
      <c r="D11" s="67" t="str">
        <f aca="true">IF(OFFSET(D11,0,-1)="","◄","")</f>
        <v/>
      </c>
      <c r="G11" s="64" t="s">
        <v>111</v>
      </c>
      <c r="P11" s="1" t="s">
        <v>214</v>
      </c>
      <c r="Q11" s="49" t="s">
        <v>129</v>
      </c>
      <c r="AQ11" s="1" t="s">
        <v>215</v>
      </c>
      <c r="AR11" s="1" t="s">
        <v>216</v>
      </c>
    </row>
    <row r="12" customFormat="false" ht="12.75" hidden="false" customHeight="false" outlineLevel="0" collapsed="false">
      <c r="B12" s="70" t="s">
        <v>217</v>
      </c>
      <c r="C12" s="72"/>
      <c r="G12" s="64" t="s">
        <v>112</v>
      </c>
      <c r="P12" s="1" t="s">
        <v>132</v>
      </c>
      <c r="Q12" s="49" t="s">
        <v>124</v>
      </c>
      <c r="AQ12" s="1" t="s">
        <v>218</v>
      </c>
      <c r="AR12" s="1" t="s">
        <v>219</v>
      </c>
    </row>
    <row r="13" customFormat="false" ht="13.5" hidden="false" customHeight="false" outlineLevel="0" collapsed="false">
      <c r="B13" s="74" t="s">
        <v>220</v>
      </c>
      <c r="C13" s="75"/>
      <c r="G13" s="64" t="s">
        <v>113</v>
      </c>
      <c r="P13" s="1" t="s">
        <v>221</v>
      </c>
      <c r="Q13" s="49" t="s">
        <v>129</v>
      </c>
      <c r="AQ13" s="1" t="s">
        <v>222</v>
      </c>
      <c r="AR13" s="1" t="s">
        <v>223</v>
      </c>
    </row>
    <row r="14" customFormat="false" ht="13.5" hidden="false" customHeight="false" outlineLevel="0" collapsed="false">
      <c r="C14" s="76"/>
      <c r="G14" s="64" t="s">
        <v>114</v>
      </c>
      <c r="AQ14" s="1" t="s">
        <v>224</v>
      </c>
      <c r="AR14" s="1" t="s">
        <v>225</v>
      </c>
    </row>
    <row r="15" customFormat="false" ht="15.75" hidden="false" customHeight="false" outlineLevel="0" collapsed="false">
      <c r="B15" s="62" t="s">
        <v>226</v>
      </c>
      <c r="C15" s="62"/>
      <c r="D15" s="63" t="str">
        <f aca="false">IF(COUNTIF(D16:D19,"◄")=0,"","Falta preencher a linha "&amp;MATCH("◄",D16:D19,0)+ROW(D15))</f>
        <v/>
      </c>
      <c r="G15" s="64" t="s">
        <v>115</v>
      </c>
      <c r="AQ15" s="1" t="s">
        <v>227</v>
      </c>
      <c r="AR15" s="1" t="s">
        <v>228</v>
      </c>
    </row>
    <row r="16" customFormat="false" ht="12.75" hidden="false" customHeight="false" outlineLevel="0" collapsed="false">
      <c r="B16" s="77" t="s">
        <v>229</v>
      </c>
      <c r="C16" s="78" t="s">
        <v>230</v>
      </c>
      <c r="D16" s="67" t="str">
        <f aca="true">IF(OFFSET(D16,0,-1)="","◄","")</f>
        <v/>
      </c>
      <c r="G16" s="64" t="s">
        <v>116</v>
      </c>
      <c r="AQ16" s="1" t="s">
        <v>231</v>
      </c>
      <c r="AR16" s="1" t="s">
        <v>232</v>
      </c>
    </row>
    <row r="17" customFormat="false" ht="12.75" hidden="false" customHeight="false" outlineLevel="0" collapsed="false">
      <c r="B17" s="70" t="s">
        <v>233</v>
      </c>
      <c r="C17" s="79" t="s">
        <v>234</v>
      </c>
      <c r="D17" s="67" t="str">
        <f aca="true">IF(OFFSET(D17,0,-1)="","◄","")</f>
        <v/>
      </c>
      <c r="G17" s="64" t="s">
        <v>117</v>
      </c>
      <c r="AQ17" s="1" t="s">
        <v>235</v>
      </c>
      <c r="AR17" s="1" t="s">
        <v>236</v>
      </c>
    </row>
    <row r="18" customFormat="false" ht="12.75" hidden="false" customHeight="false" outlineLevel="0" collapsed="false">
      <c r="B18" s="70" t="s">
        <v>237</v>
      </c>
      <c r="C18" s="80" t="s">
        <v>238</v>
      </c>
      <c r="D18" s="67" t="str">
        <f aca="true">IF(OR(OFFSET(D18,0,-1)="",OFFSET(D18,0,-1)="(SELECIONAR)"),"◄","")</f>
        <v/>
      </c>
      <c r="G18" s="64" t="s">
        <v>118</v>
      </c>
      <c r="AQ18" s="1" t="s">
        <v>239</v>
      </c>
      <c r="AR18" s="1" t="s">
        <v>240</v>
      </c>
    </row>
    <row r="19" customFormat="false" ht="13.5" hidden="false" customHeight="false" outlineLevel="0" collapsed="false">
      <c r="B19" s="81" t="s">
        <v>241</v>
      </c>
      <c r="C19" s="82" t="n">
        <v>45901</v>
      </c>
      <c r="D19" s="67" t="str">
        <f aca="true">IF(OFFSET(D19,0,-1)="","◄","")</f>
        <v/>
      </c>
      <c r="G19" s="64" t="s">
        <v>119</v>
      </c>
      <c r="AQ19" s="1" t="s">
        <v>242</v>
      </c>
      <c r="AR19" s="1" t="s">
        <v>243</v>
      </c>
    </row>
    <row r="20" customFormat="false" ht="13.5" hidden="false" customHeight="false" outlineLevel="0" collapsed="false">
      <c r="C20" s="83"/>
      <c r="G20" s="64"/>
      <c r="AQ20" s="1" t="s">
        <v>244</v>
      </c>
      <c r="AR20" s="1" t="s">
        <v>245</v>
      </c>
    </row>
    <row r="21" customFormat="false" ht="15.75" hidden="false" customHeight="false" outlineLevel="0" collapsed="false">
      <c r="B21" s="62" t="s">
        <v>246</v>
      </c>
      <c r="C21" s="62"/>
      <c r="D21" s="63" t="str">
        <f aca="false">IF(COUNTIF(D22:D25,"◄")=0,"","Falta preencher a linha "&amp;MATCH("◄",D22:D25,0)+ROW(D21))</f>
        <v/>
      </c>
      <c r="G21" s="64"/>
      <c r="AQ21" s="1" t="s">
        <v>247</v>
      </c>
      <c r="AR21" s="1" t="s">
        <v>248</v>
      </c>
    </row>
    <row r="22" customFormat="false" ht="12.75" hidden="false" customHeight="false" outlineLevel="0" collapsed="false">
      <c r="B22" s="68" t="s">
        <v>249</v>
      </c>
      <c r="C22" s="84" t="s">
        <v>250</v>
      </c>
      <c r="D22" s="67" t="str">
        <f aca="true">IF(OFFSET(D22,0,-1)="","◄","")</f>
        <v/>
      </c>
      <c r="AQ22" s="1" t="s">
        <v>251</v>
      </c>
      <c r="AR22" s="1" t="s">
        <v>252</v>
      </c>
    </row>
    <row r="23" customFormat="false" ht="12.75" hidden="false" customHeight="false" outlineLevel="0" collapsed="false">
      <c r="B23" s="70" t="s">
        <v>253</v>
      </c>
      <c r="C23" s="71" t="s">
        <v>254</v>
      </c>
      <c r="D23" s="67" t="str">
        <f aca="true">IF(OFFSET(D23,0,-1)="","◄","")</f>
        <v/>
      </c>
      <c r="AQ23" s="1" t="s">
        <v>255</v>
      </c>
      <c r="AR23" s="1" t="s">
        <v>256</v>
      </c>
    </row>
    <row r="24" customFormat="false" ht="12.75" hidden="false" customHeight="false" outlineLevel="0" collapsed="false">
      <c r="B24" s="70" t="s">
        <v>257</v>
      </c>
      <c r="C24" s="71" t="s">
        <v>258</v>
      </c>
      <c r="D24" s="67" t="str">
        <f aca="true">IF(OFFSET(D24,0,-1)="","◄","")</f>
        <v/>
      </c>
      <c r="AQ24" s="1" t="s">
        <v>259</v>
      </c>
      <c r="AR24" s="1" t="s">
        <v>260</v>
      </c>
    </row>
    <row r="25" customFormat="false" ht="13.5" hidden="false" customHeight="false" outlineLevel="0" collapsed="false">
      <c r="B25" s="74" t="s">
        <v>261</v>
      </c>
      <c r="C25" s="85" t="n">
        <f aca="true">TODAY()</f>
        <v>46087</v>
      </c>
      <c r="D25" s="67"/>
      <c r="AQ25" s="1" t="s">
        <v>262</v>
      </c>
      <c r="AR25" s="1" t="s">
        <v>263</v>
      </c>
    </row>
    <row r="26" customFormat="false" ht="13.5" hidden="false" customHeight="false" outlineLevel="0" collapsed="false">
      <c r="AQ26" s="1" t="s">
        <v>264</v>
      </c>
      <c r="AR26" s="1" t="s">
        <v>265</v>
      </c>
    </row>
    <row r="27" customFormat="false" ht="15.75" hidden="false" customHeight="false" outlineLevel="0" collapsed="false">
      <c r="B27" s="62" t="s">
        <v>266</v>
      </c>
      <c r="C27" s="62"/>
      <c r="D27" s="63" t="str">
        <f aca="false">IF(COUNTIF(D28:D29,"◄")=0,"","Falta preencher a linha "&amp;MATCH("◄",D28:D29,0)+ROW(D27))</f>
        <v/>
      </c>
      <c r="AQ27" s="1" t="s">
        <v>267</v>
      </c>
      <c r="AR27" s="1" t="s">
        <v>268</v>
      </c>
    </row>
    <row r="28" customFormat="false" ht="12.75" hidden="false" customHeight="false" outlineLevel="0" collapsed="false">
      <c r="B28" s="65" t="s">
        <v>249</v>
      </c>
      <c r="C28" s="86" t="s">
        <v>269</v>
      </c>
      <c r="D28" s="67" t="str">
        <f aca="true">IF(OFFSET(D28,0,-1)="","◄","")</f>
        <v/>
      </c>
      <c r="AQ28" s="1" t="s">
        <v>270</v>
      </c>
      <c r="AR28" s="1" t="s">
        <v>271</v>
      </c>
    </row>
    <row r="29" customFormat="false" ht="13.5" hidden="false" customHeight="false" outlineLevel="0" collapsed="false">
      <c r="B29" s="74" t="s">
        <v>272</v>
      </c>
      <c r="C29" s="87" t="s">
        <v>273</v>
      </c>
      <c r="D29" s="67" t="str">
        <f aca="true">IF(OFFSET(D29,0,-1)="","◄","")</f>
        <v/>
      </c>
      <c r="AQ29" s="1" t="s">
        <v>274</v>
      </c>
      <c r="AR29" s="1" t="s">
        <v>275</v>
      </c>
    </row>
    <row r="30" customFormat="false" ht="16.5" hidden="false" customHeight="false" outlineLevel="0" collapsed="false">
      <c r="B30" s="50"/>
      <c r="AQ30" s="1" t="s">
        <v>276</v>
      </c>
      <c r="AR30" s="1" t="s">
        <v>275</v>
      </c>
    </row>
    <row r="31" customFormat="false" ht="13.5" hidden="false" customHeight="false" outlineLevel="0" collapsed="false">
      <c r="B31" s="88" t="s">
        <v>277</v>
      </c>
      <c r="C31" s="89" t="s">
        <v>278</v>
      </c>
      <c r="D31" s="67" t="str">
        <f aca="true">IF(OFFSET(D31,0,-1)="","◄ Falta definir o método de arredondamento.","")</f>
        <v/>
      </c>
      <c r="AQ31" s="1" t="s">
        <v>279</v>
      </c>
      <c r="AR31" s="1" t="s">
        <v>280</v>
      </c>
    </row>
    <row r="32" customFormat="false" ht="12.75" hidden="false" customHeight="true" outlineLevel="0" collapsed="false">
      <c r="B32" s="50"/>
      <c r="AQ32" s="1" t="s">
        <v>281</v>
      </c>
      <c r="AR32" s="1" t="s">
        <v>282</v>
      </c>
    </row>
    <row r="33" customFormat="false" ht="12.75" hidden="false" customHeight="true" outlineLevel="0" collapsed="false">
      <c r="B33" s="50" t="s">
        <v>283</v>
      </c>
      <c r="AQ33" s="1" t="s">
        <v>284</v>
      </c>
      <c r="AR33" s="1" t="s">
        <v>285</v>
      </c>
    </row>
    <row r="34" customFormat="false" ht="16.5" hidden="false" customHeight="false" outlineLevel="0" collapsed="false">
      <c r="B34" s="50"/>
      <c r="AQ34" s="1" t="s">
        <v>286</v>
      </c>
      <c r="AR34" s="1" t="s">
        <v>284</v>
      </c>
    </row>
    <row r="35" customFormat="false" ht="12.75" hidden="false" customHeight="true" outlineLevel="0" collapsed="false">
      <c r="B35" s="62" t="s">
        <v>287</v>
      </c>
      <c r="C35" s="62"/>
      <c r="D35" s="63" t="str">
        <f aca="false">IF(COUNTIF(D36:D39,"◄")=0,"","Falta preencher a linha "&amp;MATCH("◄",D36:D39,0)+ROW(D35))</f>
        <v/>
      </c>
      <c r="AQ35" s="1" t="s">
        <v>288</v>
      </c>
      <c r="AR35" s="1" t="s">
        <v>289</v>
      </c>
    </row>
    <row r="36" customFormat="false" ht="12.75" hidden="false" customHeight="false" outlineLevel="0" collapsed="false">
      <c r="B36" s="65" t="s">
        <v>290</v>
      </c>
      <c r="C36" s="90"/>
      <c r="D36" s="67" t="str">
        <f aca="true">IF(AND(TIPOORCAMENTO="Licitado",OFFSET(D36,0,-1)=""),"◄","")</f>
        <v/>
      </c>
      <c r="AQ36" s="1" t="s">
        <v>291</v>
      </c>
      <c r="AR36" s="1" t="s">
        <v>292</v>
      </c>
    </row>
    <row r="37" customFormat="false" ht="12.75" hidden="false" customHeight="false" outlineLevel="0" collapsed="false">
      <c r="B37" s="68" t="s">
        <v>293</v>
      </c>
      <c r="C37" s="69"/>
      <c r="D37" s="67" t="str">
        <f aca="true">IF(AND(TIPOORCAMENTO="Licitado",OFFSET(D37,0,-1)=""),"◄","")</f>
        <v/>
      </c>
      <c r="AQ37" s="1" t="s">
        <v>294</v>
      </c>
      <c r="AR37" s="1" t="s">
        <v>295</v>
      </c>
    </row>
    <row r="38" customFormat="false" ht="12.75" hidden="false" customHeight="false" outlineLevel="0" collapsed="false">
      <c r="B38" s="70" t="s">
        <v>296</v>
      </c>
      <c r="C38" s="71"/>
      <c r="D38" s="67" t="str">
        <f aca="true">IF(AND(TIPOORCAMENTO="Licitado",OFFSET(D38,0,-1)=""),"◄","")</f>
        <v/>
      </c>
      <c r="AQ38" s="1" t="s">
        <v>297</v>
      </c>
      <c r="AR38" s="1" t="s">
        <v>298</v>
      </c>
    </row>
    <row r="39" customFormat="false" ht="12.75" hidden="false" customHeight="false" outlineLevel="0" collapsed="false">
      <c r="B39" s="70" t="s">
        <v>299</v>
      </c>
      <c r="C39" s="71"/>
      <c r="D39" s="67" t="str">
        <f aca="true">IF(AND(TIPOORCAMENTO="Licitado",OFFSET(D39,0,-1)=""),"◄","")</f>
        <v/>
      </c>
      <c r="AQ39" s="1" t="s">
        <v>300</v>
      </c>
      <c r="AR39" s="1" t="s">
        <v>301</v>
      </c>
    </row>
    <row r="40" customFormat="false" ht="12.75" hidden="false" customHeight="false" outlineLevel="0" collapsed="false">
      <c r="B40" s="70" t="s">
        <v>302</v>
      </c>
      <c r="C40" s="80" t="s">
        <v>303</v>
      </c>
      <c r="D40" s="67" t="str">
        <f aca="true">IF(AND(TIPOORCAMENTO="Licitado",OR(OFFSET(D40,0,-1)="",OFFSET(D40,0,-1)="(SELECIONAR)")),"◄","")</f>
        <v/>
      </c>
      <c r="AQ40" s="1" t="s">
        <v>304</v>
      </c>
      <c r="AR40" s="1" t="s">
        <v>305</v>
      </c>
    </row>
    <row r="41" customFormat="false" ht="13.5" hidden="false" customHeight="false" outlineLevel="0" collapsed="false">
      <c r="B41" s="81" t="s">
        <v>306</v>
      </c>
      <c r="C41" s="91"/>
      <c r="D41" s="67" t="str">
        <f aca="true">IF(AND(TIPOORCAMENTO="Licitado",OFFSET(D41,0,-1)=""),"◄","")</f>
        <v/>
      </c>
      <c r="AQ41" s="1" t="s">
        <v>307</v>
      </c>
      <c r="AR41" s="1" t="s">
        <v>308</v>
      </c>
    </row>
    <row r="42" customFormat="false" ht="15.75" hidden="false" customHeight="false" outlineLevel="0" collapsed="false">
      <c r="B42" s="50"/>
      <c r="AQ42" s="1" t="s">
        <v>309</v>
      </c>
      <c r="AR42" s="1" t="s">
        <v>310</v>
      </c>
    </row>
    <row r="43" customFormat="false" ht="12.75" hidden="false" customHeight="true" outlineLevel="0" collapsed="false">
      <c r="B43" s="50"/>
      <c r="AQ43" s="1" t="s">
        <v>311</v>
      </c>
      <c r="AR43" s="1" t="s">
        <v>312</v>
      </c>
    </row>
    <row r="44" customFormat="false" ht="12.75" hidden="false" customHeight="true" outlineLevel="0" collapsed="false">
      <c r="B44" s="50" t="s">
        <v>313</v>
      </c>
      <c r="AQ44" s="1" t="s">
        <v>314</v>
      </c>
      <c r="AR44" s="1" t="s">
        <v>315</v>
      </c>
    </row>
    <row r="45" customFormat="false" ht="16.5" hidden="false" customHeight="false" outlineLevel="0" collapsed="false">
      <c r="B45" s="50"/>
      <c r="AQ45" s="1" t="s">
        <v>316</v>
      </c>
      <c r="AR45" s="1" t="s">
        <v>317</v>
      </c>
    </row>
    <row r="46" customFormat="false" ht="12.75" hidden="false" customHeight="true" outlineLevel="0" collapsed="false">
      <c r="B46" s="62" t="s">
        <v>318</v>
      </c>
      <c r="C46" s="62"/>
      <c r="D46" s="63" t="str">
        <f aca="false">IF(COUNTIF(D47:D48,"◄")=0,"","Falta preencher a linha "&amp;MATCH("◄",D47:D48,0)+ROW(D46))</f>
        <v/>
      </c>
      <c r="AQ46" s="1" t="s">
        <v>319</v>
      </c>
      <c r="AR46" s="1" t="s">
        <v>320</v>
      </c>
    </row>
    <row r="47" customFormat="false" ht="12.75" hidden="false" customHeight="false" outlineLevel="0" collapsed="false">
      <c r="B47" s="65" t="s">
        <v>321</v>
      </c>
      <c r="C47" s="90"/>
      <c r="D47" s="67" t="str">
        <f aca="true">IF(AND(TIPOORCAMENTO="Licitado",OFFSET(D47,0,-1)="",IFERROR(RRE!$O$20,0)&gt;0),"◄","")</f>
        <v/>
      </c>
      <c r="AQ47" s="1" t="s">
        <v>322</v>
      </c>
      <c r="AR47" s="1" t="s">
        <v>323</v>
      </c>
    </row>
    <row r="48" customFormat="false" ht="13.5" hidden="false" customHeight="false" outlineLevel="0" collapsed="false">
      <c r="B48" s="81" t="s">
        <v>324</v>
      </c>
      <c r="C48" s="92"/>
      <c r="D48" s="67" t="str">
        <f aca="true">IF(AND(TIPOORCAMENTO="Licitado",OFFSET(D48,0,-1)="",IFERROR(RRE!$O$20,0)&gt;0),"◄","")</f>
        <v/>
      </c>
      <c r="AQ48" s="1" t="s">
        <v>325</v>
      </c>
      <c r="AR48" s="1" t="s">
        <v>326</v>
      </c>
    </row>
    <row r="49" customFormat="false" ht="16.5" hidden="false" customHeight="false" outlineLevel="0" collapsed="false">
      <c r="B49" s="50"/>
      <c r="AQ49" s="1" t="s">
        <v>327</v>
      </c>
      <c r="AR49" s="1" t="s">
        <v>328</v>
      </c>
    </row>
    <row r="50" customFormat="false" ht="12.75" hidden="false" customHeight="true" outlineLevel="0" collapsed="false">
      <c r="B50" s="62" t="s">
        <v>329</v>
      </c>
      <c r="C50" s="62"/>
      <c r="D50" s="63" t="str">
        <f aca="false">IF(COUNTIF(D51:D54,"◄")=0,"","Falta preencher a linha "&amp;MATCH("◄",D51:D54,0)+ROW(D50))</f>
        <v/>
      </c>
      <c r="AQ50" s="1" t="s">
        <v>330</v>
      </c>
      <c r="AR50" s="1" t="s">
        <v>331</v>
      </c>
    </row>
    <row r="51" customFormat="false" ht="12.75" hidden="false" customHeight="false" outlineLevel="0" collapsed="false">
      <c r="B51" s="65" t="s">
        <v>249</v>
      </c>
      <c r="C51" s="93"/>
      <c r="D51" s="67" t="str">
        <f aca="true">IF(AND(TIPOORCAMENTO="Licitado",OFFSET(D51,0,-1)="",IFERROR(RRE!$O$20,0)&gt;0),"◄","")</f>
        <v/>
      </c>
      <c r="AQ51" s="1" t="s">
        <v>332</v>
      </c>
      <c r="AR51" s="1" t="s">
        <v>333</v>
      </c>
    </row>
    <row r="52" customFormat="false" ht="12.75" hidden="false" customHeight="false" outlineLevel="0" collapsed="false">
      <c r="B52" s="70" t="s">
        <v>334</v>
      </c>
      <c r="C52" s="71"/>
      <c r="D52" s="67" t="str">
        <f aca="true">IF(AND(TIPOORCAMENTO="Licitado",OFFSET(D52,0,-1)="",IFERROR(RRE!$O$20,0)&gt;0),"◄","")</f>
        <v/>
      </c>
      <c r="AQ52" s="1" t="s">
        <v>335</v>
      </c>
      <c r="AR52" s="1" t="s">
        <v>336</v>
      </c>
    </row>
    <row r="53" customFormat="false" ht="12.75" hidden="false" customHeight="false" outlineLevel="0" collapsed="false">
      <c r="B53" s="70" t="s">
        <v>337</v>
      </c>
      <c r="C53" s="71"/>
      <c r="D53" s="67" t="str">
        <f aca="true">IF(AND(TIPOORCAMENTO="Licitado",OFFSET(D53,0,-1)="",IFERROR(RRE!$O$20,0)&gt;0),"◄","")</f>
        <v/>
      </c>
      <c r="AQ53" s="1" t="s">
        <v>338</v>
      </c>
      <c r="AR53" s="1" t="s">
        <v>339</v>
      </c>
    </row>
    <row r="54" customFormat="false" ht="13.5" hidden="false" customHeight="false" outlineLevel="0" collapsed="false">
      <c r="B54" s="74" t="s">
        <v>340</v>
      </c>
      <c r="C54" s="94"/>
      <c r="D54" s="67" t="str">
        <f aca="true">IF(AND(TIPOORCAMENTO="Licitado",OFFSET(D54,0,-1)="",IFERROR(RRE!$O$20,0)&gt;0),"◄","")</f>
        <v/>
      </c>
      <c r="AQ54" s="1" t="s">
        <v>341</v>
      </c>
      <c r="AR54" s="1" t="s">
        <v>342</v>
      </c>
    </row>
    <row r="55" customFormat="false" ht="12.75" hidden="false" customHeight="false" outlineLevel="0" collapsed="false">
      <c r="C55" s="83"/>
      <c r="AQ55" s="1" t="s">
        <v>343</v>
      </c>
      <c r="AR55" s="1" t="s">
        <v>344</v>
      </c>
    </row>
    <row r="56" customFormat="false" ht="12.75" hidden="false" customHeight="false" outlineLevel="0" collapsed="false">
      <c r="AQ56" s="1" t="s">
        <v>345</v>
      </c>
      <c r="AR56" s="1" t="s">
        <v>346</v>
      </c>
    </row>
    <row r="57" customFormat="false" ht="15.75" hidden="false" customHeight="false" outlineLevel="0" collapsed="false">
      <c r="B57" s="50" t="s">
        <v>347</v>
      </c>
      <c r="AQ57" s="1" t="s">
        <v>348</v>
      </c>
      <c r="AR57" s="1" t="s">
        <v>349</v>
      </c>
    </row>
    <row r="58" customFormat="false" ht="16.5" hidden="false" customHeight="false" outlineLevel="0" collapsed="false">
      <c r="B58" s="50"/>
      <c r="AQ58" s="1" t="s">
        <v>350</v>
      </c>
      <c r="AR58" s="1" t="s">
        <v>351</v>
      </c>
    </row>
    <row r="59" customFormat="false" ht="15.75" hidden="false" customHeight="false" outlineLevel="0" collapsed="false">
      <c r="B59" s="62" t="s">
        <v>352</v>
      </c>
      <c r="C59" s="62"/>
      <c r="AQ59" s="1" t="s">
        <v>353</v>
      </c>
      <c r="AR59" s="1" t="s">
        <v>354</v>
      </c>
    </row>
    <row r="60" customFormat="false" ht="12.75" hidden="false" customHeight="false" outlineLevel="0" collapsed="false">
      <c r="B60" s="65" t="s">
        <v>249</v>
      </c>
      <c r="C60" s="93"/>
      <c r="AQ60" s="1" t="s">
        <v>355</v>
      </c>
      <c r="AR60" s="1" t="s">
        <v>356</v>
      </c>
    </row>
    <row r="61" customFormat="false" ht="13.5" hidden="false" customHeight="false" outlineLevel="0" collapsed="false">
      <c r="B61" s="81" t="s">
        <v>357</v>
      </c>
      <c r="C61" s="95"/>
      <c r="AQ61" s="1" t="s">
        <v>358</v>
      </c>
      <c r="AR61" s="1" t="s">
        <v>359</v>
      </c>
    </row>
    <row r="62" customFormat="false" ht="12.75" hidden="false" customHeight="false" outlineLevel="0" collapsed="false">
      <c r="AQ62" s="1" t="s">
        <v>360</v>
      </c>
      <c r="AR62" s="1" t="s">
        <v>361</v>
      </c>
    </row>
    <row r="63" customFormat="false" ht="12.75" hidden="false" customHeight="false" outlineLevel="0" collapsed="false">
      <c r="AQ63" s="1" t="s">
        <v>362</v>
      </c>
      <c r="AR63" s="1" t="s">
        <v>363</v>
      </c>
    </row>
    <row r="64" customFormat="false" ht="12.75" hidden="false" customHeight="false" outlineLevel="0" collapsed="false">
      <c r="AQ64" s="1" t="s">
        <v>364</v>
      </c>
      <c r="AR64" s="1" t="s">
        <v>365</v>
      </c>
    </row>
    <row r="65" customFormat="false" ht="12.75" hidden="false" customHeight="false" outlineLevel="0" collapsed="false">
      <c r="AQ65" s="1" t="s">
        <v>366</v>
      </c>
      <c r="AR65" s="1" t="s">
        <v>367</v>
      </c>
    </row>
    <row r="66" customFormat="false" ht="12.75" hidden="false" customHeight="false" outlineLevel="0" collapsed="false">
      <c r="AQ66" s="1" t="s">
        <v>368</v>
      </c>
      <c r="AR66" s="1" t="s">
        <v>369</v>
      </c>
    </row>
    <row r="67" customFormat="false" ht="12.75" hidden="false" customHeight="false" outlineLevel="0" collapsed="false">
      <c r="AQ67" s="1" t="s">
        <v>370</v>
      </c>
      <c r="AR67" s="1" t="s">
        <v>371</v>
      </c>
    </row>
    <row r="68" customFormat="false" ht="12.75" hidden="false" customHeight="false" outlineLevel="0" collapsed="false">
      <c r="AQ68" s="1" t="s">
        <v>372</v>
      </c>
      <c r="AR68" s="1" t="s">
        <v>373</v>
      </c>
    </row>
    <row r="69" customFormat="false" ht="12.75" hidden="false" customHeight="false" outlineLevel="0" collapsed="false">
      <c r="AQ69" s="1" t="s">
        <v>374</v>
      </c>
      <c r="AR69" s="1" t="s">
        <v>375</v>
      </c>
    </row>
    <row r="70" customFormat="false" ht="12.75" hidden="false" customHeight="false" outlineLevel="0" collapsed="false">
      <c r="AQ70" s="1" t="s">
        <v>376</v>
      </c>
      <c r="AR70" s="1" t="s">
        <v>377</v>
      </c>
    </row>
    <row r="71" customFormat="false" ht="12.75" hidden="false" customHeight="false" outlineLevel="0" collapsed="false">
      <c r="AQ71" s="1" t="s">
        <v>378</v>
      </c>
      <c r="AR71" s="1" t="s">
        <v>379</v>
      </c>
    </row>
    <row r="72" customFormat="false" ht="12.75" hidden="false" customHeight="false" outlineLevel="0" collapsed="false">
      <c r="AQ72" s="1" t="s">
        <v>380</v>
      </c>
      <c r="AR72" s="1" t="s">
        <v>381</v>
      </c>
    </row>
    <row r="73" customFormat="false" ht="12.75" hidden="false" customHeight="false" outlineLevel="0" collapsed="false">
      <c r="AQ73" s="1" t="s">
        <v>382</v>
      </c>
      <c r="AR73" s="1" t="s">
        <v>383</v>
      </c>
    </row>
    <row r="74" customFormat="false" ht="12.75" hidden="false" customHeight="false" outlineLevel="0" collapsed="false">
      <c r="AQ74" s="1" t="s">
        <v>384</v>
      </c>
      <c r="AR74" s="1" t="s">
        <v>385</v>
      </c>
    </row>
    <row r="75" customFormat="false" ht="12.75" hidden="false" customHeight="false" outlineLevel="0" collapsed="false">
      <c r="AQ75" s="1" t="s">
        <v>386</v>
      </c>
      <c r="AR75" s="1" t="s">
        <v>387</v>
      </c>
    </row>
    <row r="76" customFormat="false" ht="12.75" hidden="false" customHeight="false" outlineLevel="0" collapsed="false">
      <c r="AQ76" s="1" t="s">
        <v>388</v>
      </c>
      <c r="AR76" s="1" t="s">
        <v>389</v>
      </c>
    </row>
    <row r="77" customFormat="false" ht="12.75" hidden="false" customHeight="false" outlineLevel="0" collapsed="false">
      <c r="AQ77" s="1" t="s">
        <v>390</v>
      </c>
      <c r="AR77" s="1" t="s">
        <v>391</v>
      </c>
    </row>
    <row r="78" customFormat="false" ht="12.75" hidden="false" customHeight="false" outlineLevel="0" collapsed="false">
      <c r="AQ78" s="1" t="s">
        <v>392</v>
      </c>
      <c r="AR78" s="1" t="s">
        <v>393</v>
      </c>
    </row>
    <row r="79" customFormat="false" ht="12.75" hidden="false" customHeight="false" outlineLevel="0" collapsed="false">
      <c r="AQ79" s="1" t="s">
        <v>394</v>
      </c>
      <c r="AR79" s="1" t="s">
        <v>395</v>
      </c>
    </row>
    <row r="80" customFormat="false" ht="12.75" hidden="false" customHeight="false" outlineLevel="0" collapsed="false">
      <c r="AQ80" s="1" t="s">
        <v>396</v>
      </c>
      <c r="AR80" s="1" t="s">
        <v>397</v>
      </c>
    </row>
    <row r="81" customFormat="false" ht="12.75" hidden="false" customHeight="false" outlineLevel="0" collapsed="false">
      <c r="AQ81" s="1" t="s">
        <v>398</v>
      </c>
      <c r="AR81" s="1" t="s">
        <v>399</v>
      </c>
    </row>
    <row r="82" customFormat="false" ht="12.75" hidden="false" customHeight="false" outlineLevel="0" collapsed="false">
      <c r="AQ82" s="1" t="s">
        <v>400</v>
      </c>
      <c r="AR82" s="1" t="s">
        <v>401</v>
      </c>
    </row>
    <row r="83" customFormat="false" ht="12.75" hidden="false" customHeight="false" outlineLevel="0" collapsed="false">
      <c r="AQ83" s="1" t="s">
        <v>402</v>
      </c>
      <c r="AR83" s="1" t="s">
        <v>403</v>
      </c>
    </row>
    <row r="84" customFormat="false" ht="12.75" hidden="false" customHeight="false" outlineLevel="0" collapsed="false">
      <c r="AQ84" s="1" t="s">
        <v>404</v>
      </c>
      <c r="AR84" s="1" t="s">
        <v>405</v>
      </c>
    </row>
    <row r="85" customFormat="false" ht="12.75" hidden="false" customHeight="false" outlineLevel="0" collapsed="false">
      <c r="AQ85" s="1" t="s">
        <v>406</v>
      </c>
      <c r="AR85" s="1" t="s">
        <v>407</v>
      </c>
    </row>
    <row r="86" customFormat="false" ht="12.75" hidden="false" customHeight="false" outlineLevel="0" collapsed="false">
      <c r="AQ86" s="1" t="s">
        <v>408</v>
      </c>
      <c r="AR86" s="1" t="s">
        <v>409</v>
      </c>
    </row>
    <row r="87" customFormat="false" ht="12.75" hidden="false" customHeight="false" outlineLevel="0" collapsed="false">
      <c r="AQ87" s="1" t="s">
        <v>410</v>
      </c>
      <c r="AR87" s="1" t="s">
        <v>411</v>
      </c>
    </row>
    <row r="88" customFormat="false" ht="12.75" hidden="false" customHeight="false" outlineLevel="0" collapsed="false">
      <c r="AQ88" s="1" t="s">
        <v>412</v>
      </c>
      <c r="AR88" s="1" t="s">
        <v>413</v>
      </c>
    </row>
    <row r="89" customFormat="false" ht="12.75" hidden="false" customHeight="false" outlineLevel="0" collapsed="false">
      <c r="AQ89" s="1" t="s">
        <v>414</v>
      </c>
      <c r="AR89" s="1" t="s">
        <v>415</v>
      </c>
    </row>
    <row r="90" customFormat="false" ht="12.75" hidden="false" customHeight="false" outlineLevel="0" collapsed="false">
      <c r="AQ90" s="1" t="s">
        <v>416</v>
      </c>
      <c r="AR90" s="1" t="s">
        <v>417</v>
      </c>
    </row>
    <row r="91" customFormat="false" ht="12.75" hidden="false" customHeight="false" outlineLevel="0" collapsed="false">
      <c r="AQ91" s="1" t="s">
        <v>418</v>
      </c>
      <c r="AR91" s="1" t="s">
        <v>419</v>
      </c>
    </row>
    <row r="92" customFormat="false" ht="12.75" hidden="false" customHeight="false" outlineLevel="0" collapsed="false">
      <c r="AQ92" s="1" t="s">
        <v>420</v>
      </c>
      <c r="AR92" s="1" t="s">
        <v>421</v>
      </c>
    </row>
    <row r="93" customFormat="false" ht="12.75" hidden="false" customHeight="false" outlineLevel="0" collapsed="false">
      <c r="AQ93" s="1" t="s">
        <v>422</v>
      </c>
      <c r="AR93" s="1" t="s">
        <v>423</v>
      </c>
    </row>
    <row r="94" customFormat="false" ht="12.75" hidden="false" customHeight="false" outlineLevel="0" collapsed="false">
      <c r="AQ94" s="1" t="s">
        <v>424</v>
      </c>
      <c r="AR94" s="1" t="s">
        <v>425</v>
      </c>
    </row>
    <row r="95" customFormat="false" ht="12.75" hidden="false" customHeight="false" outlineLevel="0" collapsed="false">
      <c r="AQ95" s="1" t="s">
        <v>426</v>
      </c>
      <c r="AR95" s="1" t="s">
        <v>426</v>
      </c>
    </row>
    <row r="96" customFormat="false" ht="12.75" hidden="false" customHeight="false" outlineLevel="0" collapsed="false">
      <c r="AQ96" s="1" t="s">
        <v>427</v>
      </c>
      <c r="AR96" s="1" t="s">
        <v>428</v>
      </c>
    </row>
    <row r="97" customFormat="false" ht="12.75" hidden="false" customHeight="false" outlineLevel="0" collapsed="false">
      <c r="AQ97" s="1" t="s">
        <v>429</v>
      </c>
      <c r="AR97" s="1" t="s">
        <v>430</v>
      </c>
    </row>
    <row r="98" customFormat="false" ht="12.75" hidden="false" customHeight="false" outlineLevel="0" collapsed="false">
      <c r="AQ98" s="1" t="s">
        <v>431</v>
      </c>
      <c r="AR98" s="1" t="s">
        <v>431</v>
      </c>
    </row>
    <row r="99" customFormat="false" ht="12.75" hidden="false" customHeight="false" outlineLevel="0" collapsed="false">
      <c r="AQ99" s="1" t="s">
        <v>432</v>
      </c>
      <c r="AR99" s="1" t="s">
        <v>432</v>
      </c>
    </row>
    <row r="100" customFormat="false" ht="12.75" hidden="false" customHeight="false" outlineLevel="0" collapsed="false">
      <c r="AQ100" s="1" t="s">
        <v>432</v>
      </c>
      <c r="AR100" s="1" t="s">
        <v>432</v>
      </c>
    </row>
    <row r="101" customFormat="false" ht="12.75" hidden="false" customHeight="false" outlineLevel="0" collapsed="false">
      <c r="AQ101" s="1" t="s">
        <v>433</v>
      </c>
      <c r="AR101" s="1" t="s">
        <v>434</v>
      </c>
    </row>
    <row r="102" customFormat="false" ht="12.75" hidden="false" customHeight="false" outlineLevel="0" collapsed="false">
      <c r="AQ102" s="1" t="s">
        <v>435</v>
      </c>
      <c r="AR102" s="1" t="s">
        <v>436</v>
      </c>
    </row>
    <row r="103" customFormat="false" ht="12.75" hidden="false" customHeight="false" outlineLevel="0" collapsed="false">
      <c r="AQ103" s="1" t="s">
        <v>437</v>
      </c>
      <c r="AR103" s="1" t="s">
        <v>438</v>
      </c>
    </row>
    <row r="104" customFormat="false" ht="12.75" hidden="false" customHeight="false" outlineLevel="0" collapsed="false">
      <c r="AQ104" s="1" t="s">
        <v>439</v>
      </c>
      <c r="AR104" s="1" t="s">
        <v>440</v>
      </c>
    </row>
    <row r="105" customFormat="false" ht="12.75" hidden="false" customHeight="false" outlineLevel="0" collapsed="false">
      <c r="AQ105" s="1" t="s">
        <v>441</v>
      </c>
      <c r="AR105" s="1" t="s">
        <v>442</v>
      </c>
    </row>
    <row r="106" customFormat="false" ht="12.75" hidden="false" customHeight="false" outlineLevel="0" collapsed="false">
      <c r="AQ106" s="1" t="s">
        <v>443</v>
      </c>
      <c r="AR106" s="1" t="s">
        <v>444</v>
      </c>
    </row>
    <row r="107" customFormat="false" ht="12.75" hidden="false" customHeight="false" outlineLevel="0" collapsed="false">
      <c r="AQ107" s="1" t="s">
        <v>445</v>
      </c>
      <c r="AR107" s="1" t="s">
        <v>446</v>
      </c>
    </row>
    <row r="108" customFormat="false" ht="12.75" hidden="false" customHeight="false" outlineLevel="0" collapsed="false">
      <c r="AQ108" s="1" t="s">
        <v>447</v>
      </c>
      <c r="AR108" s="1" t="s">
        <v>448</v>
      </c>
    </row>
    <row r="109" customFormat="false" ht="12.75" hidden="false" customHeight="false" outlineLevel="0" collapsed="false">
      <c r="AQ109" s="1" t="s">
        <v>449</v>
      </c>
      <c r="AR109" s="1" t="s">
        <v>450</v>
      </c>
    </row>
    <row r="110" customFormat="false" ht="12.75" hidden="false" customHeight="false" outlineLevel="0" collapsed="false">
      <c r="AQ110" s="1" t="s">
        <v>451</v>
      </c>
      <c r="AR110" s="1" t="s">
        <v>452</v>
      </c>
    </row>
    <row r="111" customFormat="false" ht="12.75" hidden="false" customHeight="false" outlineLevel="0" collapsed="false">
      <c r="AQ111" s="1" t="s">
        <v>453</v>
      </c>
      <c r="AR111" s="1" t="s">
        <v>454</v>
      </c>
    </row>
    <row r="112" customFormat="false" ht="12.75" hidden="false" customHeight="false" outlineLevel="0" collapsed="false">
      <c r="AQ112" s="1" t="s">
        <v>455</v>
      </c>
      <c r="AR112" s="1" t="s">
        <v>456</v>
      </c>
    </row>
    <row r="113" customFormat="false" ht="12.75" hidden="false" customHeight="false" outlineLevel="0" collapsed="false">
      <c r="AQ113" s="1" t="s">
        <v>457</v>
      </c>
      <c r="AR113" s="1" t="s">
        <v>458</v>
      </c>
    </row>
    <row r="114" customFormat="false" ht="12.75" hidden="false" customHeight="false" outlineLevel="0" collapsed="false">
      <c r="AQ114" s="1" t="s">
        <v>459</v>
      </c>
      <c r="AR114" s="1" t="s">
        <v>460</v>
      </c>
    </row>
    <row r="115" customFormat="false" ht="12.75" hidden="false" customHeight="false" outlineLevel="0" collapsed="false">
      <c r="AQ115" s="1" t="s">
        <v>461</v>
      </c>
      <c r="AR115" s="1" t="s">
        <v>462</v>
      </c>
    </row>
    <row r="116" customFormat="false" ht="12.75" hidden="false" customHeight="false" outlineLevel="0" collapsed="false">
      <c r="AQ116" s="1" t="s">
        <v>463</v>
      </c>
      <c r="AR116" s="1" t="s">
        <v>464</v>
      </c>
    </row>
    <row r="117" customFormat="false" ht="12.75" hidden="false" customHeight="false" outlineLevel="0" collapsed="false">
      <c r="AQ117" s="1" t="s">
        <v>465</v>
      </c>
      <c r="AR117" s="1" t="s">
        <v>466</v>
      </c>
    </row>
    <row r="118" customFormat="false" ht="12.75" hidden="false" customHeight="false" outlineLevel="0" collapsed="false">
      <c r="AQ118" s="1" t="s">
        <v>467</v>
      </c>
      <c r="AR118" s="1" t="s">
        <v>468</v>
      </c>
    </row>
    <row r="119" customFormat="false" ht="12.75" hidden="false" customHeight="false" outlineLevel="0" collapsed="false">
      <c r="AQ119" s="1" t="s">
        <v>469</v>
      </c>
      <c r="AR119" s="1" t="s">
        <v>469</v>
      </c>
    </row>
    <row r="120" customFormat="false" ht="12.75" hidden="false" customHeight="false" outlineLevel="0" collapsed="false">
      <c r="AQ120" s="1" t="s">
        <v>470</v>
      </c>
      <c r="AR120" s="1" t="s">
        <v>470</v>
      </c>
    </row>
    <row r="121" customFormat="false" ht="12.75" hidden="false" customHeight="false" outlineLevel="0" collapsed="false">
      <c r="AQ121" s="1" t="s">
        <v>471</v>
      </c>
      <c r="AR121" s="1" t="s">
        <v>472</v>
      </c>
    </row>
    <row r="122" customFormat="false" ht="12.75" hidden="false" customHeight="false" outlineLevel="0" collapsed="false">
      <c r="AQ122" s="1" t="s">
        <v>473</v>
      </c>
      <c r="AR122" s="1" t="s">
        <v>474</v>
      </c>
    </row>
    <row r="123" customFormat="false" ht="12.75" hidden="false" customHeight="false" outlineLevel="0" collapsed="false">
      <c r="AQ123" s="1" t="s">
        <v>475</v>
      </c>
      <c r="AR123" s="1" t="s">
        <v>476</v>
      </c>
    </row>
    <row r="124" customFormat="false" ht="12.75" hidden="false" customHeight="false" outlineLevel="0" collapsed="false">
      <c r="AQ124" s="1" t="s">
        <v>477</v>
      </c>
      <c r="AR124" s="1" t="s">
        <v>478</v>
      </c>
    </row>
    <row r="125" customFormat="false" ht="12.75" hidden="false" customHeight="false" outlineLevel="0" collapsed="false">
      <c r="AQ125" s="1" t="s">
        <v>479</v>
      </c>
      <c r="AR125" s="1" t="s">
        <v>480</v>
      </c>
    </row>
    <row r="126" customFormat="false" ht="12.75" hidden="false" customHeight="false" outlineLevel="0" collapsed="false">
      <c r="AQ126" s="1" t="s">
        <v>481</v>
      </c>
      <c r="AR126" s="1" t="s">
        <v>482</v>
      </c>
    </row>
    <row r="127" customFormat="false" ht="12.75" hidden="false" customHeight="false" outlineLevel="0" collapsed="false">
      <c r="AQ127" s="1" t="s">
        <v>483</v>
      </c>
      <c r="AR127" s="1" t="s">
        <v>484</v>
      </c>
    </row>
    <row r="128" customFormat="false" ht="12.75" hidden="false" customHeight="false" outlineLevel="0" collapsed="false">
      <c r="AQ128" s="1" t="s">
        <v>485</v>
      </c>
      <c r="AR128" s="1" t="s">
        <v>486</v>
      </c>
    </row>
    <row r="129" customFormat="false" ht="12.75" hidden="false" customHeight="false" outlineLevel="0" collapsed="false">
      <c r="AQ129" s="1" t="s">
        <v>487</v>
      </c>
      <c r="AR129" s="1" t="s">
        <v>488</v>
      </c>
    </row>
    <row r="130" customFormat="false" ht="12.75" hidden="false" customHeight="false" outlineLevel="0" collapsed="false">
      <c r="AQ130" s="1" t="s">
        <v>489</v>
      </c>
      <c r="AR130" s="1" t="s">
        <v>490</v>
      </c>
    </row>
    <row r="131" customFormat="false" ht="12.75" hidden="false" customHeight="false" outlineLevel="0" collapsed="false">
      <c r="AQ131" s="1" t="s">
        <v>491</v>
      </c>
      <c r="AR131" s="1" t="s">
        <v>492</v>
      </c>
    </row>
    <row r="132" customFormat="false" ht="12.75" hidden="false" customHeight="false" outlineLevel="0" collapsed="false">
      <c r="AQ132" s="1" t="s">
        <v>493</v>
      </c>
      <c r="AR132" s="1" t="s">
        <v>494</v>
      </c>
    </row>
    <row r="133" customFormat="false" ht="12.75" hidden="false" customHeight="false" outlineLevel="0" collapsed="false">
      <c r="AQ133" s="1" t="s">
        <v>495</v>
      </c>
      <c r="AR133" s="1" t="s">
        <v>496</v>
      </c>
    </row>
    <row r="134" customFormat="false" ht="12.75" hidden="false" customHeight="false" outlineLevel="0" collapsed="false">
      <c r="AQ134" s="1" t="s">
        <v>497</v>
      </c>
      <c r="AR134" s="1" t="s">
        <v>498</v>
      </c>
    </row>
    <row r="135" customFormat="false" ht="12.75" hidden="false" customHeight="false" outlineLevel="0" collapsed="false">
      <c r="AQ135" s="1" t="s">
        <v>499</v>
      </c>
      <c r="AR135" s="1" t="s">
        <v>500</v>
      </c>
    </row>
    <row r="136" customFormat="false" ht="12.75" hidden="false" customHeight="false" outlineLevel="0" collapsed="false">
      <c r="AQ136" s="1" t="s">
        <v>501</v>
      </c>
      <c r="AR136" s="1" t="s">
        <v>502</v>
      </c>
    </row>
    <row r="137" customFormat="false" ht="12.75" hidden="false" customHeight="false" outlineLevel="0" collapsed="false">
      <c r="AQ137" s="1" t="s">
        <v>503</v>
      </c>
      <c r="AR137" s="1" t="s">
        <v>504</v>
      </c>
    </row>
    <row r="138" customFormat="false" ht="12.75" hidden="false" customHeight="false" outlineLevel="0" collapsed="false">
      <c r="AQ138" s="1" t="s">
        <v>505</v>
      </c>
      <c r="AR138" s="1" t="s">
        <v>506</v>
      </c>
    </row>
    <row r="139" customFormat="false" ht="12.75" hidden="false" customHeight="false" outlineLevel="0" collapsed="false">
      <c r="AQ139" s="1" t="s">
        <v>507</v>
      </c>
      <c r="AR139" s="1" t="s">
        <v>508</v>
      </c>
    </row>
    <row r="140" customFormat="false" ht="12.75" hidden="false" customHeight="false" outlineLevel="0" collapsed="false">
      <c r="AQ140" s="1" t="s">
        <v>509</v>
      </c>
      <c r="AR140" s="1" t="s">
        <v>510</v>
      </c>
    </row>
    <row r="141" customFormat="false" ht="12.75" hidden="false" customHeight="false" outlineLevel="0" collapsed="false">
      <c r="AQ141" s="1" t="s">
        <v>511</v>
      </c>
      <c r="AR141" s="1" t="s">
        <v>512</v>
      </c>
    </row>
    <row r="142" customFormat="false" ht="12.75" hidden="false" customHeight="false" outlineLevel="0" collapsed="false">
      <c r="AQ142" s="1" t="s">
        <v>513</v>
      </c>
      <c r="AR142" s="1" t="s">
        <v>514</v>
      </c>
    </row>
    <row r="143" customFormat="false" ht="12.75" hidden="false" customHeight="false" outlineLevel="0" collapsed="false">
      <c r="AQ143" s="1" t="s">
        <v>498</v>
      </c>
      <c r="AR143" s="1" t="s">
        <v>498</v>
      </c>
    </row>
    <row r="144" customFormat="false" ht="12.75" hidden="false" customHeight="false" outlineLevel="0" collapsed="false">
      <c r="AQ144" s="1" t="s">
        <v>515</v>
      </c>
      <c r="AR144" s="1" t="s">
        <v>515</v>
      </c>
    </row>
    <row r="145" customFormat="false" ht="12.75" hidden="false" customHeight="false" outlineLevel="0" collapsed="false">
      <c r="AQ145" s="1" t="s">
        <v>516</v>
      </c>
      <c r="AR145" s="1" t="s">
        <v>516</v>
      </c>
    </row>
    <row r="146" customFormat="false" ht="12.75" hidden="false" customHeight="false" outlineLevel="0" collapsed="false">
      <c r="AQ146" s="1" t="s">
        <v>517</v>
      </c>
      <c r="AR146" s="1" t="s">
        <v>502</v>
      </c>
    </row>
    <row r="147" customFormat="false" ht="12.75" hidden="false" customHeight="false" outlineLevel="0" collapsed="false">
      <c r="AQ147" s="1" t="s">
        <v>518</v>
      </c>
      <c r="AR147" s="1" t="s">
        <v>519</v>
      </c>
    </row>
    <row r="148" customFormat="false" ht="12.75" hidden="false" customHeight="false" outlineLevel="0" collapsed="false">
      <c r="AQ148" s="1" t="s">
        <v>520</v>
      </c>
      <c r="AR148" s="1" t="s">
        <v>521</v>
      </c>
    </row>
    <row r="149" customFormat="false" ht="12.75" hidden="false" customHeight="false" outlineLevel="0" collapsed="false">
      <c r="AQ149" s="1" t="s">
        <v>522</v>
      </c>
      <c r="AR149" s="1" t="s">
        <v>523</v>
      </c>
    </row>
    <row r="150" customFormat="false" ht="12.75" hidden="false" customHeight="false" outlineLevel="0" collapsed="false">
      <c r="AQ150" s="1" t="s">
        <v>522</v>
      </c>
      <c r="AR150" s="1" t="s">
        <v>523</v>
      </c>
    </row>
    <row r="151" customFormat="false" ht="12.75" hidden="false" customHeight="false" outlineLevel="0" collapsed="false">
      <c r="AQ151" s="1" t="s">
        <v>524</v>
      </c>
      <c r="AR151" s="1" t="s">
        <v>524</v>
      </c>
    </row>
    <row r="152" customFormat="false" ht="12.75" hidden="false" customHeight="false" outlineLevel="0" collapsed="false">
      <c r="AQ152" s="1" t="s">
        <v>525</v>
      </c>
      <c r="AR152" s="1" t="s">
        <v>526</v>
      </c>
    </row>
    <row r="153" customFormat="false" ht="12.75" hidden="false" customHeight="false" outlineLevel="0" collapsed="false">
      <c r="AQ153" s="1" t="s">
        <v>527</v>
      </c>
      <c r="AR153" s="1" t="s">
        <v>528</v>
      </c>
    </row>
    <row r="154" customFormat="false" ht="12.75" hidden="false" customHeight="false" outlineLevel="0" collapsed="false">
      <c r="AQ154" s="1" t="s">
        <v>529</v>
      </c>
      <c r="AR154" s="1" t="s">
        <v>530</v>
      </c>
    </row>
    <row r="155" customFormat="false" ht="12.75" hidden="false" customHeight="false" outlineLevel="0" collapsed="false">
      <c r="AQ155" s="1" t="s">
        <v>531</v>
      </c>
      <c r="AR155" s="1" t="s">
        <v>532</v>
      </c>
    </row>
    <row r="156" customFormat="false" ht="12.75" hidden="false" customHeight="false" outlineLevel="0" collapsed="false">
      <c r="AQ156" s="1" t="s">
        <v>533</v>
      </c>
      <c r="AR156" s="1" t="s">
        <v>534</v>
      </c>
    </row>
    <row r="157" customFormat="false" ht="12.75" hidden="false" customHeight="false" outlineLevel="0" collapsed="false">
      <c r="AQ157" s="1" t="s">
        <v>535</v>
      </c>
      <c r="AR157" s="1" t="s">
        <v>536</v>
      </c>
    </row>
    <row r="158" customFormat="false" ht="12.75" hidden="false" customHeight="false" outlineLevel="0" collapsed="false">
      <c r="AQ158" s="1" t="s">
        <v>537</v>
      </c>
      <c r="AR158" s="1" t="s">
        <v>538</v>
      </c>
    </row>
    <row r="159" customFormat="false" ht="12.75" hidden="false" customHeight="false" outlineLevel="0" collapsed="false">
      <c r="AQ159" s="1" t="s">
        <v>539</v>
      </c>
      <c r="AR159" s="1" t="s">
        <v>540</v>
      </c>
    </row>
    <row r="160" customFormat="false" ht="12.75" hidden="false" customHeight="false" outlineLevel="0" collapsed="false">
      <c r="AQ160" s="1" t="s">
        <v>541</v>
      </c>
      <c r="AR160" s="1" t="s">
        <v>542</v>
      </c>
    </row>
    <row r="161" customFormat="false" ht="12.75" hidden="false" customHeight="false" outlineLevel="0" collapsed="false">
      <c r="AQ161" s="1" t="s">
        <v>543</v>
      </c>
      <c r="AR161" s="1" t="s">
        <v>544</v>
      </c>
    </row>
    <row r="162" customFormat="false" ht="12.75" hidden="false" customHeight="false" outlineLevel="0" collapsed="false">
      <c r="AQ162" s="1" t="s">
        <v>545</v>
      </c>
      <c r="AR162" s="1" t="s">
        <v>546</v>
      </c>
    </row>
    <row r="163" customFormat="false" ht="12.75" hidden="false" customHeight="false" outlineLevel="0" collapsed="false">
      <c r="AQ163" s="1" t="s">
        <v>547</v>
      </c>
      <c r="AR163" s="1" t="s">
        <v>548</v>
      </c>
    </row>
    <row r="164" customFormat="false" ht="12.75" hidden="false" customHeight="false" outlineLevel="0" collapsed="false">
      <c r="AQ164" s="1" t="s">
        <v>549</v>
      </c>
      <c r="AR164" s="1" t="s">
        <v>550</v>
      </c>
    </row>
    <row r="165" customFormat="false" ht="12.75" hidden="false" customHeight="false" outlineLevel="0" collapsed="false">
      <c r="AQ165" s="1" t="s">
        <v>551</v>
      </c>
      <c r="AR165" s="1" t="s">
        <v>552</v>
      </c>
    </row>
    <row r="166" customFormat="false" ht="12.75" hidden="false" customHeight="false" outlineLevel="0" collapsed="false">
      <c r="AQ166" s="1" t="s">
        <v>553</v>
      </c>
      <c r="AR166" s="1" t="s">
        <v>553</v>
      </c>
    </row>
    <row r="167" customFormat="false" ht="12.75" hidden="false" customHeight="false" outlineLevel="0" collapsed="false">
      <c r="AQ167" s="1" t="s">
        <v>554</v>
      </c>
      <c r="AR167" s="1" t="s">
        <v>555</v>
      </c>
    </row>
    <row r="168" customFormat="false" ht="12.75" hidden="false" customHeight="false" outlineLevel="0" collapsed="false">
      <c r="AQ168" s="1" t="s">
        <v>556</v>
      </c>
      <c r="AR168" s="1" t="s">
        <v>557</v>
      </c>
    </row>
    <row r="169" customFormat="false" ht="12.75" hidden="false" customHeight="false" outlineLevel="0" collapsed="false">
      <c r="AQ169" s="1" t="s">
        <v>558</v>
      </c>
      <c r="AR169" s="1" t="s">
        <v>559</v>
      </c>
    </row>
    <row r="170" customFormat="false" ht="12.75" hidden="false" customHeight="false" outlineLevel="0" collapsed="false">
      <c r="AQ170" s="1" t="s">
        <v>560</v>
      </c>
      <c r="AR170" s="1" t="s">
        <v>561</v>
      </c>
    </row>
    <row r="171" customFormat="false" ht="12.75" hidden="false" customHeight="false" outlineLevel="0" collapsed="false">
      <c r="AQ171" s="1" t="s">
        <v>562</v>
      </c>
      <c r="AR171" s="1" t="s">
        <v>563</v>
      </c>
    </row>
    <row r="172" customFormat="false" ht="12.75" hidden="false" customHeight="false" outlineLevel="0" collapsed="false">
      <c r="AQ172" s="1" t="s">
        <v>564</v>
      </c>
      <c r="AR172" s="1" t="s">
        <v>565</v>
      </c>
    </row>
    <row r="173" customFormat="false" ht="12.75" hidden="false" customHeight="false" outlineLevel="0" collapsed="false">
      <c r="AQ173" s="1" t="s">
        <v>566</v>
      </c>
      <c r="AR173" s="1" t="s">
        <v>567</v>
      </c>
    </row>
    <row r="174" customFormat="false" ht="12.75" hidden="false" customHeight="false" outlineLevel="0" collapsed="false">
      <c r="AQ174" s="1" t="s">
        <v>568</v>
      </c>
      <c r="AR174" s="1" t="s">
        <v>569</v>
      </c>
    </row>
    <row r="175" customFormat="false" ht="12.75" hidden="false" customHeight="false" outlineLevel="0" collapsed="false">
      <c r="AQ175" s="1" t="s">
        <v>570</v>
      </c>
      <c r="AR175" s="1" t="s">
        <v>571</v>
      </c>
    </row>
    <row r="176" customFormat="false" ht="12.75" hidden="false" customHeight="false" outlineLevel="0" collapsed="false">
      <c r="AQ176" s="1" t="s">
        <v>572</v>
      </c>
      <c r="AR176" s="1" t="s">
        <v>573</v>
      </c>
    </row>
    <row r="177" customFormat="false" ht="12.75" hidden="false" customHeight="false" outlineLevel="0" collapsed="false">
      <c r="AQ177" s="1" t="s">
        <v>574</v>
      </c>
      <c r="AR177" s="1" t="s">
        <v>575</v>
      </c>
    </row>
    <row r="178" customFormat="false" ht="12.75" hidden="false" customHeight="false" outlineLevel="0" collapsed="false">
      <c r="AQ178" s="1" t="s">
        <v>576</v>
      </c>
      <c r="AR178" s="1" t="s">
        <v>577</v>
      </c>
    </row>
    <row r="179" customFormat="false" ht="12.75" hidden="false" customHeight="false" outlineLevel="0" collapsed="false">
      <c r="AQ179" s="1" t="s">
        <v>578</v>
      </c>
      <c r="AR179" s="1" t="s">
        <v>579</v>
      </c>
    </row>
    <row r="180" customFormat="false" ht="12.75" hidden="false" customHeight="false" outlineLevel="0" collapsed="false">
      <c r="AQ180" s="1" t="s">
        <v>580</v>
      </c>
      <c r="AR180" s="1" t="s">
        <v>581</v>
      </c>
    </row>
    <row r="181" customFormat="false" ht="12.75" hidden="false" customHeight="false" outlineLevel="0" collapsed="false">
      <c r="AQ181" s="1" t="s">
        <v>582</v>
      </c>
      <c r="AR181" s="1" t="s">
        <v>583</v>
      </c>
    </row>
    <row r="182" customFormat="false" ht="12.75" hidden="false" customHeight="false" outlineLevel="0" collapsed="false">
      <c r="AQ182" s="1" t="s">
        <v>584</v>
      </c>
      <c r="AR182" s="1" t="s">
        <v>585</v>
      </c>
    </row>
    <row r="183" customFormat="false" ht="12.75" hidden="false" customHeight="false" outlineLevel="0" collapsed="false">
      <c r="AQ183" s="1" t="s">
        <v>586</v>
      </c>
      <c r="AR183" s="1" t="s">
        <v>587</v>
      </c>
    </row>
    <row r="184" customFormat="false" ht="12.75" hidden="false" customHeight="false" outlineLevel="0" collapsed="false">
      <c r="AQ184" s="1" t="s">
        <v>588</v>
      </c>
      <c r="AR184" s="1" t="s">
        <v>589</v>
      </c>
    </row>
    <row r="185" customFormat="false" ht="12.75" hidden="false" customHeight="false" outlineLevel="0" collapsed="false">
      <c r="AQ185" s="1" t="s">
        <v>590</v>
      </c>
      <c r="AR185" s="1" t="s">
        <v>591</v>
      </c>
    </row>
    <row r="186" customFormat="false" ht="12.75" hidden="false" customHeight="false" outlineLevel="0" collapsed="false">
      <c r="AQ186" s="1" t="s">
        <v>592</v>
      </c>
      <c r="AR186" s="1" t="s">
        <v>593</v>
      </c>
    </row>
    <row r="187" customFormat="false" ht="12.75" hidden="false" customHeight="false" outlineLevel="0" collapsed="false">
      <c r="AQ187" s="1" t="s">
        <v>594</v>
      </c>
      <c r="AR187" s="1" t="s">
        <v>595</v>
      </c>
    </row>
    <row r="188" customFormat="false" ht="12.75" hidden="false" customHeight="false" outlineLevel="0" collapsed="false">
      <c r="AQ188" s="1" t="s">
        <v>596</v>
      </c>
      <c r="AR188" s="1" t="s">
        <v>597</v>
      </c>
    </row>
    <row r="189" customFormat="false" ht="12.75" hidden="false" customHeight="false" outlineLevel="0" collapsed="false">
      <c r="AQ189" s="1" t="s">
        <v>598</v>
      </c>
      <c r="AR189" s="1" t="s">
        <v>599</v>
      </c>
    </row>
    <row r="190" customFormat="false" ht="12.75" hidden="false" customHeight="false" outlineLevel="0" collapsed="false">
      <c r="AQ190" s="1" t="s">
        <v>600</v>
      </c>
      <c r="AR190" s="1" t="s">
        <v>601</v>
      </c>
    </row>
    <row r="191" customFormat="false" ht="12.75" hidden="false" customHeight="false" outlineLevel="0" collapsed="false">
      <c r="AQ191" s="1" t="s">
        <v>602</v>
      </c>
      <c r="AR191" s="1" t="s">
        <v>603</v>
      </c>
    </row>
    <row r="192" customFormat="false" ht="12.75" hidden="false" customHeight="false" outlineLevel="0" collapsed="false">
      <c r="AQ192" s="1" t="s">
        <v>604</v>
      </c>
      <c r="AR192" s="1" t="s">
        <v>605</v>
      </c>
    </row>
    <row r="193" customFormat="false" ht="12.75" hidden="false" customHeight="false" outlineLevel="0" collapsed="false">
      <c r="AQ193" s="1" t="s">
        <v>606</v>
      </c>
      <c r="AR193" s="1" t="s">
        <v>607</v>
      </c>
    </row>
    <row r="194" customFormat="false" ht="12.75" hidden="false" customHeight="false" outlineLevel="0" collapsed="false">
      <c r="AQ194" s="1" t="s">
        <v>608</v>
      </c>
      <c r="AR194" s="1" t="s">
        <v>609</v>
      </c>
    </row>
    <row r="195" customFormat="false" ht="12.75" hidden="false" customHeight="false" outlineLevel="0" collapsed="false">
      <c r="AQ195" s="1" t="s">
        <v>610</v>
      </c>
      <c r="AR195" s="1" t="s">
        <v>611</v>
      </c>
    </row>
    <row r="196" customFormat="false" ht="12.75" hidden="false" customHeight="false" outlineLevel="0" collapsed="false">
      <c r="AQ196" s="1" t="s">
        <v>612</v>
      </c>
      <c r="AR196" s="1" t="s">
        <v>613</v>
      </c>
    </row>
    <row r="197" customFormat="false" ht="12.75" hidden="false" customHeight="false" outlineLevel="0" collapsed="false">
      <c r="AQ197" s="1" t="s">
        <v>614</v>
      </c>
      <c r="AR197" s="1" t="s">
        <v>615</v>
      </c>
    </row>
    <row r="198" customFormat="false" ht="12.75" hidden="false" customHeight="false" outlineLevel="0" collapsed="false">
      <c r="AQ198" s="1" t="s">
        <v>616</v>
      </c>
      <c r="AR198" s="1" t="s">
        <v>617</v>
      </c>
    </row>
    <row r="199" customFormat="false" ht="12.75" hidden="false" customHeight="false" outlineLevel="0" collapsed="false">
      <c r="AQ199" s="1" t="s">
        <v>618</v>
      </c>
      <c r="AR199" s="1" t="s">
        <v>619</v>
      </c>
    </row>
    <row r="200" customFormat="false" ht="12.75" hidden="false" customHeight="false" outlineLevel="0" collapsed="false">
      <c r="AQ200" s="1" t="s">
        <v>620</v>
      </c>
      <c r="AR200" s="1" t="s">
        <v>621</v>
      </c>
    </row>
    <row r="201" customFormat="false" ht="12.75" hidden="false" customHeight="false" outlineLevel="0" collapsed="false">
      <c r="AQ201" s="1" t="s">
        <v>622</v>
      </c>
      <c r="AR201" s="1" t="s">
        <v>623</v>
      </c>
    </row>
    <row r="202" customFormat="false" ht="12.75" hidden="false" customHeight="false" outlineLevel="0" collapsed="false">
      <c r="AQ202" s="1" t="s">
        <v>624</v>
      </c>
      <c r="AR202" s="1" t="s">
        <v>625</v>
      </c>
    </row>
    <row r="203" customFormat="false" ht="12.75" hidden="false" customHeight="false" outlineLevel="0" collapsed="false">
      <c r="AQ203" s="1" t="s">
        <v>626</v>
      </c>
      <c r="AR203" s="1" t="s">
        <v>627</v>
      </c>
    </row>
    <row r="204" customFormat="false" ht="12.75" hidden="false" customHeight="false" outlineLevel="0" collapsed="false">
      <c r="AQ204" s="1" t="s">
        <v>628</v>
      </c>
      <c r="AR204" s="1" t="s">
        <v>629</v>
      </c>
    </row>
    <row r="205" customFormat="false" ht="12.75" hidden="false" customHeight="false" outlineLevel="0" collapsed="false">
      <c r="AQ205" s="1" t="s">
        <v>630</v>
      </c>
      <c r="AR205" s="1" t="s">
        <v>631</v>
      </c>
    </row>
    <row r="206" customFormat="false" ht="12.75" hidden="false" customHeight="false" outlineLevel="0" collapsed="false">
      <c r="AQ206" s="1" t="s">
        <v>632</v>
      </c>
      <c r="AR206" s="1" t="s">
        <v>633</v>
      </c>
    </row>
    <row r="207" customFormat="false" ht="12.75" hidden="false" customHeight="false" outlineLevel="0" collapsed="false">
      <c r="AQ207" s="1" t="s">
        <v>634</v>
      </c>
      <c r="AR207" s="1" t="s">
        <v>635</v>
      </c>
    </row>
    <row r="208" customFormat="false" ht="12.75" hidden="false" customHeight="false" outlineLevel="0" collapsed="false">
      <c r="AQ208" s="1" t="s">
        <v>636</v>
      </c>
      <c r="AR208" s="1" t="s">
        <v>637</v>
      </c>
    </row>
    <row r="209" customFormat="false" ht="12.75" hidden="false" customHeight="false" outlineLevel="0" collapsed="false">
      <c r="AQ209" s="1" t="s">
        <v>638</v>
      </c>
      <c r="AR209" s="1" t="s">
        <v>639</v>
      </c>
    </row>
    <row r="210" customFormat="false" ht="12.75" hidden="false" customHeight="false" outlineLevel="0" collapsed="false">
      <c r="AQ210" s="1" t="s">
        <v>640</v>
      </c>
      <c r="AR210" s="1" t="s">
        <v>641</v>
      </c>
    </row>
    <row r="211" customFormat="false" ht="12.75" hidden="false" customHeight="false" outlineLevel="0" collapsed="false">
      <c r="AQ211" s="1" t="s">
        <v>642</v>
      </c>
      <c r="AR211" s="1" t="s">
        <v>642</v>
      </c>
    </row>
    <row r="212" customFormat="false" ht="12.75" hidden="false" customHeight="false" outlineLevel="0" collapsed="false">
      <c r="AQ212" s="1" t="s">
        <v>643</v>
      </c>
      <c r="AR212" s="1" t="s">
        <v>643</v>
      </c>
    </row>
    <row r="213" customFormat="false" ht="12.75" hidden="false" customHeight="false" outlineLevel="0" collapsed="false">
      <c r="AQ213" s="1" t="s">
        <v>644</v>
      </c>
      <c r="AR213" s="1" t="s">
        <v>645</v>
      </c>
    </row>
    <row r="214" customFormat="false" ht="12.75" hidden="false" customHeight="false" outlineLevel="0" collapsed="false">
      <c r="AQ214" s="1" t="s">
        <v>646</v>
      </c>
      <c r="AR214" s="1" t="s">
        <v>645</v>
      </c>
    </row>
    <row r="215" customFormat="false" ht="12.75" hidden="false" customHeight="false" outlineLevel="0" collapsed="false">
      <c r="AQ215" s="1" t="s">
        <v>647</v>
      </c>
      <c r="AR215" s="1" t="s">
        <v>647</v>
      </c>
    </row>
    <row r="216" customFormat="false" ht="12.75" hidden="false" customHeight="false" outlineLevel="0" collapsed="false">
      <c r="AQ216" s="1" t="s">
        <v>648</v>
      </c>
      <c r="AR216" s="1" t="s">
        <v>648</v>
      </c>
    </row>
    <row r="217" customFormat="false" ht="12.75" hidden="false" customHeight="false" outlineLevel="0" collapsed="false">
      <c r="AQ217" s="1" t="s">
        <v>649</v>
      </c>
      <c r="AR217" s="1" t="s">
        <v>650</v>
      </c>
    </row>
    <row r="218" customFormat="false" ht="12.75" hidden="false" customHeight="false" outlineLevel="0" collapsed="false">
      <c r="AQ218" s="1" t="s">
        <v>651</v>
      </c>
      <c r="AR218" s="1" t="s">
        <v>652</v>
      </c>
    </row>
    <row r="219" customFormat="false" ht="12.75" hidden="false" customHeight="false" outlineLevel="0" collapsed="false">
      <c r="AQ219" s="1" t="s">
        <v>653</v>
      </c>
      <c r="AR219" s="1" t="s">
        <v>653</v>
      </c>
    </row>
    <row r="220" customFormat="false" ht="12.75" hidden="false" customHeight="false" outlineLevel="0" collapsed="false">
      <c r="AQ220" s="1" t="s">
        <v>654</v>
      </c>
      <c r="AR220" s="1" t="s">
        <v>655</v>
      </c>
    </row>
    <row r="222" customFormat="false" ht="12.75" hidden="false" customHeight="false" outlineLevel="0" collapsed="false">
      <c r="AQ222" s="60"/>
      <c r="AR222" s="61"/>
    </row>
  </sheetData>
  <sheetProtection sheet="true" password="bd1f" objects="true" scenarios="true" autoFilter="false"/>
  <mergeCells count="9">
    <mergeCell ref="I1:AO1"/>
    <mergeCell ref="B3:C3"/>
    <mergeCell ref="B15:C15"/>
    <mergeCell ref="B21:C21"/>
    <mergeCell ref="B27:C27"/>
    <mergeCell ref="B35:C35"/>
    <mergeCell ref="B46:C46"/>
    <mergeCell ref="B50:C50"/>
    <mergeCell ref="B59:C59"/>
  </mergeCells>
  <conditionalFormatting sqref="B57:C58">
    <cfRule type="expression" priority="2" aboveAverage="0" equalAverage="0" bottom="0" percent="0" rank="0" text="" dxfId="6">
      <formula>CAIXA.Modo=0</formula>
    </cfRule>
  </conditionalFormatting>
  <conditionalFormatting sqref="B59:C61">
    <cfRule type="expression" priority="3" aboveAverage="0" equalAverage="0" bottom="0" percent="0" rank="0" text="" dxfId="7">
      <formula>CAIXA.Modo=0</formula>
    </cfRule>
  </conditionalFormatting>
  <dataValidations count="7">
    <dataValidation allowBlank="true" error="Digite somente datas válidas no formato mm/aaaa." errorStyle="stop" errorTitle="Dados inválidos" operator="between" showDropDown="false" showErrorMessage="true" showInputMessage="false" sqref="C19 C25 C36 C41 C47:C48" type="date">
      <formula1>36526</formula1>
      <formula2>72686</formula2>
    </dataValidation>
    <dataValidation allowBlank="true" errorStyle="stop" operator="between" showDropDown="false" showErrorMessage="true" showInputMessage="false" sqref="C18" type="list">
      <formula1>"(SELECIONAR),NÃO SE APLICA,DESONERADO,NÃO DESONERADO"</formula1>
      <formula2>0</formula2>
    </dataValidation>
    <dataValidation allowBlank="true" error="Digite um valor em percentual.&#10;&#10;Ou seja um valor de 0% (zero) até 100% (cem). " errorStyle="stop" operator="between" showDropDown="false" showErrorMessage="true" showInputMessage="false" sqref="C11 C13:C14" type="decimal">
      <formula1>0</formula1>
      <formula2>1</formula2>
    </dataValidation>
    <dataValidation allowBlank="true" errorStyle="stop" operator="between" showDropDown="false" showErrorMessage="true" showInputMessage="false" sqref="C4" type="list">
      <formula1>"(SELECIONAR),OGU,FGTS"</formula1>
      <formula2>0</formula2>
    </dataValidation>
    <dataValidation allowBlank="true" error="Digite um valor maior do que 0." errorStyle="stop" operator="greaterThan" showDropDown="false" showErrorMessage="true" showInputMessage="false" sqref="C12" type="decimal">
      <formula1>0</formula1>
      <formula2>0</formula2>
    </dataValidation>
    <dataValidation allowBlank="true" errorStyle="stop" operator="between" showDropDown="false" showErrorMessage="true" showInputMessage="false" sqref="C40" type="list">
      <formula1>"(SELECIONAR),INDEFINIDO / NÃO SE APLICA,EMPREITADA POR PREÇO GLOBAL,EMPREITADA POR PREÇO UNITÁRIO,EMPREITADA INTEGRAL,TAREFA,CONTRATAÇÃO INTEGRADA,ADM. DIRETA"</formula1>
      <formula2>0</formula2>
    </dataValidation>
    <dataValidation allowBlank="true" errorStyle="stop" operator="between" showDropDown="false" showErrorMessage="true" showInputMessage="false" sqref="C31" type="list">
      <formula1>"Tradicional,TransfereGOV"</formula1>
      <formula2>0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46"/>
  <sheetViews>
    <sheetView showFormulas="false" showGridLines="false" showRowColHeaders="true" showZeros="true" rightToLeft="false" tabSelected="true" showOutlineSymbols="true" defaultGridColor="true" view="pageBreakPreview" topLeftCell="H1" colorId="64" zoomScale="100" zoomScaleNormal="100" zoomScalePageLayoutView="100" workbookViewId="0">
      <pane xSplit="0" ySplit="11" topLeftCell="A33" activePane="bottomLeft" state="frozen"/>
      <selection pane="topLeft" activeCell="H1" activeCellId="0" sqref="H1"/>
      <selection pane="bottomLeft" activeCell="A1" activeCellId="0" sqref="A1"/>
    </sheetView>
  </sheetViews>
  <sheetFormatPr defaultColWidth="8.6796875" defaultRowHeight="12.75" zeroHeight="false" outlineLevelRow="0" outlineLevelCol="0"/>
  <cols>
    <col collapsed="false" customWidth="true" hidden="true" outlineLevel="0" max="4" min="1" style="96" width="5.57"/>
    <col collapsed="false" customWidth="true" hidden="true" outlineLevel="0" max="6" min="5" style="96" width="11.43"/>
    <col collapsed="false" customWidth="true" hidden="true" outlineLevel="0" max="7" min="7" style="96" width="11.85"/>
    <col collapsed="false" customWidth="true" hidden="false" outlineLevel="0" max="8" min="8" style="1" width="10.57"/>
    <col collapsed="false" customWidth="true" hidden="false" outlineLevel="0" max="9" min="9" style="1" width="3.57"/>
    <col collapsed="false" customWidth="true" hidden="false" outlineLevel="0" max="15" min="10" style="96" width="10.57"/>
    <col collapsed="false" customWidth="true" hidden="false" outlineLevel="0" max="16" min="16" style="96" width="12.86"/>
    <col collapsed="false" customWidth="true" hidden="false" outlineLevel="0" max="19" min="17" style="96" width="10.57"/>
  </cols>
  <sheetData>
    <row r="1" customFormat="false" ht="15.75" hidden="false" customHeight="false" outlineLevel="0" collapsed="false">
      <c r="E1" s="97" t="s">
        <v>656</v>
      </c>
      <c r="F1" s="97" t="s">
        <v>657</v>
      </c>
      <c r="G1" s="97" t="s">
        <v>658</v>
      </c>
      <c r="O1" s="98" t="str">
        <f aca="false">"Quadro de Composição do BDI"</f>
        <v>Quadro de Composição do BDI</v>
      </c>
      <c r="R1" s="99" t="s">
        <v>659</v>
      </c>
      <c r="S1" s="99"/>
    </row>
    <row r="2" customFormat="false" ht="12.75" hidden="false" customHeight="false" outlineLevel="0" collapsed="false">
      <c r="A2" s="96" t="s">
        <v>660</v>
      </c>
      <c r="B2" s="100" t="s">
        <v>661</v>
      </c>
      <c r="C2" s="96" t="str">
        <f aca="false">CONCATENATE(A2,"-",B2)</f>
        <v>Construção e Reforma de Edifícios-AC</v>
      </c>
      <c r="E2" s="101" t="n">
        <v>0.03</v>
      </c>
      <c r="F2" s="101" t="n">
        <v>0.04</v>
      </c>
      <c r="G2" s="101" t="n">
        <v>0.055</v>
      </c>
      <c r="R2" s="102" t="s">
        <v>662</v>
      </c>
      <c r="S2" s="102"/>
    </row>
    <row r="3" customFormat="false" ht="12.75" hidden="false" customHeight="false" outlineLevel="0" collapsed="false">
      <c r="A3" s="96" t="str">
        <f aca="false">A2</f>
        <v>Construção e Reforma de Edifícios</v>
      </c>
      <c r="B3" s="100" t="s">
        <v>663</v>
      </c>
      <c r="C3" s="96" t="str">
        <f aca="false">CONCATENATE(A3,"-",B3)</f>
        <v>Construção e Reforma de Edifícios-SG</v>
      </c>
      <c r="E3" s="101" t="n">
        <v>0.008</v>
      </c>
      <c r="F3" s="101" t="n">
        <v>0.008</v>
      </c>
      <c r="G3" s="101" t="n">
        <v>0.01</v>
      </c>
    </row>
    <row r="4" customFormat="false" ht="12.75" hidden="false" customHeight="false" outlineLevel="0" collapsed="false">
      <c r="A4" s="96" t="str">
        <f aca="false">A3</f>
        <v>Construção e Reforma de Edifícios</v>
      </c>
      <c r="B4" s="100" t="s">
        <v>664</v>
      </c>
      <c r="C4" s="96" t="str">
        <f aca="false">CONCATENATE(A4,"-",B4)</f>
        <v>Construção e Reforma de Edifícios-R</v>
      </c>
      <c r="E4" s="101" t="n">
        <v>0.0097</v>
      </c>
      <c r="F4" s="101" t="n">
        <v>0.0127</v>
      </c>
      <c r="G4" s="101" t="n">
        <v>0.0127</v>
      </c>
      <c r="J4" s="103" t="s">
        <v>665</v>
      </c>
      <c r="K4" s="103"/>
      <c r="L4" s="103" t="s">
        <v>666</v>
      </c>
      <c r="M4" s="103"/>
      <c r="N4" s="103" t="s">
        <v>667</v>
      </c>
      <c r="O4" s="103"/>
      <c r="P4" s="103"/>
      <c r="Q4" s="103"/>
      <c r="R4" s="103"/>
      <c r="S4" s="103"/>
    </row>
    <row r="5" customFormat="false" ht="12.75" hidden="false" customHeight="true" outlineLevel="0" collapsed="false">
      <c r="A5" s="96" t="str">
        <f aca="false">A4</f>
        <v>Construção e Reforma de Edifícios</v>
      </c>
      <c r="B5" s="100" t="s">
        <v>668</v>
      </c>
      <c r="C5" s="96" t="str">
        <f aca="false">CONCATENATE(A5,"-",B5)</f>
        <v>Construção e Reforma de Edifícios-DF</v>
      </c>
      <c r="E5" s="101" t="n">
        <v>0.0059</v>
      </c>
      <c r="F5" s="101" t="n">
        <v>0.0123</v>
      </c>
      <c r="G5" s="101" t="n">
        <v>0.0139</v>
      </c>
      <c r="J5" s="104" t="str">
        <f aca="false">Import.CR</f>
        <v>-</v>
      </c>
      <c r="K5" s="104"/>
      <c r="L5" s="104" t="str">
        <f aca="false">Import.TransfereGOV</f>
        <v>-</v>
      </c>
      <c r="M5" s="104"/>
      <c r="N5" s="104" t="str">
        <f aca="false">Import.Proponente</f>
        <v>PREFEITURA MUNICIPAL DE CAÇAPAVA DO SUL</v>
      </c>
      <c r="O5" s="104"/>
      <c r="P5" s="104"/>
      <c r="Q5" s="104"/>
      <c r="R5" s="104"/>
      <c r="S5" s="104"/>
    </row>
    <row r="6" customFormat="false" ht="12.75" hidden="false" customHeight="false" outlineLevel="0" collapsed="false">
      <c r="A6" s="96" t="str">
        <f aca="false">A5</f>
        <v>Construção e Reforma de Edifícios</v>
      </c>
      <c r="B6" s="100" t="s">
        <v>669</v>
      </c>
      <c r="C6" s="96" t="str">
        <f aca="false">CONCATENATE(A6,"-",B6)</f>
        <v>Construção e Reforma de Edifícios-L</v>
      </c>
      <c r="E6" s="101" t="n">
        <v>0.0616</v>
      </c>
      <c r="F6" s="101" t="n">
        <v>0.074</v>
      </c>
      <c r="G6" s="101" t="n">
        <v>0.0896</v>
      </c>
      <c r="I6" s="105" t="s">
        <v>670</v>
      </c>
      <c r="J6" s="106"/>
      <c r="K6" s="106"/>
      <c r="L6" s="106"/>
      <c r="M6" s="106"/>
      <c r="N6" s="106"/>
      <c r="O6" s="106"/>
      <c r="P6" s="106"/>
      <c r="Q6" s="106"/>
      <c r="R6" s="106"/>
      <c r="S6" s="106"/>
    </row>
    <row r="7" customFormat="false" ht="25.5" hidden="false" customHeight="false" outlineLevel="0" collapsed="false">
      <c r="A7" s="96" t="str">
        <f aca="false">A6</f>
        <v>Construção e Reforma de Edifícios</v>
      </c>
      <c r="B7" s="107" t="s">
        <v>671</v>
      </c>
      <c r="C7" s="96" t="str">
        <f aca="false">CONCATENATE(A7,"-",B7)</f>
        <v>Construção e Reforma de Edifícios-BDI PAD</v>
      </c>
      <c r="E7" s="101" t="n">
        <v>0.2034</v>
      </c>
      <c r="F7" s="101" t="n">
        <v>0.2212</v>
      </c>
      <c r="G7" s="101" t="n">
        <v>0.25</v>
      </c>
      <c r="I7" s="105"/>
      <c r="J7" s="103" t="s">
        <v>672</v>
      </c>
      <c r="K7" s="103"/>
      <c r="L7" s="103"/>
      <c r="M7" s="103"/>
      <c r="N7" s="103"/>
      <c r="O7" s="103"/>
      <c r="P7" s="103"/>
      <c r="Q7" s="103"/>
      <c r="R7" s="103"/>
      <c r="S7" s="103"/>
      <c r="U7" s="52" t="str">
        <f aca="false">IF(OR(U10&lt;&gt;"",U11&lt;&gt;""),"Falta preencher os percentuais do ISS",IF(U14&lt;&gt;"","Falta preencher o BDI 1",IF(U54&lt;&gt;"","Falta preencher o BDI 2",IF(U94&lt;&gt;"","Falta preencher o BDI 3",""))))</f>
        <v>Falta preencher os percentuais do ISS</v>
      </c>
    </row>
    <row r="8" customFormat="false" ht="15.75" hidden="false" customHeight="false" outlineLevel="0" collapsed="false">
      <c r="A8" s="96" t="s">
        <v>673</v>
      </c>
      <c r="B8" s="100" t="s">
        <v>661</v>
      </c>
      <c r="C8" s="96" t="str">
        <f aca="false">CONCATENATE(A8,"-",B8)</f>
        <v>Construção de Praças Urbanas, Rodovias, Ferrovias e recapeamento e pavimentação de vias urbanas-AC</v>
      </c>
      <c r="E8" s="101" t="n">
        <v>0.038</v>
      </c>
      <c r="F8" s="101" t="n">
        <v>0.0401</v>
      </c>
      <c r="G8" s="101" t="n">
        <v>0.0467</v>
      </c>
      <c r="I8" s="105"/>
      <c r="J8" s="108" t="str">
        <f aca="false">Import.Apelido&amp;" / "&amp;Import.DescLote</f>
        <v>EMEF INSTITUTO AUGUSTA MARIA LIMA MARQUES / REFORMA DO TELHADO</v>
      </c>
      <c r="K8" s="108"/>
      <c r="L8" s="108"/>
      <c r="M8" s="108"/>
      <c r="N8" s="108"/>
      <c r="O8" s="108"/>
      <c r="P8" s="108"/>
      <c r="Q8" s="108"/>
      <c r="R8" s="108"/>
      <c r="S8" s="108"/>
      <c r="U8" s="52" t="str">
        <f aca="false">IF(U29="FORA DO INTERVALO","BDI 1 fora do intervalo",IF(U69="FORA DO INTERVALO","BDI 2 fora do intervalo",IF(U109="FORA DO INTERVALO","BDI 3 fora do intervalo","")))</f>
        <v>BDI 2 fora do intervalo</v>
      </c>
    </row>
    <row r="9" customFormat="false" ht="12.75" hidden="false" customHeight="false" outlineLevel="0" collapsed="false">
      <c r="A9" s="96" t="s">
        <v>673</v>
      </c>
      <c r="B9" s="100" t="s">
        <v>663</v>
      </c>
      <c r="C9" s="96" t="str">
        <f aca="false">CONCATENATE(A9,"-",B9)</f>
        <v>Construção de Praças Urbanas, Rodovias, Ferrovias e recapeamento e pavimentação de vias urbanas-SG</v>
      </c>
      <c r="E9" s="101" t="n">
        <v>0.0032</v>
      </c>
      <c r="F9" s="101" t="n">
        <v>0.004</v>
      </c>
      <c r="G9" s="101" t="n">
        <v>0.0074</v>
      </c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customFormat="false" ht="12.75" hidden="false" customHeight="true" outlineLevel="0" collapsed="false">
      <c r="A10" s="96" t="s">
        <v>673</v>
      </c>
      <c r="B10" s="100" t="s">
        <v>664</v>
      </c>
      <c r="C10" s="96" t="str">
        <f aca="false">CONCATENATE(A10,"-",B10)</f>
        <v>Construção de Praças Urbanas, Rodovias, Ferrovias e recapeamento e pavimentação de vias urbanas-R</v>
      </c>
      <c r="E10" s="101" t="n">
        <v>0.005</v>
      </c>
      <c r="F10" s="101" t="n">
        <v>0.0056</v>
      </c>
      <c r="G10" s="101" t="n">
        <v>0.0097</v>
      </c>
      <c r="I10" s="105"/>
      <c r="J10" s="109" t="s">
        <v>674</v>
      </c>
      <c r="K10" s="109"/>
      <c r="L10" s="109"/>
      <c r="M10" s="109"/>
      <c r="N10" s="109"/>
      <c r="O10" s="109"/>
      <c r="P10" s="109"/>
      <c r="Q10" s="109"/>
      <c r="R10" s="110" t="n">
        <v>1</v>
      </c>
      <c r="S10" s="110"/>
      <c r="U10" s="111" t="n">
        <f aca="false">IF(R10=0,"Falta definir a base de cálculo para o ISS","")</f>
        <v>0</v>
      </c>
    </row>
    <row r="11" customFormat="false" ht="12.75" hidden="false" customHeight="true" outlineLevel="0" collapsed="false">
      <c r="A11" s="96" t="s">
        <v>673</v>
      </c>
      <c r="B11" s="100" t="s">
        <v>668</v>
      </c>
      <c r="C11" s="96" t="str">
        <f aca="false">CONCATENATE(A11,"-",B11)</f>
        <v>Construção de Praças Urbanas, Rodovias, Ferrovias e recapeamento e pavimentação de vias urbanas-DF</v>
      </c>
      <c r="E11" s="101" t="n">
        <v>0.0102</v>
      </c>
      <c r="F11" s="101" t="n">
        <v>0.0111</v>
      </c>
      <c r="G11" s="101" t="n">
        <v>0.0121</v>
      </c>
      <c r="I11" s="112" t="s">
        <v>675</v>
      </c>
      <c r="J11" s="113" t="s">
        <v>676</v>
      </c>
      <c r="K11" s="113"/>
      <c r="L11" s="113"/>
      <c r="M11" s="113"/>
      <c r="N11" s="113"/>
      <c r="O11" s="113"/>
      <c r="P11" s="113"/>
      <c r="Q11" s="113"/>
      <c r="R11" s="110" t="n">
        <v>0.035</v>
      </c>
      <c r="S11" s="110"/>
      <c r="U11" s="111" t="n">
        <f aca="false">IF(R11=0,"Falta definir a alíquota do ISS","")</f>
        <v>0</v>
      </c>
    </row>
    <row r="12" customFormat="false" ht="12.75" hidden="false" customHeight="false" outlineLevel="0" collapsed="false">
      <c r="A12" s="96" t="s">
        <v>673</v>
      </c>
      <c r="B12" s="100" t="s">
        <v>669</v>
      </c>
      <c r="C12" s="96" t="str">
        <f aca="false">CONCATENATE(A12,"-",B12)</f>
        <v>Construção de Praças Urbanas, Rodovias, Ferrovias e recapeamento e pavimentação de vias urbanas-L</v>
      </c>
      <c r="E12" s="101" t="n">
        <v>0.0664</v>
      </c>
      <c r="F12" s="101" t="n">
        <v>0.073</v>
      </c>
      <c r="G12" s="101" t="n">
        <v>0.0869</v>
      </c>
      <c r="I12" s="49" t="s">
        <v>551</v>
      </c>
      <c r="J12" s="114"/>
      <c r="K12" s="114"/>
      <c r="L12" s="114"/>
      <c r="M12" s="114"/>
      <c r="N12" s="114"/>
      <c r="O12" s="114"/>
      <c r="P12" s="114"/>
      <c r="Q12" s="114"/>
      <c r="R12" s="114"/>
      <c r="S12" s="114"/>
    </row>
    <row r="13" customFormat="false" ht="15" hidden="false" customHeight="true" outlineLevel="0" collapsed="false">
      <c r="A13" s="96" t="s">
        <v>673</v>
      </c>
      <c r="B13" s="107" t="s">
        <v>671</v>
      </c>
      <c r="C13" s="96" t="str">
        <f aca="false">CONCATENATE(A13,"-",B13)</f>
        <v>Construção de Praças Urbanas, Rodovias, Ferrovias e recapeamento e pavimentação de vias urbanas-BDI PAD</v>
      </c>
      <c r="E13" s="101" t="n">
        <v>0.196</v>
      </c>
      <c r="F13" s="101" t="n">
        <v>0.2097</v>
      </c>
      <c r="G13" s="101" t="n">
        <v>0.2423</v>
      </c>
      <c r="I13" s="49" t="s">
        <v>551</v>
      </c>
    </row>
    <row r="14" customFormat="false" ht="15.75" hidden="false" customHeight="false" outlineLevel="0" collapsed="false">
      <c r="A14" s="96" t="s">
        <v>677</v>
      </c>
      <c r="B14" s="100" t="s">
        <v>661</v>
      </c>
      <c r="C14" s="96" t="str">
        <f aca="false">CONCATENATE(A14,"-",B14)</f>
        <v>Construção de Redes de Abastecimento de Água, Coleta de Esgoto-AC</v>
      </c>
      <c r="E14" s="101" t="n">
        <v>0.0343</v>
      </c>
      <c r="F14" s="101" t="n">
        <v>0.0493</v>
      </c>
      <c r="G14" s="101" t="n">
        <v>0.0671</v>
      </c>
      <c r="I14" s="49" t="s">
        <v>551</v>
      </c>
      <c r="J14" s="115" t="s">
        <v>678</v>
      </c>
      <c r="K14" s="115"/>
      <c r="L14" s="115"/>
      <c r="M14" s="115"/>
      <c r="N14" s="115"/>
      <c r="O14" s="115"/>
      <c r="P14" s="115"/>
      <c r="Q14" s="115"/>
      <c r="R14" s="115"/>
      <c r="S14" s="115"/>
      <c r="U14" s="52" t="str">
        <f aca="false">IF(COUNTIF(ORÇAMENTO!$V$15:$V$40,BDI_1.Título)=0,"",IF(OR(Import.BDI.Tipo1="(SELECIONAR)",Import.BDI.Tipo1="",U17&lt;&gt;"",S21=0,S22=0,S23=0,S24=0,S25=0,S26=0),"Falta preencher o BDI 1",""))</f>
        <v/>
      </c>
    </row>
    <row r="15" customFormat="false" ht="12.75" hidden="false" customHeight="false" outlineLevel="0" collapsed="false">
      <c r="A15" s="96" t="str">
        <f aca="false">A14</f>
        <v>Construção de Redes de Abastecimento de Água, Coleta de Esgoto</v>
      </c>
      <c r="B15" s="100" t="s">
        <v>663</v>
      </c>
      <c r="C15" s="96" t="str">
        <f aca="false">CONCATENATE(A15,"-",B15)</f>
        <v>Construção de Redes de Abastecimento de Água, Coleta de Esgoto-SG</v>
      </c>
      <c r="E15" s="101" t="n">
        <v>0.0028</v>
      </c>
      <c r="F15" s="101" t="n">
        <v>0.0049</v>
      </c>
      <c r="G15" s="101" t="n">
        <v>0.0075</v>
      </c>
      <c r="I15" s="49" t="s">
        <v>551</v>
      </c>
    </row>
    <row r="16" customFormat="false" ht="12.75" hidden="false" customHeight="false" outlineLevel="0" collapsed="false">
      <c r="A16" s="96" t="str">
        <f aca="false">A15</f>
        <v>Construção de Redes de Abastecimento de Água, Coleta de Esgoto</v>
      </c>
      <c r="B16" s="100" t="s">
        <v>664</v>
      </c>
      <c r="C16" s="96" t="str">
        <f aca="false">CONCATENATE(A16,"-",B16)</f>
        <v>Construção de Redes de Abastecimento de Água, Coleta de Esgoto-R</v>
      </c>
      <c r="E16" s="101" t="n">
        <v>0.01</v>
      </c>
      <c r="F16" s="101" t="n">
        <v>0.0139</v>
      </c>
      <c r="G16" s="101" t="n">
        <v>0.0174</v>
      </c>
      <c r="I16" s="49" t="s">
        <v>551</v>
      </c>
      <c r="J16" s="103" t="s">
        <v>679</v>
      </c>
      <c r="K16" s="103"/>
      <c r="L16" s="103"/>
      <c r="M16" s="103"/>
      <c r="N16" s="103"/>
      <c r="O16" s="103"/>
      <c r="P16" s="103"/>
      <c r="Q16" s="103"/>
      <c r="R16" s="103"/>
      <c r="S16" s="103"/>
    </row>
    <row r="17" customFormat="false" ht="15" hidden="false" customHeight="false" outlineLevel="0" collapsed="false">
      <c r="A17" s="96" t="str">
        <f aca="false">A16</f>
        <v>Construção de Redes de Abastecimento de Água, Coleta de Esgoto</v>
      </c>
      <c r="B17" s="100" t="s">
        <v>668</v>
      </c>
      <c r="C17" s="96" t="str">
        <f aca="false">CONCATENATE(A17,"-",B17)</f>
        <v>Construção de Redes de Abastecimento de Água, Coleta de Esgoto-DF</v>
      </c>
      <c r="E17" s="101" t="n">
        <v>0.0094</v>
      </c>
      <c r="F17" s="101" t="n">
        <v>0.0099</v>
      </c>
      <c r="G17" s="101" t="n">
        <v>0.0117</v>
      </c>
      <c r="I17" s="49" t="s">
        <v>551</v>
      </c>
      <c r="J17" s="116" t="s">
        <v>660</v>
      </c>
      <c r="K17" s="116"/>
      <c r="L17" s="116"/>
      <c r="M17" s="116"/>
      <c r="N17" s="116"/>
      <c r="O17" s="116"/>
      <c r="P17" s="116"/>
      <c r="Q17" s="116"/>
      <c r="R17" s="116"/>
      <c r="S17" s="116"/>
      <c r="T17" s="67" t="str">
        <f aca="false">IF(U17="","","◄")</f>
        <v/>
      </c>
      <c r="U17" s="63" t="str">
        <f aca="false">IF(AND(OR(S29&gt;0,COUNTIF(ORÇAMENTO!$V$15:$V$40,BDI_1.Título)&gt;0),OR(Import.BDI.Tipo1="(SELECIONAR)",Import.BDI.Tipo1="")),"Selecione o Tipo de obra","")</f>
        <v/>
      </c>
    </row>
    <row r="18" customFormat="false" ht="12.75" hidden="false" customHeight="false" outlineLevel="0" collapsed="false">
      <c r="A18" s="96" t="str">
        <f aca="false">A17</f>
        <v>Construção de Redes de Abastecimento de Água, Coleta de Esgoto</v>
      </c>
      <c r="B18" s="100" t="s">
        <v>669</v>
      </c>
      <c r="C18" s="96" t="str">
        <f aca="false">CONCATENATE(A18,"-",B18)</f>
        <v>Construção de Redes de Abastecimento de Água, Coleta de Esgoto-L</v>
      </c>
      <c r="E18" s="101" t="n">
        <v>0.0674</v>
      </c>
      <c r="F18" s="101" t="n">
        <v>0.0804</v>
      </c>
      <c r="G18" s="101" t="n">
        <v>0.094</v>
      </c>
      <c r="I18" s="49" t="s">
        <v>551</v>
      </c>
    </row>
    <row r="19" customFormat="false" ht="12.75" hidden="false" customHeight="true" outlineLevel="0" collapsed="false">
      <c r="A19" s="96" t="str">
        <f aca="false">A18</f>
        <v>Construção de Redes de Abastecimento de Água, Coleta de Esgoto</v>
      </c>
      <c r="B19" s="107" t="s">
        <v>671</v>
      </c>
      <c r="C19" s="96" t="str">
        <f aca="false">CONCATENATE(A19,"-",B19)</f>
        <v>Construção de Redes de Abastecimento de Água, Coleta de Esgoto-BDI PAD</v>
      </c>
      <c r="E19" s="101" t="n">
        <v>0.2076</v>
      </c>
      <c r="F19" s="101" t="n">
        <v>0.2418</v>
      </c>
      <c r="G19" s="101" t="n">
        <v>0.2644</v>
      </c>
      <c r="I19" s="49" t="s">
        <v>551</v>
      </c>
      <c r="J19" s="117" t="s">
        <v>680</v>
      </c>
      <c r="K19" s="117"/>
      <c r="L19" s="117"/>
      <c r="M19" s="117"/>
      <c r="N19" s="117"/>
      <c r="O19" s="117"/>
      <c r="P19" s="117"/>
      <c r="Q19" s="117"/>
      <c r="R19" s="117" t="s">
        <v>681</v>
      </c>
      <c r="S19" s="118" t="s">
        <v>682</v>
      </c>
      <c r="U19" s="118" t="s">
        <v>683</v>
      </c>
      <c r="V19" s="118"/>
      <c r="W19" s="118"/>
      <c r="X19" s="119" t="s">
        <v>684</v>
      </c>
      <c r="Y19" s="119" t="s">
        <v>685</v>
      </c>
      <c r="Z19" s="119" t="s">
        <v>686</v>
      </c>
    </row>
    <row r="20" customFormat="false" ht="12.75" hidden="false" customHeight="true" outlineLevel="0" collapsed="false">
      <c r="A20" s="96" t="s">
        <v>687</v>
      </c>
      <c r="B20" s="100" t="s">
        <v>661</v>
      </c>
      <c r="C20" s="96" t="str">
        <f aca="false">CONCATENATE(A20,"-",B20)</f>
        <v>Construção e Manutenção de Estações e Redes de Distribuição de Energia Elétrica-AC</v>
      </c>
      <c r="E20" s="101" t="n">
        <v>0.0529</v>
      </c>
      <c r="F20" s="101" t="n">
        <v>0.0592</v>
      </c>
      <c r="G20" s="101" t="n">
        <v>0.0793</v>
      </c>
      <c r="I20" s="49" t="s">
        <v>551</v>
      </c>
      <c r="J20" s="117"/>
      <c r="K20" s="117"/>
      <c r="L20" s="117"/>
      <c r="M20" s="117"/>
      <c r="N20" s="117"/>
      <c r="O20" s="117"/>
      <c r="P20" s="117"/>
      <c r="Q20" s="117"/>
      <c r="R20" s="117"/>
      <c r="S20" s="118"/>
      <c r="U20" s="118"/>
      <c r="V20" s="118"/>
      <c r="W20" s="118"/>
      <c r="X20" s="119"/>
      <c r="Y20" s="119"/>
      <c r="Z20" s="119"/>
    </row>
    <row r="21" customFormat="false" ht="15" hidden="false" customHeight="true" outlineLevel="0" collapsed="false">
      <c r="A21" s="96" t="str">
        <f aca="false">A20</f>
        <v>Construção e Manutenção de Estações e Redes de Distribuição de Energia Elétrica</v>
      </c>
      <c r="B21" s="100" t="s">
        <v>663</v>
      </c>
      <c r="C21" s="96" t="str">
        <f aca="false">CONCATENATE(A21,"-",B21)</f>
        <v>Construção e Manutenção de Estações e Redes de Distribuição de Energia Elétrica-SG</v>
      </c>
      <c r="E21" s="101" t="n">
        <v>0.0025</v>
      </c>
      <c r="F21" s="101" t="n">
        <v>0.0051</v>
      </c>
      <c r="G21" s="101" t="n">
        <v>0.0056</v>
      </c>
      <c r="I21" s="49" t="s">
        <v>551</v>
      </c>
      <c r="J21" s="120" t="str">
        <f aca="false">IF($J$17=$A$146,"Encargos Sociais incidentes sobre a mão de obra","Administração Central")</f>
        <v>Administração Central</v>
      </c>
      <c r="K21" s="120"/>
      <c r="L21" s="120"/>
      <c r="M21" s="120"/>
      <c r="N21" s="120"/>
      <c r="O21" s="120"/>
      <c r="P21" s="120"/>
      <c r="Q21" s="120"/>
      <c r="R21" s="121" t="str">
        <f aca="false">IF($J17=$A$146,"K1","AC")</f>
        <v>AC</v>
      </c>
      <c r="S21" s="122" t="n">
        <v>0.04</v>
      </c>
      <c r="T21" s="123" t="str">
        <f aca="false">IF(AND($U$14&lt;&gt;"",S21=""),"◄","")</f>
        <v/>
      </c>
      <c r="U21" s="124" t="str">
        <f aca="false">IFERROR(IF(AND(S21&gt;=X21,S21&lt;=Z21),"OK","FORA DO INTERVALO"),"-")</f>
        <v>OK</v>
      </c>
      <c r="V21" s="124"/>
      <c r="W21" s="124"/>
      <c r="X21" s="125" t="n">
        <f aca="false">VLOOKUP(CONCATENATE(J17,"-",R21),$C$2:$G$136,3,FALSE())</f>
        <v>0.03</v>
      </c>
      <c r="Y21" s="125" t="n">
        <f aca="false">VLOOKUP(CONCATENATE(J17,"-",R21),$C$2:$G$136,4,FALSE())</f>
        <v>0.04</v>
      </c>
      <c r="Z21" s="125" t="n">
        <f aca="false">VLOOKUP(CONCATENATE(J17,"-",R21),$C$2:$G$136,5,FALSE())</f>
        <v>0.055</v>
      </c>
    </row>
    <row r="22" customFormat="false" ht="15" hidden="false" customHeight="true" outlineLevel="0" collapsed="false">
      <c r="A22" s="96" t="str">
        <f aca="false">A21</f>
        <v>Construção e Manutenção de Estações e Redes de Distribuição de Energia Elétrica</v>
      </c>
      <c r="B22" s="100" t="s">
        <v>664</v>
      </c>
      <c r="C22" s="96" t="str">
        <f aca="false">CONCATENATE(A22,"-",B22)</f>
        <v>Construção e Manutenção de Estações e Redes de Distribuição de Energia Elétrica-R</v>
      </c>
      <c r="E22" s="101" t="n">
        <v>0.01</v>
      </c>
      <c r="F22" s="101" t="n">
        <v>0.0148</v>
      </c>
      <c r="G22" s="101" t="n">
        <v>0.0197</v>
      </c>
      <c r="I22" s="49" t="s">
        <v>551</v>
      </c>
      <c r="J22" s="120" t="str">
        <f aca="false">IF($J$17=$A$146,"Administração Central da empresa ou consultoria - overhead","Seguro e Garantia")</f>
        <v>Seguro e Garantia</v>
      </c>
      <c r="K22" s="120"/>
      <c r="L22" s="120"/>
      <c r="M22" s="120"/>
      <c r="N22" s="120"/>
      <c r="O22" s="120"/>
      <c r="P22" s="120"/>
      <c r="Q22" s="120"/>
      <c r="R22" s="121" t="str">
        <f aca="false">IF($J17=$A$146,"K2","SG")</f>
        <v>SG</v>
      </c>
      <c r="S22" s="122" t="n">
        <v>0.008</v>
      </c>
      <c r="T22" s="123" t="str">
        <f aca="false">IF(AND($U$14&lt;&gt;"",S22=""),"◄","")</f>
        <v/>
      </c>
      <c r="U22" s="124" t="str">
        <f aca="false">IFERROR(IF(AND(S22&gt;=X22,S22&lt;=Z22),"OK","FORA DO INTERVALO"),"-")</f>
        <v>OK</v>
      </c>
      <c r="V22" s="124"/>
      <c r="W22" s="124"/>
      <c r="X22" s="125" t="n">
        <f aca="false">VLOOKUP(CONCATENATE(J17,"-",R22),$C$2:$G$136,3,FALSE())</f>
        <v>0.008</v>
      </c>
      <c r="Y22" s="125" t="n">
        <f aca="false">VLOOKUP(CONCATENATE(J17,"-",R22),$C$2:$G$136,4,FALSE())</f>
        <v>0.008</v>
      </c>
      <c r="Z22" s="125" t="n">
        <f aca="false">VLOOKUP(CONCATENATE(J17,"-",R22),$C$2:$G$136,5,FALSE())</f>
        <v>0.01</v>
      </c>
    </row>
    <row r="23" customFormat="false" ht="15" hidden="false" customHeight="true" outlineLevel="0" collapsed="false">
      <c r="A23" s="96" t="str">
        <f aca="false">A22</f>
        <v>Construção e Manutenção de Estações e Redes de Distribuição de Energia Elétrica</v>
      </c>
      <c r="B23" s="100" t="s">
        <v>668</v>
      </c>
      <c r="C23" s="96" t="str">
        <f aca="false">CONCATENATE(A23,"-",B23)</f>
        <v>Construção e Manutenção de Estações e Redes de Distribuição de Energia Elétrica-DF</v>
      </c>
      <c r="E23" s="101" t="n">
        <v>0.0101</v>
      </c>
      <c r="F23" s="101" t="n">
        <v>0.0107</v>
      </c>
      <c r="G23" s="101" t="n">
        <v>0.0111</v>
      </c>
      <c r="I23" s="49" t="s">
        <v>551</v>
      </c>
      <c r="J23" s="120" t="str">
        <f aca="false">IF($J$17=$A$146,"","Risco")</f>
        <v>Risco</v>
      </c>
      <c r="K23" s="120"/>
      <c r="L23" s="120"/>
      <c r="M23" s="120"/>
      <c r="N23" s="120"/>
      <c r="O23" s="120"/>
      <c r="P23" s="120"/>
      <c r="Q23" s="120"/>
      <c r="R23" s="121" t="str">
        <f aca="false">IF($J17=$A$146,"","R")</f>
        <v>R</v>
      </c>
      <c r="S23" s="122" t="n">
        <v>0.0127</v>
      </c>
      <c r="T23" s="123" t="str">
        <f aca="false">IF(AND($U$14&lt;&gt;"",S23=""),"◄","")</f>
        <v/>
      </c>
      <c r="U23" s="124" t="str">
        <f aca="false">IFERROR(IF(AND(S23&gt;=X23,S23&lt;=Z23),"OK","FORA DO INTERVALO"),"-")</f>
        <v>OK</v>
      </c>
      <c r="V23" s="124"/>
      <c r="W23" s="124"/>
      <c r="X23" s="125" t="n">
        <f aca="false">VLOOKUP(CONCATENATE(J17,"-",R23),$C$2:$G$136,3,FALSE())</f>
        <v>0.0097</v>
      </c>
      <c r="Y23" s="125" t="n">
        <f aca="false">VLOOKUP(CONCATENATE(J17,"-",R23),$C$2:$G$136,4,FALSE())</f>
        <v>0.0127</v>
      </c>
      <c r="Z23" s="125" t="n">
        <f aca="false">VLOOKUP(CONCATENATE(J17,"-",R23),$C$2:$G$136,5,FALSE())</f>
        <v>0.0127</v>
      </c>
    </row>
    <row r="24" customFormat="false" ht="15" hidden="false" customHeight="true" outlineLevel="0" collapsed="false">
      <c r="A24" s="96" t="str">
        <f aca="false">A23</f>
        <v>Construção e Manutenção de Estações e Redes de Distribuição de Energia Elétrica</v>
      </c>
      <c r="B24" s="100" t="s">
        <v>669</v>
      </c>
      <c r="C24" s="96" t="str">
        <f aca="false">CONCATENATE(A24,"-",B24)</f>
        <v>Construção e Manutenção de Estações e Redes de Distribuição de Energia Elétrica-L</v>
      </c>
      <c r="E24" s="101" t="n">
        <v>0.08</v>
      </c>
      <c r="F24" s="101" t="n">
        <v>0.0831</v>
      </c>
      <c r="G24" s="101" t="n">
        <v>0.0951</v>
      </c>
      <c r="I24" s="49" t="s">
        <v>551</v>
      </c>
      <c r="J24" s="120" t="str">
        <f aca="false">IF($J$17=$A$146,"","Despesas Financeiras")</f>
        <v>Despesas Financeiras</v>
      </c>
      <c r="K24" s="120"/>
      <c r="L24" s="120"/>
      <c r="M24" s="120"/>
      <c r="N24" s="120"/>
      <c r="O24" s="120"/>
      <c r="P24" s="120"/>
      <c r="Q24" s="120"/>
      <c r="R24" s="121" t="str">
        <f aca="false">IF($J17=$A$146,"","DF")</f>
        <v>DF</v>
      </c>
      <c r="S24" s="122" t="n">
        <v>0.0123</v>
      </c>
      <c r="T24" s="123" t="str">
        <f aca="false">IF(AND($U$14&lt;&gt;"",S24=""),"◄","")</f>
        <v/>
      </c>
      <c r="U24" s="124" t="str">
        <f aca="false">IFERROR(IF(AND(S24&gt;=X24,S24&lt;=Z24),"OK","FORA DO INTERVALO"),"-")</f>
        <v>OK</v>
      </c>
      <c r="V24" s="124"/>
      <c r="W24" s="124"/>
      <c r="X24" s="125" t="n">
        <f aca="false">VLOOKUP(CONCATENATE(J17,"-",R24),$C$2:$G$136,3,FALSE())</f>
        <v>0.0059</v>
      </c>
      <c r="Y24" s="125" t="n">
        <f aca="false">VLOOKUP(CONCATENATE(J17,"-",R24),$C$2:$G$136,4,FALSE())</f>
        <v>0.0123</v>
      </c>
      <c r="Z24" s="125" t="n">
        <f aca="false">VLOOKUP(CONCATENATE(J17,"-",R24),$C$2:$G$136,5,FALSE())</f>
        <v>0.0139</v>
      </c>
    </row>
    <row r="25" customFormat="false" ht="15" hidden="false" customHeight="true" outlineLevel="0" collapsed="false">
      <c r="A25" s="96" t="str">
        <f aca="false">A24</f>
        <v>Construção e Manutenção de Estações e Redes de Distribuição de Energia Elétrica</v>
      </c>
      <c r="B25" s="107" t="s">
        <v>671</v>
      </c>
      <c r="C25" s="96" t="str">
        <f aca="false">CONCATENATE(A25,"-",B25)</f>
        <v>Construção e Manutenção de Estações e Redes de Distribuição de Energia Elétrica-BDI PAD</v>
      </c>
      <c r="E25" s="101" t="n">
        <v>0.24</v>
      </c>
      <c r="F25" s="101" t="n">
        <v>0.2584</v>
      </c>
      <c r="G25" s="101" t="n">
        <v>0.2786</v>
      </c>
      <c r="I25" s="49" t="s">
        <v>551</v>
      </c>
      <c r="J25" s="120" t="str">
        <f aca="false">IF($J$17=$A$146,"Margem bruta da empresa de consultoria","Lucro")</f>
        <v>Lucro</v>
      </c>
      <c r="K25" s="120"/>
      <c r="L25" s="120"/>
      <c r="M25" s="120"/>
      <c r="N25" s="120"/>
      <c r="O25" s="120"/>
      <c r="P25" s="120"/>
      <c r="Q25" s="120"/>
      <c r="R25" s="121" t="str">
        <f aca="false">IF($J17=$A$146,"K3","L")</f>
        <v>L</v>
      </c>
      <c r="S25" s="122" t="n">
        <v>0.074</v>
      </c>
      <c r="T25" s="123" t="str">
        <f aca="false">IF(AND($U$14&lt;&gt;"",S25=""),"◄","")</f>
        <v/>
      </c>
      <c r="U25" s="124" t="str">
        <f aca="false">IFERROR(IF(AND(S25&gt;=X25,S25&lt;=Z25),"OK","FORA DO INTERVALO"),"-")</f>
        <v>OK</v>
      </c>
      <c r="V25" s="124"/>
      <c r="W25" s="124"/>
      <c r="X25" s="125" t="n">
        <f aca="false">VLOOKUP(CONCATENATE(J17,"-",R25),$C$2:$G$136,3,FALSE())</f>
        <v>0.0616</v>
      </c>
      <c r="Y25" s="125" t="n">
        <f aca="false">VLOOKUP(CONCATENATE(J17,"-",R25),$C$2:$G$136,4,FALSE())</f>
        <v>0.074</v>
      </c>
      <c r="Z25" s="125" t="n">
        <f aca="false">VLOOKUP(CONCATENATE(J17,"-",R25),$C$2:$G$136,5,FALSE())</f>
        <v>0.0896</v>
      </c>
    </row>
    <row r="26" customFormat="false" ht="15" hidden="false" customHeight="true" outlineLevel="0" collapsed="false">
      <c r="A26" s="96" t="s">
        <v>688</v>
      </c>
      <c r="B26" s="100" t="s">
        <v>661</v>
      </c>
      <c r="C26" s="96" t="str">
        <f aca="false">CONCATENATE(A26,"-",B26)</f>
        <v>Obras Portuárias, Marítimas e Fluviais-AC</v>
      </c>
      <c r="E26" s="101" t="n">
        <v>0.04</v>
      </c>
      <c r="F26" s="101" t="n">
        <v>0.0552</v>
      </c>
      <c r="G26" s="101" t="n">
        <v>0.0785</v>
      </c>
      <c r="I26" s="49" t="s">
        <v>551</v>
      </c>
      <c r="J26" s="120" t="s">
        <v>689</v>
      </c>
      <c r="K26" s="120"/>
      <c r="L26" s="120"/>
      <c r="M26" s="120"/>
      <c r="N26" s="120"/>
      <c r="O26" s="120"/>
      <c r="P26" s="120"/>
      <c r="Q26" s="120"/>
      <c r="R26" s="121" t="s">
        <v>471</v>
      </c>
      <c r="S26" s="122" t="n">
        <v>0.0365</v>
      </c>
      <c r="T26" s="123" t="str">
        <f aca="false">IF(AND($U$14&lt;&gt;"",S26=""),"◄","")</f>
        <v/>
      </c>
      <c r="U26" s="124" t="str">
        <f aca="false">IFERROR(IF(AND(S26&gt;=X26,S26&lt;=Z26),"OK","FORA DO INTERVALO"),"-")</f>
        <v>OK</v>
      </c>
      <c r="V26" s="124"/>
      <c r="W26" s="124"/>
      <c r="X26" s="125" t="n">
        <v>0.0365</v>
      </c>
      <c r="Y26" s="125" t="n">
        <v>0.0365</v>
      </c>
      <c r="Z26" s="125" t="n">
        <v>0.0365</v>
      </c>
    </row>
    <row r="27" customFormat="false" ht="15" hidden="false" customHeight="true" outlineLevel="0" collapsed="false">
      <c r="A27" s="96" t="str">
        <f aca="false">A26</f>
        <v>Obras Portuárias, Marítimas e Fluviais</v>
      </c>
      <c r="B27" s="100" t="s">
        <v>663</v>
      </c>
      <c r="C27" s="96" t="str">
        <f aca="false">CONCATENATE(A27,"-",B27)</f>
        <v>Obras Portuárias, Marítimas e Fluviais-SG</v>
      </c>
      <c r="E27" s="101" t="n">
        <v>0.0081</v>
      </c>
      <c r="F27" s="101" t="n">
        <v>0.0122</v>
      </c>
      <c r="G27" s="101" t="n">
        <v>0.0199</v>
      </c>
      <c r="I27" s="49" t="s">
        <v>551</v>
      </c>
      <c r="J27" s="120" t="s">
        <v>690</v>
      </c>
      <c r="K27" s="120"/>
      <c r="L27" s="120"/>
      <c r="M27" s="120"/>
      <c r="N27" s="120"/>
      <c r="O27" s="120"/>
      <c r="P27" s="120"/>
      <c r="Q27" s="120"/>
      <c r="R27" s="121" t="s">
        <v>691</v>
      </c>
      <c r="S27" s="125" t="n">
        <f aca="true">IF(AND($J17&lt;&gt;$A$145,COUNTA(OFFSET(S20,1,0,6))&gt;0),$R$11*$R$10,0)</f>
        <v>0.035</v>
      </c>
      <c r="U27" s="124" t="str">
        <f aca="false">IFERROR(IF(AND(S27&gt;=X27,S27&lt;=Z27),"OK","FORA DO INTERVALO"),"-")</f>
        <v>OK</v>
      </c>
      <c r="V27" s="124"/>
      <c r="W27" s="124"/>
      <c r="X27" s="125" t="n">
        <v>0</v>
      </c>
      <c r="Y27" s="125" t="n">
        <v>0.025</v>
      </c>
      <c r="Z27" s="125" t="n">
        <v>0.05</v>
      </c>
    </row>
    <row r="28" customFormat="false" ht="15" hidden="false" customHeight="true" outlineLevel="0" collapsed="false">
      <c r="A28" s="96" t="str">
        <f aca="false">A27</f>
        <v>Obras Portuárias, Marítimas e Fluviais</v>
      </c>
      <c r="B28" s="100" t="s">
        <v>664</v>
      </c>
      <c r="C28" s="96" t="str">
        <f aca="false">CONCATENATE(A28,"-",B28)</f>
        <v>Obras Portuárias, Marítimas e Fluviais-R</v>
      </c>
      <c r="E28" s="101" t="n">
        <v>0.0146</v>
      </c>
      <c r="F28" s="101" t="n">
        <v>0.0232</v>
      </c>
      <c r="G28" s="101" t="n">
        <v>0.0316</v>
      </c>
      <c r="I28" s="49" t="s">
        <v>551</v>
      </c>
      <c r="J28" s="120" t="s">
        <v>692</v>
      </c>
      <c r="K28" s="120"/>
      <c r="L28" s="120"/>
      <c r="M28" s="120"/>
      <c r="N28" s="120"/>
      <c r="O28" s="120"/>
      <c r="P28" s="120"/>
      <c r="Q28" s="120"/>
      <c r="R28" s="121" t="s">
        <v>693</v>
      </c>
      <c r="S28" s="125" t="n">
        <f aca="true" t="array" ref="S28:S28">IF(BDI.Opcao&lt;&gt;"Desonerado",0,IF(AND($J17&lt;&gt;$A$145,COUNTA(OFFSET(S20,1,0,6))&gt;0),IF(YEAR(Import.DataBase)&lt;2025,4.5%,IF(YEAR(Import.DataBase)=2025,3.6%,IF(YEAR(Import.DataBase)=2026,2.7%,IF(YEAR(Import.DataBase)=2027,1.8%,0%)))),0%))</f>
        <v>0</v>
      </c>
      <c r="U28" s="124" t="s">
        <v>694</v>
      </c>
      <c r="V28" s="124"/>
      <c r="W28" s="124"/>
      <c r="X28" s="126" t="n">
        <f aca="false">$S28</f>
        <v>0</v>
      </c>
      <c r="Y28" s="126" t="n">
        <f aca="false">$S28</f>
        <v>0</v>
      </c>
      <c r="Z28" s="126" t="n">
        <f aca="false">$S28</f>
        <v>0</v>
      </c>
    </row>
    <row r="29" customFormat="false" ht="15" hidden="false" customHeight="true" outlineLevel="0" collapsed="false">
      <c r="A29" s="96" t="str">
        <f aca="false">A28</f>
        <v>Obras Portuárias, Marítimas e Fluviais</v>
      </c>
      <c r="B29" s="100" t="s">
        <v>668</v>
      </c>
      <c r="C29" s="96" t="str">
        <f aca="false">CONCATENATE(A29,"-",B29)</f>
        <v>Obras Portuárias, Marítimas e Fluviais-DF</v>
      </c>
      <c r="E29" s="101" t="n">
        <v>0.0094</v>
      </c>
      <c r="F29" s="101" t="n">
        <v>0.0102</v>
      </c>
      <c r="G29" s="101" t="n">
        <v>0.0133</v>
      </c>
      <c r="I29" s="49" t="s">
        <v>551</v>
      </c>
      <c r="J29" s="120" t="s">
        <v>695</v>
      </c>
      <c r="K29" s="120"/>
      <c r="L29" s="120"/>
      <c r="M29" s="120"/>
      <c r="N29" s="120"/>
      <c r="O29" s="120"/>
      <c r="P29" s="120"/>
      <c r="Q29" s="120"/>
      <c r="R29" s="127" t="s">
        <v>671</v>
      </c>
      <c r="S29" s="125" t="n">
        <f aca="false">IF($J17=$A$145,0,ROUND((((1+S21+S22+S23)*(1+S24)*(1+S25)/(1-(S26+S27)))-1),4))</f>
        <v>0.242</v>
      </c>
      <c r="U29" s="118" t="str">
        <f aca="false">IFERROR(IF(OR($J$17=$A$146,$J$17=$A$145,AND(S29&gt;=X29,S29&lt;=Z29)),"OK","FORA DO INTERVALO"),IF(S29=0,"OK","Selecione o Tipo de obra"))</f>
        <v>OK</v>
      </c>
      <c r="V29" s="118"/>
      <c r="W29" s="118"/>
      <c r="X29" s="125" t="n">
        <f aca="false">IF($J17=$A$145,0,VLOOKUP(CONCATENATE($J17,"-",$R29),$C$2:$G$136,3,FALSE()))</f>
        <v>0.2034</v>
      </c>
      <c r="Y29" s="125" t="n">
        <f aca="false">IF($J17=$A$145,0,VLOOKUP(CONCATENATE($J17,"-",$R29),$C$2:$G$136,4,FALSE()))</f>
        <v>0.2212</v>
      </c>
      <c r="Z29" s="125" t="n">
        <f aca="false">IF($J17=$A$145,0,VLOOKUP(CONCATENATE($J17,"-",$R29),$C$2:$G$136,5,FALSE()))</f>
        <v>0.25</v>
      </c>
    </row>
    <row r="30" customFormat="false" ht="15" hidden="false" customHeight="true" outlineLevel="0" collapsed="false">
      <c r="A30" s="96" t="str">
        <f aca="false">A29</f>
        <v>Obras Portuárias, Marítimas e Fluviais</v>
      </c>
      <c r="B30" s="100" t="s">
        <v>669</v>
      </c>
      <c r="C30" s="96" t="str">
        <f aca="false">CONCATENATE(A30,"-",B30)</f>
        <v>Obras Portuárias, Marítimas e Fluviais-L</v>
      </c>
      <c r="E30" s="101" t="n">
        <v>0.0714</v>
      </c>
      <c r="F30" s="101" t="n">
        <v>0.084</v>
      </c>
      <c r="G30" s="101" t="n">
        <v>0.1043</v>
      </c>
      <c r="I30" s="49" t="s">
        <v>551</v>
      </c>
      <c r="J30" s="128" t="s">
        <v>696</v>
      </c>
      <c r="K30" s="128"/>
      <c r="L30" s="128"/>
      <c r="M30" s="128"/>
      <c r="N30" s="128"/>
      <c r="O30" s="128"/>
      <c r="P30" s="128"/>
      <c r="Q30" s="128"/>
      <c r="R30" s="128" t="s">
        <v>697</v>
      </c>
      <c r="S30" s="129" t="n">
        <f aca="false">IF($J17=$A$145,0,ROUND((((1+S21+S22+S23)*(1+S24)*(1+S25)/(1-(S26+S27+S28)))-1),4))</f>
        <v>0.242</v>
      </c>
    </row>
    <row r="31" customFormat="false" ht="15" hidden="false" customHeight="true" outlineLevel="0" collapsed="false">
      <c r="A31" s="96" t="str">
        <f aca="false">A30</f>
        <v>Obras Portuárias, Marítimas e Fluviais</v>
      </c>
      <c r="B31" s="107" t="s">
        <v>671</v>
      </c>
      <c r="C31" s="96" t="str">
        <f aca="false">CONCATENATE(A31,"-",B31)</f>
        <v>Obras Portuárias, Marítimas e Fluviais-BDI PAD</v>
      </c>
      <c r="E31" s="101" t="n">
        <v>0.228</v>
      </c>
      <c r="F31" s="101" t="n">
        <v>0.2748</v>
      </c>
      <c r="G31" s="101" t="n">
        <v>0.3095</v>
      </c>
      <c r="I31" s="49" t="s">
        <v>551</v>
      </c>
    </row>
    <row r="32" customFormat="false" ht="15.75" hidden="false" customHeight="false" outlineLevel="0" collapsed="false">
      <c r="A32" s="96" t="s">
        <v>698</v>
      </c>
      <c r="B32" s="100" t="s">
        <v>661</v>
      </c>
      <c r="C32" s="96" t="str">
        <f aca="false">CONCATENATE(A32,"-",B32)</f>
        <v>Fornecimento de Materiais e Equipamentos (aquisição indireta - em conjunto com licitação de obras)-AC</v>
      </c>
      <c r="E32" s="101" t="n">
        <v>0.015</v>
      </c>
      <c r="F32" s="101" t="n">
        <v>0.0345</v>
      </c>
      <c r="G32" s="101" t="n">
        <v>0.0449</v>
      </c>
      <c r="I32" s="49" t="s">
        <v>551</v>
      </c>
      <c r="J32" s="130" t="str">
        <f aca="false">IF(U29&lt;&gt;"ok","X","")</f>
        <v/>
      </c>
      <c r="K32" s="131" t="str">
        <f aca="false">IF(U29&lt;&gt;"ok","Anexo: Relatório Técnico Circunstanciado justificando a adoção do percentual de cada parcela do BDI.","")</f>
        <v/>
      </c>
      <c r="L32" s="131"/>
      <c r="M32" s="131"/>
      <c r="N32" s="131"/>
      <c r="O32" s="131"/>
      <c r="P32" s="131"/>
      <c r="Q32" s="131"/>
      <c r="R32" s="131"/>
      <c r="S32" s="131"/>
    </row>
    <row r="33" customFormat="false" ht="12.75" hidden="false" customHeight="false" outlineLevel="0" collapsed="false">
      <c r="A33" s="96" t="str">
        <f aca="false">A32</f>
        <v>Fornecimento de Materiais e Equipamentos (aquisição indireta - em conjunto com licitação de obras)</v>
      </c>
      <c r="B33" s="100" t="s">
        <v>663</v>
      </c>
      <c r="C33" s="96" t="str">
        <f aca="false">CONCATENATE(A33,"-",B33)</f>
        <v>Fornecimento de Materiais e Equipamentos (aquisição indireta - em conjunto com licitação de obras)-SG</v>
      </c>
      <c r="E33" s="101" t="n">
        <v>0.003</v>
      </c>
      <c r="F33" s="101" t="n">
        <v>0.0048</v>
      </c>
      <c r="G33" s="101" t="n">
        <v>0.0082</v>
      </c>
      <c r="I33" s="49" t="s">
        <v>551</v>
      </c>
    </row>
    <row r="34" customFormat="false" ht="12.75" hidden="false" customHeight="false" outlineLevel="0" collapsed="false">
      <c r="A34" s="96" t="str">
        <f aca="false">A33</f>
        <v>Fornecimento de Materiais e Equipamentos (aquisição indireta - em conjunto com licitação de obras)</v>
      </c>
      <c r="B34" s="100" t="s">
        <v>664</v>
      </c>
      <c r="C34" s="96" t="str">
        <f aca="false">CONCATENATE(A34,"-",B34)</f>
        <v>Fornecimento de Materiais e Equipamentos (aquisição indireta - em conjunto com licitação de obras)-R</v>
      </c>
      <c r="E34" s="101" t="n">
        <v>0.0056</v>
      </c>
      <c r="F34" s="101" t="n">
        <v>0.0085</v>
      </c>
      <c r="G34" s="101" t="n">
        <v>0.0089</v>
      </c>
      <c r="I34" s="49" t="s">
        <v>551</v>
      </c>
      <c r="J34" s="132" t="s">
        <v>699</v>
      </c>
      <c r="K34" s="132"/>
      <c r="L34" s="132"/>
      <c r="M34" s="132"/>
      <c r="N34" s="132"/>
      <c r="O34" s="132"/>
      <c r="P34" s="132"/>
      <c r="Q34" s="132"/>
      <c r="R34" s="132"/>
      <c r="S34" s="132"/>
    </row>
    <row r="35" customFormat="false" ht="15.75" hidden="false" customHeight="false" outlineLevel="0" collapsed="false">
      <c r="A35" s="96" t="str">
        <f aca="false">A34</f>
        <v>Fornecimento de Materiais e Equipamentos (aquisição indireta - em conjunto com licitação de obras)</v>
      </c>
      <c r="B35" s="100" t="s">
        <v>668</v>
      </c>
      <c r="C35" s="96" t="str">
        <f aca="false">CONCATENATE(A35,"-",B35)</f>
        <v>Fornecimento de Materiais e Equipamentos (aquisição indireta - em conjunto com licitação de obras)-DF</v>
      </c>
      <c r="E35" s="101" t="n">
        <v>0.0085</v>
      </c>
      <c r="F35" s="101" t="n">
        <v>0.0085</v>
      </c>
      <c r="G35" s="101" t="n">
        <v>0.0111</v>
      </c>
      <c r="I35" s="49" t="s">
        <v>551</v>
      </c>
      <c r="J35" s="133"/>
      <c r="K35" s="133"/>
      <c r="L35" s="133"/>
      <c r="M35" s="134" t="s">
        <v>700</v>
      </c>
      <c r="N35" s="135" t="str">
        <f aca="false">IF($J17=$A$146,"(1+K1+K2)*(1+K3)","(1+AC + S + R + G)*(1 + DF)*(1+L)")</f>
        <v>(1+AC + S + R + G)*(1 + DF)*(1+L)</v>
      </c>
      <c r="O35" s="135"/>
      <c r="P35" s="135"/>
      <c r="Q35" s="136" t="s">
        <v>701</v>
      </c>
      <c r="R35" s="133"/>
      <c r="S35" s="133"/>
    </row>
    <row r="36" customFormat="false" ht="15.75" hidden="false" customHeight="false" outlineLevel="0" collapsed="false">
      <c r="A36" s="96" t="str">
        <f aca="false">A35</f>
        <v>Fornecimento de Materiais e Equipamentos (aquisição indireta - em conjunto com licitação de obras)</v>
      </c>
      <c r="B36" s="100" t="s">
        <v>669</v>
      </c>
      <c r="C36" s="96" t="str">
        <f aca="false">CONCATENATE(A36,"-",B36)</f>
        <v>Fornecimento de Materiais e Equipamentos (aquisição indireta - em conjunto com licitação de obras)-L</v>
      </c>
      <c r="E36" s="101" t="n">
        <v>0.035</v>
      </c>
      <c r="F36" s="101" t="n">
        <v>0.0511</v>
      </c>
      <c r="G36" s="101" t="n">
        <v>0.0622</v>
      </c>
      <c r="I36" s="49" t="s">
        <v>551</v>
      </c>
      <c r="J36" s="133"/>
      <c r="K36" s="133"/>
      <c r="L36" s="133"/>
      <c r="M36" s="134"/>
      <c r="N36" s="137" t="s">
        <v>702</v>
      </c>
      <c r="O36" s="137"/>
      <c r="P36" s="137"/>
      <c r="Q36" s="136"/>
      <c r="R36" s="133"/>
      <c r="S36" s="133"/>
    </row>
    <row r="37" customFormat="false" ht="15" hidden="false" customHeight="true" outlineLevel="0" collapsed="false">
      <c r="A37" s="96" t="str">
        <f aca="false">A36</f>
        <v>Fornecimento de Materiais e Equipamentos (aquisição indireta - em conjunto com licitação de obras)</v>
      </c>
      <c r="B37" s="107" t="s">
        <v>671</v>
      </c>
      <c r="C37" s="96" t="str">
        <f aca="false">CONCATENATE(A37,"-",B37)</f>
        <v>Fornecimento de Materiais e Equipamentos (aquisição indireta - em conjunto com licitação de obras)-BDI PAD</v>
      </c>
      <c r="E37" s="101" t="n">
        <v>0.111</v>
      </c>
      <c r="F37" s="101" t="n">
        <v>0.1402</v>
      </c>
      <c r="G37" s="101" t="n">
        <v>0.168</v>
      </c>
      <c r="I37" s="49" t="s">
        <v>551</v>
      </c>
      <c r="J37" s="138"/>
      <c r="K37" s="138"/>
      <c r="L37" s="138"/>
      <c r="M37" s="138"/>
      <c r="N37" s="138"/>
      <c r="O37" s="138"/>
      <c r="P37" s="138"/>
      <c r="Q37" s="138"/>
      <c r="R37" s="138"/>
      <c r="S37" s="138"/>
    </row>
    <row r="38" customFormat="false" ht="49.5" hidden="false" customHeight="true" outlineLevel="0" collapsed="false">
      <c r="A38" s="96" t="s">
        <v>703</v>
      </c>
      <c r="B38" s="107" t="s">
        <v>661</v>
      </c>
      <c r="C38" s="96" t="str">
        <f aca="false">CONCATENATE(A38,"-",B38)</f>
        <v>Fornecimento de Materiais e Equipamentos (aquisição direta)-AC</v>
      </c>
      <c r="E38" s="101" t="s">
        <v>186</v>
      </c>
      <c r="F38" s="101" t="s">
        <v>186</v>
      </c>
      <c r="G38" s="101" t="s">
        <v>186</v>
      </c>
      <c r="I38" s="1" t="s">
        <v>551</v>
      </c>
      <c r="J38" s="139" t="str">
        <f aca="false"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3,5%.</v>
      </c>
      <c r="K38" s="139"/>
      <c r="L38" s="139"/>
      <c r="M38" s="139"/>
      <c r="N38" s="139"/>
      <c r="O38" s="139"/>
      <c r="P38" s="139"/>
      <c r="Q38" s="139"/>
      <c r="R38" s="139"/>
      <c r="S38" s="139"/>
    </row>
    <row r="39" customFormat="false" ht="12.75" hidden="false" customHeight="false" outlineLevel="0" collapsed="false">
      <c r="A39" s="96" t="s">
        <v>703</v>
      </c>
      <c r="B39" s="107" t="s">
        <v>663</v>
      </c>
      <c r="C39" s="96" t="str">
        <f aca="false">CONCATENATE(A39,"-",B39)</f>
        <v>Fornecimento de Materiais e Equipamentos (aquisição direta)-SG</v>
      </c>
      <c r="E39" s="101" t="s">
        <v>186</v>
      </c>
      <c r="F39" s="101" t="s">
        <v>186</v>
      </c>
      <c r="G39" s="101" t="s">
        <v>186</v>
      </c>
      <c r="I39" s="1" t="s">
        <v>551</v>
      </c>
    </row>
    <row r="40" customFormat="false" ht="49.5" hidden="false" customHeight="true" outlineLevel="0" collapsed="false">
      <c r="A40" s="96" t="s">
        <v>703</v>
      </c>
      <c r="B40" s="107" t="s">
        <v>664</v>
      </c>
      <c r="C40" s="96" t="str">
        <f aca="false">CONCATENATE(A40,"-",B40)</f>
        <v>Fornecimento de Materiais e Equipamentos (aquisição direta)-R</v>
      </c>
      <c r="E40" s="101" t="s">
        <v>186</v>
      </c>
      <c r="F40" s="101" t="s">
        <v>186</v>
      </c>
      <c r="G40" s="101" t="s">
        <v>186</v>
      </c>
      <c r="I40" s="1" t="s">
        <v>551</v>
      </c>
      <c r="J40" s="139" t="str">
        <f aca="true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139"/>
      <c r="L40" s="139"/>
      <c r="M40" s="139"/>
      <c r="N40" s="139"/>
      <c r="O40" s="139"/>
      <c r="P40" s="139"/>
      <c r="Q40" s="139"/>
      <c r="R40" s="139"/>
      <c r="S40" s="139"/>
    </row>
    <row r="41" customFormat="false" ht="12.75" hidden="false" customHeight="false" outlineLevel="0" collapsed="false">
      <c r="A41" s="96" t="s">
        <v>703</v>
      </c>
      <c r="B41" s="107" t="s">
        <v>668</v>
      </c>
      <c r="C41" s="96" t="str">
        <f aca="false">CONCATENATE(A41,"-",B41)</f>
        <v>Fornecimento de Materiais e Equipamentos (aquisição direta)-DF</v>
      </c>
      <c r="E41" s="101" t="s">
        <v>186</v>
      </c>
      <c r="F41" s="101" t="s">
        <v>186</v>
      </c>
      <c r="G41" s="101" t="s">
        <v>186</v>
      </c>
      <c r="I41" s="1" t="s">
        <v>551</v>
      </c>
    </row>
    <row r="42" customFormat="false" ht="12.75" hidden="false" customHeight="false" outlineLevel="0" collapsed="false">
      <c r="A42" s="96" t="s">
        <v>703</v>
      </c>
      <c r="B42" s="107" t="s">
        <v>669</v>
      </c>
      <c r="C42" s="96" t="str">
        <f aca="false">CONCATENATE(A42,"-",B42)</f>
        <v>Fornecimento de Materiais e Equipamentos (aquisição direta)-L</v>
      </c>
      <c r="E42" s="101" t="s">
        <v>186</v>
      </c>
      <c r="F42" s="101" t="s">
        <v>186</v>
      </c>
      <c r="G42" s="101" t="s">
        <v>186</v>
      </c>
      <c r="I42" s="1" t="s">
        <v>551</v>
      </c>
      <c r="J42" s="96" t="s">
        <v>704</v>
      </c>
    </row>
    <row r="43" customFormat="false" ht="99.75" hidden="false" customHeight="true" outlineLevel="0" collapsed="false">
      <c r="A43" s="96" t="s">
        <v>703</v>
      </c>
      <c r="B43" s="107" t="s">
        <v>671</v>
      </c>
      <c r="C43" s="96" t="str">
        <f aca="false">CONCATENATE(A43,"-",B43)</f>
        <v>Fornecimento de Materiais e Equipamentos (aquisição direta)-BDI PAD</v>
      </c>
      <c r="E43" s="101" t="s">
        <v>186</v>
      </c>
      <c r="F43" s="101" t="s">
        <v>186</v>
      </c>
      <c r="G43" s="101" t="s">
        <v>186</v>
      </c>
      <c r="I43" s="1" t="s">
        <v>551</v>
      </c>
      <c r="J43" s="140" t="s">
        <v>705</v>
      </c>
      <c r="K43" s="140"/>
      <c r="L43" s="140"/>
      <c r="M43" s="140"/>
      <c r="N43" s="140"/>
      <c r="O43" s="140"/>
      <c r="P43" s="140"/>
      <c r="Q43" s="140"/>
      <c r="R43" s="140"/>
      <c r="S43" s="140"/>
    </row>
    <row r="44" customFormat="false" ht="12.75" hidden="false" customHeight="false" outlineLevel="0" collapsed="false">
      <c r="A44" s="96" t="s">
        <v>706</v>
      </c>
      <c r="B44" s="100" t="s">
        <v>707</v>
      </c>
      <c r="C44" s="96" t="str">
        <f aca="false">CONCATENATE(A44,"-",B44)</f>
        <v>Estudos e Projetos, Planos e Gerenciamento e outros correlatos-K1</v>
      </c>
      <c r="E44" s="101" t="s">
        <v>186</v>
      </c>
      <c r="F44" s="101" t="s">
        <v>186</v>
      </c>
      <c r="G44" s="101" t="s">
        <v>186</v>
      </c>
      <c r="I44" s="1" t="s">
        <v>551</v>
      </c>
    </row>
    <row r="45" customFormat="false" ht="12.75" hidden="false" customHeight="false" outlineLevel="0" collapsed="false">
      <c r="A45" s="96" t="str">
        <f aca="false">A44</f>
        <v>Estudos e Projetos, Planos e Gerenciamento e outros correlatos</v>
      </c>
      <c r="B45" s="100" t="s">
        <v>708</v>
      </c>
      <c r="C45" s="96" t="str">
        <f aca="false">CONCATENATE(A45,"-",B45)</f>
        <v>Estudos e Projetos, Planos e Gerenciamento e outros correlatos-K2</v>
      </c>
      <c r="E45" s="101" t="s">
        <v>186</v>
      </c>
      <c r="F45" s="101" t="n">
        <v>0.2</v>
      </c>
      <c r="G45" s="101" t="s">
        <v>186</v>
      </c>
      <c r="I45" s="1" t="s">
        <v>551</v>
      </c>
      <c r="J45" s="141" t="str">
        <f aca="false">Import.Município</f>
        <v>CAÇÃPAVA DO SUL</v>
      </c>
      <c r="K45" s="141"/>
      <c r="L45" s="141"/>
      <c r="M45" s="141"/>
      <c r="P45" s="142" t="n">
        <f aca="false">DADOS!$C$25</f>
        <v>46087</v>
      </c>
      <c r="Q45" s="142"/>
      <c r="R45" s="142"/>
      <c r="S45" s="142"/>
    </row>
    <row r="46" customFormat="false" ht="12.75" hidden="false" customHeight="false" outlineLevel="0" collapsed="false">
      <c r="A46" s="96" t="str">
        <f aca="false">A45</f>
        <v>Estudos e Projetos, Planos e Gerenciamento e outros correlatos</v>
      </c>
      <c r="B46" s="100"/>
      <c r="C46" s="96" t="str">
        <f aca="false">CONCATENATE(A46,"-",B46)</f>
        <v>Estudos e Projetos, Planos e Gerenciamento e outros correlatos-</v>
      </c>
      <c r="E46" s="101" t="s">
        <v>186</v>
      </c>
      <c r="F46" s="101" t="s">
        <v>186</v>
      </c>
      <c r="G46" s="101" t="s">
        <v>186</v>
      </c>
      <c r="I46" s="1" t="s">
        <v>551</v>
      </c>
      <c r="J46" s="143" t="s">
        <v>709</v>
      </c>
      <c r="K46" s="143"/>
      <c r="L46" s="143"/>
      <c r="M46" s="143"/>
      <c r="O46" s="144"/>
      <c r="P46" s="145" t="s">
        <v>710</v>
      </c>
      <c r="Q46" s="146"/>
      <c r="R46" s="146"/>
      <c r="S46" s="146"/>
    </row>
    <row r="47" customFormat="false" ht="30" hidden="false" customHeight="true" outlineLevel="0" collapsed="false">
      <c r="A47" s="96" t="str">
        <f aca="false">A46</f>
        <v>Estudos e Projetos, Planos e Gerenciamento e outros correlatos</v>
      </c>
      <c r="B47" s="100"/>
      <c r="C47" s="96" t="str">
        <f aca="false">CONCATENATE(A47,"-",B47)</f>
        <v>Estudos e Projetos, Planos e Gerenciamento e outros correlatos-</v>
      </c>
      <c r="E47" s="101" t="s">
        <v>186</v>
      </c>
      <c r="F47" s="101" t="s">
        <v>186</v>
      </c>
      <c r="G47" s="101" t="s">
        <v>186</v>
      </c>
      <c r="I47" s="1" t="s">
        <v>551</v>
      </c>
    </row>
    <row r="48" customFormat="false" ht="15" hidden="false" customHeight="false" outlineLevel="0" collapsed="false">
      <c r="A48" s="96" t="str">
        <f aca="false">A47</f>
        <v>Estudos e Projetos, Planos e Gerenciamento e outros correlatos</v>
      </c>
      <c r="B48" s="100" t="s">
        <v>711</v>
      </c>
      <c r="C48" s="96" t="str">
        <f aca="false">CONCATENATE(A48,"-",B48)</f>
        <v>Estudos e Projetos, Planos e Gerenciamento e outros correlatos-K3</v>
      </c>
      <c r="E48" s="101" t="s">
        <v>186</v>
      </c>
      <c r="F48" s="101" t="n">
        <v>0.12</v>
      </c>
      <c r="G48" s="101" t="s">
        <v>186</v>
      </c>
      <c r="I48" s="1" t="s">
        <v>551</v>
      </c>
      <c r="J48" s="147"/>
      <c r="K48" s="147"/>
      <c r="L48" s="147"/>
      <c r="M48" s="147"/>
      <c r="N48" s="148"/>
    </row>
    <row r="49" customFormat="false" ht="12.75" hidden="false" customHeight="true" outlineLevel="0" collapsed="false">
      <c r="A49" s="96" t="str">
        <f aca="false">A48</f>
        <v>Estudos e Projetos, Planos e Gerenciamento e outros correlatos</v>
      </c>
      <c r="B49" s="107" t="s">
        <v>671</v>
      </c>
      <c r="C49" s="96" t="str">
        <f aca="false">CONCATENATE(A49,"-",B49)</f>
        <v>Estudos e Projetos, Planos e Gerenciamento e outros correlatos-BDI PAD</v>
      </c>
      <c r="E49" s="101" t="s">
        <v>186</v>
      </c>
      <c r="F49" s="101" t="s">
        <v>186</v>
      </c>
      <c r="G49" s="101" t="s">
        <v>186</v>
      </c>
      <c r="I49" s="1" t="s">
        <v>551</v>
      </c>
      <c r="J49" s="149" t="s">
        <v>712</v>
      </c>
      <c r="K49" s="149"/>
      <c r="L49" s="149"/>
      <c r="M49" s="149"/>
    </row>
    <row r="50" customFormat="false" ht="14.25" hidden="false" customHeight="false" outlineLevel="0" collapsed="false">
      <c r="B50" s="107"/>
      <c r="E50" s="101"/>
      <c r="F50" s="101"/>
      <c r="G50" s="101"/>
      <c r="I50" s="1" t="s">
        <v>551</v>
      </c>
      <c r="J50" s="150" t="s">
        <v>249</v>
      </c>
      <c r="K50" s="151" t="str">
        <f aca="false" t="array" ref="K50:K52">Import.RespOrçamento</f>
        <v>HELMESONA DE OLIVEIRA SANTANA</v>
      </c>
      <c r="L50" s="152"/>
      <c r="M50" s="152"/>
      <c r="N50" s="148"/>
    </row>
    <row r="51" customFormat="false" ht="14.25" hidden="false" customHeight="false" outlineLevel="0" collapsed="false">
      <c r="I51" s="1" t="s">
        <v>551</v>
      </c>
      <c r="J51" s="150" t="s">
        <v>253</v>
      </c>
      <c r="K51" s="151" t="str">
        <v>RS152843</v>
      </c>
      <c r="L51" s="152"/>
      <c r="M51" s="152"/>
      <c r="N51" s="148"/>
    </row>
    <row r="52" customFormat="false" ht="14.25" hidden="false" customHeight="false" outlineLevel="0" collapsed="false">
      <c r="I52" s="1" t="s">
        <v>551</v>
      </c>
      <c r="J52" s="150" t="s">
        <v>257</v>
      </c>
      <c r="K52" s="151" t="str">
        <v>8809670</v>
      </c>
      <c r="L52" s="152"/>
      <c r="M52" s="152"/>
      <c r="N52" s="148"/>
    </row>
    <row r="53" customFormat="false" ht="14.25" hidden="false" customHeight="false" outlineLevel="0" collapsed="false">
      <c r="I53" s="1" t="s">
        <v>551</v>
      </c>
      <c r="J53" s="150"/>
      <c r="K53" s="153"/>
      <c r="L53" s="152"/>
      <c r="M53" s="152"/>
      <c r="N53" s="148"/>
    </row>
    <row r="54" customFormat="false" ht="15.75" hidden="false" customHeight="false" outlineLevel="0" collapsed="false">
      <c r="I54" s="1" t="str">
        <f aca="false">IF($S$69=0,"","F")</f>
        <v/>
      </c>
      <c r="J54" s="115" t="s">
        <v>713</v>
      </c>
      <c r="K54" s="115"/>
      <c r="L54" s="115"/>
      <c r="M54" s="115"/>
      <c r="N54" s="115"/>
      <c r="O54" s="115"/>
      <c r="P54" s="115"/>
      <c r="Q54" s="115"/>
      <c r="R54" s="115"/>
      <c r="S54" s="115"/>
      <c r="U54" s="52" t="str">
        <f aca="false">IF(COUNTIF(ORÇAMENTO!$V$15:$V$40,BDI_2.Título)=0,"",IF(OR(Import.BDI.Tipo2="(SELECIONAR)",Import.BDI.Tipo2="",U57&lt;&gt;"",S61=0,S62=0,S63=0,S64=0,S65=0,S66=0),"Falta preencher o BDI 2",""))</f>
        <v/>
      </c>
    </row>
    <row r="55" customFormat="false" ht="12.75" hidden="false" customHeight="false" outlineLevel="0" collapsed="false">
      <c r="I55" s="1" t="str">
        <f aca="false">IF($S$69=0,"","F")</f>
        <v/>
      </c>
    </row>
    <row r="56" customFormat="false" ht="12.75" hidden="false" customHeight="false" outlineLevel="0" collapsed="false">
      <c r="I56" s="1" t="str">
        <f aca="false">IF($S$69=0,"","F")</f>
        <v/>
      </c>
      <c r="J56" s="103" t="s">
        <v>679</v>
      </c>
      <c r="K56" s="103"/>
      <c r="L56" s="103"/>
      <c r="M56" s="103"/>
      <c r="N56" s="103"/>
      <c r="O56" s="103"/>
      <c r="P56" s="103"/>
      <c r="Q56" s="103"/>
      <c r="R56" s="103"/>
      <c r="S56" s="103"/>
    </row>
    <row r="57" customFormat="false" ht="15" hidden="false" customHeight="false" outlineLevel="0" collapsed="false">
      <c r="I57" s="1" t="str">
        <f aca="false">IF($S$69=0,"","F")</f>
        <v/>
      </c>
      <c r="J57" s="116" t="s">
        <v>660</v>
      </c>
      <c r="K57" s="116"/>
      <c r="L57" s="116"/>
      <c r="M57" s="116"/>
      <c r="N57" s="116"/>
      <c r="O57" s="116"/>
      <c r="P57" s="116"/>
      <c r="Q57" s="116"/>
      <c r="R57" s="116"/>
      <c r="S57" s="116"/>
      <c r="T57" s="67" t="str">
        <f aca="false">IF(U57="","","◄")</f>
        <v/>
      </c>
      <c r="U57" s="63" t="str">
        <f aca="false">IF(AND(OR(S69&gt;0,COUNTIF(ORÇAMENTO!$V$15:$V$40,BDI_2.Título)&gt;0),OR(Import.BDI.Tipo2="(SELECIONAR)",Import.BDI.Tipo2="")),"Selecione o Tipo de obra","")</f>
        <v/>
      </c>
    </row>
    <row r="58" customFormat="false" ht="12.75" hidden="false" customHeight="false" outlineLevel="0" collapsed="false">
      <c r="I58" s="1" t="str">
        <f aca="false">IF($S$69=0,"","F")</f>
        <v/>
      </c>
    </row>
    <row r="59" customFormat="false" ht="12.75" hidden="false" customHeight="true" outlineLevel="0" collapsed="false">
      <c r="I59" s="1" t="str">
        <f aca="false">IF($S$69=0,"","F")</f>
        <v/>
      </c>
      <c r="J59" s="117" t="s">
        <v>680</v>
      </c>
      <c r="K59" s="117"/>
      <c r="L59" s="117"/>
      <c r="M59" s="117"/>
      <c r="N59" s="117"/>
      <c r="O59" s="117"/>
      <c r="P59" s="117"/>
      <c r="Q59" s="117"/>
      <c r="R59" s="117" t="s">
        <v>681</v>
      </c>
      <c r="S59" s="118" t="s">
        <v>682</v>
      </c>
      <c r="U59" s="118" t="s">
        <v>683</v>
      </c>
      <c r="V59" s="118"/>
      <c r="W59" s="118"/>
      <c r="X59" s="119" t="s">
        <v>684</v>
      </c>
      <c r="Y59" s="119" t="s">
        <v>685</v>
      </c>
      <c r="Z59" s="119" t="s">
        <v>686</v>
      </c>
    </row>
    <row r="60" customFormat="false" ht="12.75" hidden="false" customHeight="true" outlineLevel="0" collapsed="false">
      <c r="I60" s="1" t="str">
        <f aca="false">IF($S$69=0,"","F")</f>
        <v/>
      </c>
      <c r="J60" s="117"/>
      <c r="K60" s="117"/>
      <c r="L60" s="117"/>
      <c r="M60" s="117"/>
      <c r="N60" s="117"/>
      <c r="O60" s="117"/>
      <c r="P60" s="117"/>
      <c r="Q60" s="117"/>
      <c r="R60" s="117"/>
      <c r="S60" s="118"/>
      <c r="U60" s="118"/>
      <c r="V60" s="118"/>
      <c r="W60" s="118"/>
      <c r="X60" s="119"/>
      <c r="Y60" s="119"/>
      <c r="Z60" s="119"/>
    </row>
    <row r="61" customFormat="false" ht="15" hidden="false" customHeight="true" outlineLevel="0" collapsed="false">
      <c r="I61" s="1" t="str">
        <f aca="false">IF($S$69=0,"","F")</f>
        <v/>
      </c>
      <c r="J61" s="120" t="str">
        <f aca="false">IF($J$17=$A$146,"Encargos Sociais incidentes sobre a mão de obra","Administração Central")</f>
        <v>Administração Central</v>
      </c>
      <c r="K61" s="120"/>
      <c r="L61" s="120"/>
      <c r="M61" s="120"/>
      <c r="N61" s="120"/>
      <c r="O61" s="120"/>
      <c r="P61" s="120"/>
      <c r="Q61" s="120"/>
      <c r="R61" s="121" t="str">
        <f aca="false">IF($J57=$A$146,"K1","AC")</f>
        <v>AC</v>
      </c>
      <c r="S61" s="122"/>
      <c r="T61" s="123" t="str">
        <f aca="false">IF(AND($U$14&lt;&gt;"",S61=""),"◄","")</f>
        <v/>
      </c>
      <c r="U61" s="124" t="str">
        <f aca="false">IFERROR(IF(AND(S61&gt;=X61,S61&lt;=Z61),"OK","FORA DO INTERVALO"),"-")</f>
        <v>FORA DO INTERVALO</v>
      </c>
      <c r="V61" s="124"/>
      <c r="W61" s="124"/>
      <c r="X61" s="125" t="n">
        <f aca="false">VLOOKUP(CONCATENATE(J57,"-",R61),$C$2:$G$136,3,FALSE())</f>
        <v>0.03</v>
      </c>
      <c r="Y61" s="125" t="n">
        <f aca="false">VLOOKUP(CONCATENATE(J57,"-",R61),$C$2:$G$136,4,FALSE())</f>
        <v>0.04</v>
      </c>
      <c r="Z61" s="125" t="n">
        <f aca="false">VLOOKUP(CONCATENATE(J57,"-",R61),$C$2:$G$136,5,FALSE())</f>
        <v>0.055</v>
      </c>
    </row>
    <row r="62" customFormat="false" ht="15" hidden="false" customHeight="true" outlineLevel="0" collapsed="false">
      <c r="I62" s="1" t="str">
        <f aca="false">IF($S$69=0,"","F")</f>
        <v/>
      </c>
      <c r="J62" s="120" t="str">
        <f aca="false">IF($J$17=$A$146,"Administração Central da empresa ou consultoria - overhead","Seguro e Garantia")</f>
        <v>Seguro e Garantia</v>
      </c>
      <c r="K62" s="120"/>
      <c r="L62" s="120"/>
      <c r="M62" s="120"/>
      <c r="N62" s="120"/>
      <c r="O62" s="120"/>
      <c r="P62" s="120"/>
      <c r="Q62" s="120"/>
      <c r="R62" s="121" t="str">
        <f aca="false">IF($J57=$A$146,"K2","SG")</f>
        <v>SG</v>
      </c>
      <c r="S62" s="122"/>
      <c r="T62" s="123" t="str">
        <f aca="false">IF(AND($U$14&lt;&gt;"",S62=""),"◄","")</f>
        <v/>
      </c>
      <c r="U62" s="124" t="str">
        <f aca="false">IFERROR(IF(AND(S62&gt;=X62,S62&lt;=Z62),"OK","FORA DO INTERVALO"),"-")</f>
        <v>FORA DO INTERVALO</v>
      </c>
      <c r="V62" s="124"/>
      <c r="W62" s="124"/>
      <c r="X62" s="125" t="n">
        <f aca="false">VLOOKUP(CONCATENATE(J57,"-",R62),$C$2:$G$136,3,FALSE())</f>
        <v>0.008</v>
      </c>
      <c r="Y62" s="125" t="n">
        <f aca="false">VLOOKUP(CONCATENATE(J57,"-",R62),$C$2:$G$136,4,FALSE())</f>
        <v>0.008</v>
      </c>
      <c r="Z62" s="125" t="n">
        <f aca="false">VLOOKUP(CONCATENATE(J57,"-",R62),$C$2:$G$136,5,FALSE())</f>
        <v>0.01</v>
      </c>
    </row>
    <row r="63" customFormat="false" ht="15" hidden="false" customHeight="true" outlineLevel="0" collapsed="false">
      <c r="I63" s="1" t="str">
        <f aca="false">IF($S$69=0,"","F")</f>
        <v/>
      </c>
      <c r="J63" s="120" t="str">
        <f aca="false">IF($J$17=$A$146,"","Risco")</f>
        <v>Risco</v>
      </c>
      <c r="K63" s="120"/>
      <c r="L63" s="120"/>
      <c r="M63" s="120"/>
      <c r="N63" s="120"/>
      <c r="O63" s="120"/>
      <c r="P63" s="120"/>
      <c r="Q63" s="120"/>
      <c r="R63" s="121" t="str">
        <f aca="false">IF($J57=$A$146,"","R")</f>
        <v>R</v>
      </c>
      <c r="S63" s="122"/>
      <c r="T63" s="123" t="str">
        <f aca="false">IF(AND($U$14&lt;&gt;"",S63=""),"◄","")</f>
        <v/>
      </c>
      <c r="U63" s="124" t="str">
        <f aca="false">IFERROR(IF(AND(S63&gt;=X63,S63&lt;=Z63),"OK","FORA DO INTERVALO"),"-")</f>
        <v>FORA DO INTERVALO</v>
      </c>
      <c r="V63" s="124"/>
      <c r="W63" s="124"/>
      <c r="X63" s="125" t="n">
        <f aca="false">VLOOKUP(CONCATENATE(J57,"-",R63),$C$2:$G$136,3,FALSE())</f>
        <v>0.0097</v>
      </c>
      <c r="Y63" s="125" t="n">
        <f aca="false">VLOOKUP(CONCATENATE(J57,"-",R63),$C$2:$G$136,4,FALSE())</f>
        <v>0.0127</v>
      </c>
      <c r="Z63" s="125" t="n">
        <f aca="false">VLOOKUP(CONCATENATE(J57,"-",R63),$C$2:$G$136,5,FALSE())</f>
        <v>0.0127</v>
      </c>
    </row>
    <row r="64" customFormat="false" ht="15" hidden="false" customHeight="true" outlineLevel="0" collapsed="false">
      <c r="I64" s="1" t="str">
        <f aca="false">IF($S$69=0,"","F")</f>
        <v/>
      </c>
      <c r="J64" s="120" t="str">
        <f aca="false">IF($J$17=$A$146,"","Despesas Financeiras")</f>
        <v>Despesas Financeiras</v>
      </c>
      <c r="K64" s="120"/>
      <c r="L64" s="120"/>
      <c r="M64" s="120"/>
      <c r="N64" s="120"/>
      <c r="O64" s="120"/>
      <c r="P64" s="120"/>
      <c r="Q64" s="120"/>
      <c r="R64" s="121" t="str">
        <f aca="false">IF($J57=$A$146,"","DF")</f>
        <v>DF</v>
      </c>
      <c r="S64" s="122"/>
      <c r="T64" s="123" t="str">
        <f aca="false">IF(AND($U$14&lt;&gt;"",S64=""),"◄","")</f>
        <v/>
      </c>
      <c r="U64" s="124" t="str">
        <f aca="false">IFERROR(IF(AND(S64&gt;=X64,S64&lt;=Z64),"OK","FORA DO INTERVALO"),"-")</f>
        <v>FORA DO INTERVALO</v>
      </c>
      <c r="V64" s="124"/>
      <c r="W64" s="124"/>
      <c r="X64" s="125" t="n">
        <f aca="false">VLOOKUP(CONCATENATE(J57,"-",R64),$C$2:$G$136,3,FALSE())</f>
        <v>0.0059</v>
      </c>
      <c r="Y64" s="125" t="n">
        <f aca="false">VLOOKUP(CONCATENATE(J57,"-",R64),$C$2:$G$136,4,FALSE())</f>
        <v>0.0123</v>
      </c>
      <c r="Z64" s="125" t="n">
        <f aca="false">VLOOKUP(CONCATENATE(J57,"-",R64),$C$2:$G$136,5,FALSE())</f>
        <v>0.0139</v>
      </c>
    </row>
    <row r="65" customFormat="false" ht="15" hidden="false" customHeight="true" outlineLevel="0" collapsed="false">
      <c r="I65" s="1" t="str">
        <f aca="false">IF($S$69=0,"","F")</f>
        <v/>
      </c>
      <c r="J65" s="120" t="str">
        <f aca="false">IF($J$17=$A$146,"Margem bruta da empresa de consultoria","Lucro")</f>
        <v>Lucro</v>
      </c>
      <c r="K65" s="120"/>
      <c r="L65" s="120"/>
      <c r="M65" s="120"/>
      <c r="N65" s="120"/>
      <c r="O65" s="120"/>
      <c r="P65" s="120"/>
      <c r="Q65" s="120"/>
      <c r="R65" s="121" t="str">
        <f aca="false">IF($J57=$A$146,"K3","L")</f>
        <v>L</v>
      </c>
      <c r="S65" s="122"/>
      <c r="T65" s="123" t="str">
        <f aca="false">IF(AND($U$14&lt;&gt;"",S65=""),"◄","")</f>
        <v/>
      </c>
      <c r="U65" s="124" t="str">
        <f aca="false">IFERROR(IF(AND(S65&gt;=X65,S65&lt;=Z65),"OK","FORA DO INTERVALO"),"-")</f>
        <v>FORA DO INTERVALO</v>
      </c>
      <c r="V65" s="124"/>
      <c r="W65" s="124"/>
      <c r="X65" s="125" t="n">
        <f aca="false">VLOOKUP(CONCATENATE(J57,"-",R65),$C$2:$G$136,3,FALSE())</f>
        <v>0.0616</v>
      </c>
      <c r="Y65" s="125" t="n">
        <f aca="false">VLOOKUP(CONCATENATE(J57,"-",R65),$C$2:$G$136,4,FALSE())</f>
        <v>0.074</v>
      </c>
      <c r="Z65" s="125" t="n">
        <f aca="false">VLOOKUP(CONCATENATE(J57,"-",R65),$C$2:$G$136,5,FALSE())</f>
        <v>0.0896</v>
      </c>
    </row>
    <row r="66" customFormat="false" ht="15" hidden="false" customHeight="true" outlineLevel="0" collapsed="false">
      <c r="I66" s="1" t="str">
        <f aca="false">IF($S$69=0,"","F")</f>
        <v/>
      </c>
      <c r="J66" s="120" t="s">
        <v>689</v>
      </c>
      <c r="K66" s="120"/>
      <c r="L66" s="120"/>
      <c r="M66" s="120"/>
      <c r="N66" s="120"/>
      <c r="O66" s="120"/>
      <c r="P66" s="120"/>
      <c r="Q66" s="120"/>
      <c r="R66" s="121" t="s">
        <v>471</v>
      </c>
      <c r="S66" s="122"/>
      <c r="T66" s="123" t="str">
        <f aca="false">IF(AND($U$14&lt;&gt;"",S66=""),"◄","")</f>
        <v/>
      </c>
      <c r="U66" s="124" t="str">
        <f aca="false">IFERROR(IF(AND(S66&gt;=X66,S66&lt;=Z66),"OK","FORA DO INTERVALO"),"-")</f>
        <v>FORA DO INTERVALO</v>
      </c>
      <c r="V66" s="124"/>
      <c r="W66" s="124"/>
      <c r="X66" s="125" t="n">
        <v>0.0365</v>
      </c>
      <c r="Y66" s="125" t="n">
        <v>0.0365</v>
      </c>
      <c r="Z66" s="125" t="n">
        <v>0.0365</v>
      </c>
    </row>
    <row r="67" customFormat="false" ht="15" hidden="false" customHeight="true" outlineLevel="0" collapsed="false">
      <c r="I67" s="1" t="str">
        <f aca="false">IF($S$69=0,"","F")</f>
        <v/>
      </c>
      <c r="J67" s="120" t="s">
        <v>690</v>
      </c>
      <c r="K67" s="120"/>
      <c r="L67" s="120"/>
      <c r="M67" s="120"/>
      <c r="N67" s="120"/>
      <c r="O67" s="120"/>
      <c r="P67" s="120"/>
      <c r="Q67" s="120"/>
      <c r="R67" s="121" t="s">
        <v>691</v>
      </c>
      <c r="S67" s="125" t="n">
        <f aca="true">IF(AND($J57&lt;&gt;$A$145,COUNTA(OFFSET(S60,1,0,6))&gt;0),$R$11*$R$10,0)</f>
        <v>0</v>
      </c>
      <c r="U67" s="124" t="str">
        <f aca="false">IFERROR(IF(AND(S67&gt;=X67,S67&lt;=Z67),"OK","FORA DO INTERVALO"),"-")</f>
        <v>OK</v>
      </c>
      <c r="V67" s="124"/>
      <c r="W67" s="124"/>
      <c r="X67" s="125" t="n">
        <v>0</v>
      </c>
      <c r="Y67" s="125" t="n">
        <v>0.025</v>
      </c>
      <c r="Z67" s="125" t="n">
        <v>0.05</v>
      </c>
    </row>
    <row r="68" customFormat="false" ht="15" hidden="false" customHeight="true" outlineLevel="0" collapsed="false">
      <c r="I68" s="1" t="str">
        <f aca="false">IF($S$69=0,"","F")</f>
        <v/>
      </c>
      <c r="J68" s="120" t="s">
        <v>692</v>
      </c>
      <c r="K68" s="120"/>
      <c r="L68" s="120"/>
      <c r="M68" s="120"/>
      <c r="N68" s="120"/>
      <c r="O68" s="120"/>
      <c r="P68" s="120"/>
      <c r="Q68" s="120"/>
      <c r="R68" s="121" t="s">
        <v>693</v>
      </c>
      <c r="S68" s="125" t="n">
        <f aca="true" t="array" ref="S68:S68">IF(BDI.Opcao&lt;&gt;"Desonerado",0,IF(AND($J57&lt;&gt;$A$145,COUNTA(OFFSET(S60,1,0,6))&gt;0),IF(YEAR(Import.DataBase)&lt;2025,4.5%,IF(YEAR(Import.DataBase)=2025,3.6%,IF(YEAR(Import.DataBase)=2026,2.7%,IF(YEAR(Import.DataBase)=2027,1.8%,0%)))),0%))</f>
        <v>0</v>
      </c>
      <c r="U68" s="124" t="s">
        <v>694</v>
      </c>
      <c r="V68" s="124"/>
      <c r="W68" s="124"/>
      <c r="X68" s="126" t="n">
        <f aca="false">$S68</f>
        <v>0</v>
      </c>
      <c r="Y68" s="126" t="n">
        <f aca="false">$S68</f>
        <v>0</v>
      </c>
      <c r="Z68" s="126" t="n">
        <f aca="false">$S68</f>
        <v>0</v>
      </c>
    </row>
    <row r="69" customFormat="false" ht="15" hidden="false" customHeight="true" outlineLevel="0" collapsed="false">
      <c r="I69" s="1" t="str">
        <f aca="false">IF($S$69=0,"","F")</f>
        <v/>
      </c>
      <c r="J69" s="120" t="s">
        <v>695</v>
      </c>
      <c r="K69" s="120"/>
      <c r="L69" s="120"/>
      <c r="M69" s="120"/>
      <c r="N69" s="120"/>
      <c r="O69" s="120"/>
      <c r="P69" s="120"/>
      <c r="Q69" s="120"/>
      <c r="R69" s="127" t="s">
        <v>671</v>
      </c>
      <c r="S69" s="125" t="n">
        <f aca="false">IF($J57=$A$145,0,ROUND((((1+S61+S62+S63)*(1+S64)*(1+S65)/(1-(S66+S67)))-1),4))</f>
        <v>0</v>
      </c>
      <c r="U69" s="118" t="str">
        <f aca="false">IFERROR(IF(OR($J$17=$A$146,$J$17=$A$145,AND(S69&gt;=X69,S69&lt;=Z69)),"OK","FORA DO INTERVALO"),IF(S69=0,"OK","Selecione o Tipo de obra"))</f>
        <v>FORA DO INTERVALO</v>
      </c>
      <c r="V69" s="118"/>
      <c r="W69" s="118"/>
      <c r="X69" s="125" t="n">
        <f aca="false">IF($J57=$A$145,0,VLOOKUP(CONCATENATE($J57,"-",$R69),$C$2:$G$136,3,FALSE()))</f>
        <v>0.2034</v>
      </c>
      <c r="Y69" s="125" t="n">
        <f aca="false">IF($J57=$A$145,0,VLOOKUP(CONCATENATE($J57,"-",$R69),$C$2:$G$136,4,FALSE()))</f>
        <v>0.2212</v>
      </c>
      <c r="Z69" s="125" t="n">
        <f aca="false">IF($J57=$A$145,0,VLOOKUP(CONCATENATE($J57,"-",$R69),$C$2:$G$136,5,FALSE()))</f>
        <v>0.25</v>
      </c>
    </row>
    <row r="70" customFormat="false" ht="15" hidden="false" customHeight="true" outlineLevel="0" collapsed="false">
      <c r="I70" s="1" t="str">
        <f aca="false">IF($S$69=0,"","F")</f>
        <v/>
      </c>
      <c r="J70" s="128" t="s">
        <v>696</v>
      </c>
      <c r="K70" s="128"/>
      <c r="L70" s="128"/>
      <c r="M70" s="128"/>
      <c r="N70" s="128"/>
      <c r="O70" s="128"/>
      <c r="P70" s="128"/>
      <c r="Q70" s="128"/>
      <c r="R70" s="128" t="s">
        <v>697</v>
      </c>
      <c r="S70" s="129" t="n">
        <f aca="false">IF($J57=$A$145,0,ROUND((((1+S61+S62+S63)*(1+S64)*(1+S65)/(1-(S66+S67+S68)))-1),4))</f>
        <v>0</v>
      </c>
    </row>
    <row r="71" customFormat="false" ht="15" hidden="false" customHeight="true" outlineLevel="0" collapsed="false">
      <c r="I71" s="1" t="str">
        <f aca="false">IF($S$69=0,"","F")</f>
        <v/>
      </c>
    </row>
    <row r="72" customFormat="false" ht="15.75" hidden="false" customHeight="false" outlineLevel="0" collapsed="false">
      <c r="I72" s="1" t="str">
        <f aca="false">IF($S$69=0,"","F")</f>
        <v/>
      </c>
      <c r="J72" s="130" t="str">
        <f aca="false">IF(U69&lt;&gt;"ok","X","")</f>
        <v>X</v>
      </c>
      <c r="K72" s="131" t="str">
        <f aca="false">IF(U69&lt;&gt;"ok","Anexo: Relatório Técnico Circunstanciado justificando a adoção do percentual de cada parcela do BDI.","")</f>
        <v>Anexo: Relatório Técnico Circunstanciado justificando a adoção do percentual de cada parcela do BDI.</v>
      </c>
      <c r="L72" s="131"/>
      <c r="M72" s="131"/>
      <c r="N72" s="131"/>
      <c r="O72" s="131"/>
      <c r="P72" s="131"/>
      <c r="Q72" s="131"/>
      <c r="R72" s="131"/>
      <c r="S72" s="131"/>
    </row>
    <row r="73" customFormat="false" ht="12.75" hidden="false" customHeight="false" outlineLevel="0" collapsed="false">
      <c r="I73" s="1" t="str">
        <f aca="false">IF($S$69=0,"","F")</f>
        <v/>
      </c>
    </row>
    <row r="74" customFormat="false" ht="12.75" hidden="false" customHeight="false" outlineLevel="0" collapsed="false">
      <c r="I74" s="1" t="str">
        <f aca="false">IF($S$69=0,"","F")</f>
        <v/>
      </c>
      <c r="J74" s="132" t="s">
        <v>699</v>
      </c>
      <c r="K74" s="132"/>
      <c r="L74" s="132"/>
      <c r="M74" s="132"/>
      <c r="N74" s="132"/>
      <c r="O74" s="132"/>
      <c r="P74" s="132"/>
      <c r="Q74" s="132"/>
      <c r="R74" s="132"/>
      <c r="S74" s="132"/>
    </row>
    <row r="75" customFormat="false" ht="15.75" hidden="false" customHeight="false" outlineLevel="0" collapsed="false">
      <c r="I75" s="1" t="str">
        <f aca="false">IF($S$69=0,"","F")</f>
        <v/>
      </c>
      <c r="J75" s="133"/>
      <c r="K75" s="133"/>
      <c r="L75" s="133"/>
      <c r="M75" s="134" t="s">
        <v>700</v>
      </c>
      <c r="N75" s="135" t="str">
        <f aca="false">IF($J57=$A$146,"(1+K1+K2)*(1+K3)","(1+AC + S + R + G)*(1 + DF)*(1+L)")</f>
        <v>(1+AC + S + R + G)*(1 + DF)*(1+L)</v>
      </c>
      <c r="O75" s="135"/>
      <c r="P75" s="135"/>
      <c r="Q75" s="136" t="s">
        <v>701</v>
      </c>
      <c r="R75" s="133"/>
      <c r="S75" s="133"/>
    </row>
    <row r="76" customFormat="false" ht="15.75" hidden="false" customHeight="false" outlineLevel="0" collapsed="false">
      <c r="I76" s="1" t="str">
        <f aca="false">IF($S$69=0,"","F")</f>
        <v/>
      </c>
      <c r="J76" s="133"/>
      <c r="K76" s="133"/>
      <c r="L76" s="133"/>
      <c r="M76" s="134"/>
      <c r="N76" s="137" t="s">
        <v>702</v>
      </c>
      <c r="O76" s="137"/>
      <c r="P76" s="137"/>
      <c r="Q76" s="136"/>
      <c r="R76" s="133"/>
      <c r="S76" s="133"/>
    </row>
    <row r="77" customFormat="false" ht="15" hidden="false" customHeight="true" outlineLevel="0" collapsed="false">
      <c r="I77" s="1" t="str">
        <f aca="false">IF($S$69=0,"","F")</f>
        <v/>
      </c>
      <c r="J77" s="133"/>
      <c r="K77" s="133"/>
      <c r="L77" s="133"/>
      <c r="M77" s="154"/>
      <c r="N77" s="155"/>
      <c r="O77" s="155"/>
      <c r="P77" s="155"/>
      <c r="Q77" s="156"/>
      <c r="R77" s="133"/>
      <c r="S77" s="133"/>
    </row>
    <row r="78" customFormat="false" ht="49.5" hidden="false" customHeight="true" outlineLevel="0" collapsed="false">
      <c r="I78" s="1" t="str">
        <f aca="false">IF($S$69=0,"","F")</f>
        <v/>
      </c>
      <c r="J78" s="139" t="str">
        <f aca="false"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3,5%.</v>
      </c>
      <c r="K78" s="139"/>
      <c r="L78" s="139"/>
      <c r="M78" s="139"/>
      <c r="N78" s="139"/>
      <c r="O78" s="139"/>
      <c r="P78" s="139"/>
      <c r="Q78" s="139"/>
      <c r="R78" s="139"/>
      <c r="S78" s="139"/>
    </row>
    <row r="79" customFormat="false" ht="12.75" hidden="false" customHeight="false" outlineLevel="0" collapsed="false">
      <c r="I79" s="1" t="str">
        <f aca="false">IF($S$69=0,"","F")</f>
        <v/>
      </c>
    </row>
    <row r="80" customFormat="false" ht="49.5" hidden="false" customHeight="true" outlineLevel="0" collapsed="false">
      <c r="I80" s="1" t="str">
        <f aca="false">IF($S$69=0,"","F")</f>
        <v/>
      </c>
      <c r="J80" s="139" t="str">
        <f aca="true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139"/>
      <c r="L80" s="139"/>
      <c r="M80" s="139"/>
      <c r="N80" s="139"/>
      <c r="O80" s="139"/>
      <c r="P80" s="139"/>
      <c r="Q80" s="139"/>
      <c r="R80" s="139"/>
      <c r="S80" s="139"/>
    </row>
    <row r="81" customFormat="false" ht="12.75" hidden="false" customHeight="false" outlineLevel="0" collapsed="false">
      <c r="I81" s="1" t="str">
        <f aca="false">IF($S$69=0,"","F")</f>
        <v/>
      </c>
    </row>
    <row r="82" customFormat="false" ht="12.75" hidden="false" customHeight="false" outlineLevel="0" collapsed="false">
      <c r="I82" s="1" t="str">
        <f aca="false">IF($S$69=0,"","F")</f>
        <v/>
      </c>
      <c r="J82" s="96" t="s">
        <v>704</v>
      </c>
    </row>
    <row r="83" customFormat="false" ht="99.75" hidden="false" customHeight="true" outlineLevel="0" collapsed="false">
      <c r="I83" s="1" t="str">
        <f aca="false">IF($S$69=0,"","F")</f>
        <v/>
      </c>
      <c r="J83" s="140"/>
      <c r="K83" s="140"/>
      <c r="L83" s="140"/>
      <c r="M83" s="140"/>
      <c r="N83" s="140"/>
      <c r="O83" s="140"/>
      <c r="P83" s="140"/>
      <c r="Q83" s="140"/>
      <c r="R83" s="140"/>
      <c r="S83" s="140"/>
    </row>
    <row r="84" customFormat="false" ht="12.75" hidden="false" customHeight="false" outlineLevel="0" collapsed="false">
      <c r="I84" s="1" t="str">
        <f aca="false">IF($S$69=0,"","F")</f>
        <v/>
      </c>
    </row>
    <row r="85" customFormat="false" ht="12.75" hidden="false" customHeight="false" outlineLevel="0" collapsed="false">
      <c r="I85" s="1" t="str">
        <f aca="false">IF($S$69=0,"","F")</f>
        <v/>
      </c>
      <c r="J85" s="141" t="str">
        <f aca="false">Import.Município</f>
        <v>CAÇÃPAVA DO SUL</v>
      </c>
      <c r="K85" s="141"/>
      <c r="L85" s="141"/>
      <c r="M85" s="141"/>
      <c r="P85" s="142" t="n">
        <f aca="false">DADOS!$C$25</f>
        <v>46087</v>
      </c>
      <c r="Q85" s="142"/>
      <c r="R85" s="142"/>
      <c r="S85" s="142"/>
    </row>
    <row r="86" customFormat="false" ht="12.75" hidden="false" customHeight="false" outlineLevel="0" collapsed="false">
      <c r="I86" s="1" t="str">
        <f aca="false">IF($S$69=0,"","F")</f>
        <v/>
      </c>
      <c r="J86" s="143" t="s">
        <v>709</v>
      </c>
      <c r="K86" s="143"/>
      <c r="L86" s="143"/>
      <c r="M86" s="143"/>
      <c r="O86" s="144"/>
      <c r="P86" s="145" t="s">
        <v>710</v>
      </c>
      <c r="Q86" s="146"/>
      <c r="R86" s="146"/>
      <c r="S86" s="146"/>
    </row>
    <row r="87" customFormat="false" ht="30" hidden="false" customHeight="true" outlineLevel="0" collapsed="false">
      <c r="I87" s="1" t="str">
        <f aca="false">IF($S$69=0,"","F")</f>
        <v/>
      </c>
    </row>
    <row r="88" customFormat="false" ht="15" hidden="false" customHeight="false" outlineLevel="0" collapsed="false">
      <c r="I88" s="1" t="str">
        <f aca="false">IF($S$69=0,"","F")</f>
        <v/>
      </c>
      <c r="J88" s="147"/>
      <c r="K88" s="147"/>
      <c r="L88" s="147"/>
      <c r="M88" s="147"/>
      <c r="N88" s="148"/>
    </row>
    <row r="89" customFormat="false" ht="12.75" hidden="false" customHeight="false" outlineLevel="0" collapsed="false">
      <c r="I89" s="1" t="str">
        <f aca="false">IF($S$69=0,"","F")</f>
        <v/>
      </c>
      <c r="J89" s="149" t="s">
        <v>712</v>
      </c>
      <c r="K89" s="149"/>
      <c r="L89" s="149"/>
      <c r="M89" s="149"/>
    </row>
    <row r="90" customFormat="false" ht="14.25" hidden="false" customHeight="false" outlineLevel="0" collapsed="false">
      <c r="I90" s="1" t="str">
        <f aca="false">IF($S$69=0,"","F")</f>
        <v/>
      </c>
      <c r="J90" s="150" t="s">
        <v>249</v>
      </c>
      <c r="K90" s="151" t="str">
        <f aca="false" t="array" ref="K90:K92">Import.RespOrçamento</f>
        <v>HELMESONA DE OLIVEIRA SANTANA</v>
      </c>
      <c r="L90" s="152"/>
      <c r="M90" s="152"/>
      <c r="N90" s="148"/>
    </row>
    <row r="91" customFormat="false" ht="14.25" hidden="false" customHeight="false" outlineLevel="0" collapsed="false">
      <c r="I91" s="1" t="str">
        <f aca="false">IF($S$69=0,"","F")</f>
        <v/>
      </c>
      <c r="J91" s="150" t="s">
        <v>253</v>
      </c>
      <c r="K91" s="151" t="str">
        <v>RS152843</v>
      </c>
      <c r="L91" s="152"/>
      <c r="M91" s="152"/>
      <c r="N91" s="148"/>
    </row>
    <row r="92" customFormat="false" ht="14.25" hidden="false" customHeight="false" outlineLevel="0" collapsed="false">
      <c r="I92" s="1" t="str">
        <f aca="false">IF($S$69=0,"","F")</f>
        <v/>
      </c>
      <c r="J92" s="150" t="s">
        <v>257</v>
      </c>
      <c r="K92" s="151" t="str">
        <v>8809670</v>
      </c>
      <c r="L92" s="152"/>
      <c r="M92" s="152"/>
      <c r="N92" s="148"/>
    </row>
    <row r="93" customFormat="false" ht="14.25" hidden="false" customHeight="false" outlineLevel="0" collapsed="false">
      <c r="I93" s="1" t="str">
        <f aca="false">IF($S$69=0,"","F")</f>
        <v/>
      </c>
      <c r="J93" s="150"/>
      <c r="K93" s="153"/>
      <c r="L93" s="152"/>
      <c r="M93" s="152"/>
      <c r="N93" s="148"/>
    </row>
    <row r="94" customFormat="false" ht="15.75" hidden="false" customHeight="false" outlineLevel="0" collapsed="false">
      <c r="I94" s="1" t="str">
        <f aca="false">IF($S$109=0,"","F")</f>
        <v/>
      </c>
      <c r="J94" s="115" t="s">
        <v>714</v>
      </c>
      <c r="K94" s="115"/>
      <c r="L94" s="115"/>
      <c r="M94" s="115"/>
      <c r="N94" s="115"/>
      <c r="O94" s="115"/>
      <c r="P94" s="115"/>
      <c r="Q94" s="115"/>
      <c r="R94" s="115"/>
      <c r="S94" s="115"/>
      <c r="U94" s="52" t="str">
        <f aca="false">IF(COUNTIF(ORÇAMENTO!$V$15:$V$40,BDI_3.Título)=0,"",IF(OR(Import.BDI.Tipo3="(SELECIONAR)",Import.BDI.Tipo3="",U97&lt;&gt;"",S101=0,S102=0,S103=0,S104=0,S105=0,S106=0),"Falta preencher o BDI 3",""))</f>
        <v/>
      </c>
    </row>
    <row r="95" customFormat="false" ht="12.75" hidden="false" customHeight="false" outlineLevel="0" collapsed="false">
      <c r="I95" s="1" t="str">
        <f aca="false">IF($S$109=0,"","F")</f>
        <v/>
      </c>
    </row>
    <row r="96" customFormat="false" ht="12.75" hidden="false" customHeight="false" outlineLevel="0" collapsed="false">
      <c r="I96" s="1" t="str">
        <f aca="false">IF($S$109=0,"","F")</f>
        <v/>
      </c>
      <c r="J96" s="103" t="s">
        <v>679</v>
      </c>
      <c r="K96" s="103"/>
      <c r="L96" s="103"/>
      <c r="M96" s="103"/>
      <c r="N96" s="103"/>
      <c r="O96" s="103"/>
      <c r="P96" s="103"/>
      <c r="Q96" s="103"/>
      <c r="R96" s="103"/>
      <c r="S96" s="103"/>
    </row>
    <row r="97" customFormat="false" ht="15" hidden="false" customHeight="false" outlineLevel="0" collapsed="false">
      <c r="I97" s="1" t="str">
        <f aca="false">IF($S$109=0,"","F")</f>
        <v/>
      </c>
      <c r="J97" s="116" t="s">
        <v>715</v>
      </c>
      <c r="K97" s="116"/>
      <c r="L97" s="116"/>
      <c r="M97" s="116"/>
      <c r="N97" s="116"/>
      <c r="O97" s="116"/>
      <c r="P97" s="116"/>
      <c r="Q97" s="116"/>
      <c r="R97" s="116"/>
      <c r="S97" s="116"/>
      <c r="T97" s="67" t="str">
        <f aca="false">IF(U97="","","◄")</f>
        <v/>
      </c>
      <c r="U97" s="63" t="str">
        <f aca="false">IF(AND(OR(S109&gt;0,COUNTIF(ORÇAMENTO!$V$15:$V$40,BDI_3.Título)&gt;0),OR(Import.BDI.Tipo3="(SELECIONAR)",Import.BDI.Tipo3="")),"Selecione o Tipo de obra","")</f>
        <v/>
      </c>
    </row>
    <row r="98" customFormat="false" ht="12.75" hidden="false" customHeight="false" outlineLevel="0" collapsed="false">
      <c r="I98" s="1" t="str">
        <f aca="false">IF($S$109=0,"","F")</f>
        <v/>
      </c>
    </row>
    <row r="99" customFormat="false" ht="12.75" hidden="false" customHeight="true" outlineLevel="0" collapsed="false">
      <c r="I99" s="1" t="str">
        <f aca="false">IF($S$109=0,"","F")</f>
        <v/>
      </c>
      <c r="J99" s="117" t="s">
        <v>680</v>
      </c>
      <c r="K99" s="117"/>
      <c r="L99" s="117"/>
      <c r="M99" s="117"/>
      <c r="N99" s="117"/>
      <c r="O99" s="117"/>
      <c r="P99" s="117"/>
      <c r="Q99" s="117"/>
      <c r="R99" s="117" t="s">
        <v>681</v>
      </c>
      <c r="S99" s="118" t="s">
        <v>682</v>
      </c>
      <c r="U99" s="118" t="s">
        <v>683</v>
      </c>
      <c r="V99" s="118"/>
      <c r="W99" s="118"/>
      <c r="X99" s="119" t="s">
        <v>684</v>
      </c>
      <c r="Y99" s="119" t="s">
        <v>685</v>
      </c>
      <c r="Z99" s="119" t="s">
        <v>686</v>
      </c>
    </row>
    <row r="100" customFormat="false" ht="12.75" hidden="false" customHeight="true" outlineLevel="0" collapsed="false">
      <c r="I100" s="1" t="str">
        <f aca="false">IF($S$109=0,"","F")</f>
        <v/>
      </c>
      <c r="J100" s="117"/>
      <c r="K100" s="117"/>
      <c r="L100" s="117"/>
      <c r="M100" s="117"/>
      <c r="N100" s="117"/>
      <c r="O100" s="117"/>
      <c r="P100" s="117"/>
      <c r="Q100" s="117"/>
      <c r="R100" s="117"/>
      <c r="S100" s="118"/>
      <c r="U100" s="118"/>
      <c r="V100" s="118"/>
      <c r="W100" s="118"/>
      <c r="X100" s="119"/>
      <c r="Y100" s="119"/>
      <c r="Z100" s="119"/>
    </row>
    <row r="101" customFormat="false" ht="15" hidden="false" customHeight="true" outlineLevel="0" collapsed="false">
      <c r="I101" s="1" t="str">
        <f aca="false">IF($S$109=0,"","F")</f>
        <v/>
      </c>
      <c r="J101" s="120" t="str">
        <f aca="false">IF($J$17=$A$146,"Encargos Sociais incidentes sobre a mão de obra","Administração Central")</f>
        <v>Administração Central</v>
      </c>
      <c r="K101" s="120"/>
      <c r="L101" s="120"/>
      <c r="M101" s="120"/>
      <c r="N101" s="120"/>
      <c r="O101" s="120"/>
      <c r="P101" s="120"/>
      <c r="Q101" s="120"/>
      <c r="R101" s="121" t="str">
        <f aca="false">IF($J97=$A$146,"K1","AC")</f>
        <v>AC</v>
      </c>
      <c r="S101" s="122"/>
      <c r="T101" s="123" t="str">
        <f aca="false">IF(AND($U$14&lt;&gt;"",S101=""),"◄","")</f>
        <v/>
      </c>
      <c r="U101" s="124" t="str">
        <f aca="false">IFERROR(IF(AND(S101&gt;=X101,S101&lt;=Z101),"OK","FORA DO INTERVALO"),"-")</f>
        <v>-</v>
      </c>
      <c r="V101" s="124"/>
      <c r="W101" s="124"/>
      <c r="X101" s="125" t="n">
        <f aca="false">VLOOKUP(CONCATENATE(J97,"-",R101),$C$2:$G$136,3,FALSE())</f>
        <v>0</v>
      </c>
      <c r="Y101" s="125" t="n">
        <f aca="false">VLOOKUP(CONCATENATE(J97,"-",R101),$C$2:$G$136,4,FALSE())</f>
        <v>0</v>
      </c>
      <c r="Z101" s="125" t="n">
        <f aca="false">VLOOKUP(CONCATENATE(J97,"-",R101),$C$2:$G$136,5,FALSE())</f>
        <v>0</v>
      </c>
    </row>
    <row r="102" customFormat="false" ht="15" hidden="false" customHeight="true" outlineLevel="0" collapsed="false">
      <c r="I102" s="1" t="str">
        <f aca="false">IF($S$109=0,"","F")</f>
        <v/>
      </c>
      <c r="J102" s="120" t="str">
        <f aca="false">IF($J$17=$A$146,"Administração Central da empresa ou consultoria - overhead","Seguro e Garantia")</f>
        <v>Seguro e Garantia</v>
      </c>
      <c r="K102" s="120"/>
      <c r="L102" s="120"/>
      <c r="M102" s="120"/>
      <c r="N102" s="120"/>
      <c r="O102" s="120"/>
      <c r="P102" s="120"/>
      <c r="Q102" s="120"/>
      <c r="R102" s="121" t="str">
        <f aca="false">IF($J97=$A$146,"K2","SG")</f>
        <v>SG</v>
      </c>
      <c r="S102" s="122"/>
      <c r="T102" s="123" t="str">
        <f aca="false">IF(AND($U$14&lt;&gt;"",S102=""),"◄","")</f>
        <v/>
      </c>
      <c r="U102" s="124" t="str">
        <f aca="false">IFERROR(IF(AND(S102&gt;=X102,S102&lt;=Z102),"OK","FORA DO INTERVALO"),"-")</f>
        <v>-</v>
      </c>
      <c r="V102" s="124"/>
      <c r="W102" s="124"/>
      <c r="X102" s="125" t="n">
        <f aca="false">VLOOKUP(CONCATENATE(J97,"-",R102),$C$2:$G$136,3,FALSE())</f>
        <v>0</v>
      </c>
      <c r="Y102" s="125" t="n">
        <f aca="false">VLOOKUP(CONCATENATE(J97,"-",R102),$C$2:$G$136,4,FALSE())</f>
        <v>0</v>
      </c>
      <c r="Z102" s="125" t="n">
        <f aca="false">VLOOKUP(CONCATENATE(J97,"-",R102),$C$2:$G$136,5,FALSE())</f>
        <v>0</v>
      </c>
    </row>
    <row r="103" customFormat="false" ht="15" hidden="false" customHeight="true" outlineLevel="0" collapsed="false">
      <c r="I103" s="1" t="str">
        <f aca="false">IF($S$109=0,"","F")</f>
        <v/>
      </c>
      <c r="J103" s="120" t="str">
        <f aca="false">IF($J$17=$A$146,"","Risco")</f>
        <v>Risco</v>
      </c>
      <c r="K103" s="120"/>
      <c r="L103" s="120"/>
      <c r="M103" s="120"/>
      <c r="N103" s="120"/>
      <c r="O103" s="120"/>
      <c r="P103" s="120"/>
      <c r="Q103" s="120"/>
      <c r="R103" s="121" t="str">
        <f aca="false">IF($J97=$A$146,"","R")</f>
        <v>R</v>
      </c>
      <c r="S103" s="122"/>
      <c r="T103" s="123" t="str">
        <f aca="false">IF(AND($U$14&lt;&gt;"",S103=""),"◄","")</f>
        <v/>
      </c>
      <c r="U103" s="124" t="str">
        <f aca="false">IFERROR(IF(AND(S103&gt;=X103,S103&lt;=Z103),"OK","FORA DO INTERVALO"),"-")</f>
        <v>-</v>
      </c>
      <c r="V103" s="124"/>
      <c r="W103" s="124"/>
      <c r="X103" s="125" t="n">
        <f aca="false">VLOOKUP(CONCATENATE(J97,"-",R103),$C$2:$G$136,3,FALSE())</f>
        <v>0</v>
      </c>
      <c r="Y103" s="125" t="n">
        <f aca="false">VLOOKUP(CONCATENATE(J97,"-",R103),$C$2:$G$136,4,FALSE())</f>
        <v>0</v>
      </c>
      <c r="Z103" s="125" t="n">
        <f aca="false">VLOOKUP(CONCATENATE(J97,"-",R103),$C$2:$G$136,5,FALSE())</f>
        <v>0</v>
      </c>
    </row>
    <row r="104" customFormat="false" ht="15" hidden="false" customHeight="true" outlineLevel="0" collapsed="false">
      <c r="I104" s="1" t="str">
        <f aca="false">IF($S$109=0,"","F")</f>
        <v/>
      </c>
      <c r="J104" s="120" t="str">
        <f aca="false">IF($J$17=$A$146,"","Despesas Financeiras")</f>
        <v>Despesas Financeiras</v>
      </c>
      <c r="K104" s="120"/>
      <c r="L104" s="120"/>
      <c r="M104" s="120"/>
      <c r="N104" s="120"/>
      <c r="O104" s="120"/>
      <c r="P104" s="120"/>
      <c r="Q104" s="120"/>
      <c r="R104" s="121" t="str">
        <f aca="false">IF($J97=$A$146,"","DF")</f>
        <v>DF</v>
      </c>
      <c r="S104" s="122"/>
      <c r="T104" s="123" t="str">
        <f aca="false">IF(AND($U$14&lt;&gt;"",S104=""),"◄","")</f>
        <v/>
      </c>
      <c r="U104" s="124" t="str">
        <f aca="false">IFERROR(IF(AND(S104&gt;=X104,S104&lt;=Z104),"OK","FORA DO INTERVALO"),"-")</f>
        <v>-</v>
      </c>
      <c r="V104" s="124"/>
      <c r="W104" s="124"/>
      <c r="X104" s="125" t="n">
        <f aca="false">VLOOKUP(CONCATENATE(J97,"-",R104),$C$2:$G$136,3,FALSE())</f>
        <v>0</v>
      </c>
      <c r="Y104" s="125" t="n">
        <f aca="false">VLOOKUP(CONCATENATE(J97,"-",R104),$C$2:$G$136,4,FALSE())</f>
        <v>0</v>
      </c>
      <c r="Z104" s="125" t="n">
        <f aca="false">VLOOKUP(CONCATENATE(J97,"-",R104),$C$2:$G$136,5,FALSE())</f>
        <v>0</v>
      </c>
    </row>
    <row r="105" customFormat="false" ht="15" hidden="false" customHeight="true" outlineLevel="0" collapsed="false">
      <c r="I105" s="1" t="str">
        <f aca="false">IF($S$109=0,"","F")</f>
        <v/>
      </c>
      <c r="J105" s="120" t="str">
        <f aca="false">IF($J$17=$A$146,"Margem bruta da empresa de consultoria","Lucro")</f>
        <v>Lucro</v>
      </c>
      <c r="K105" s="120"/>
      <c r="L105" s="120"/>
      <c r="M105" s="120"/>
      <c r="N105" s="120"/>
      <c r="O105" s="120"/>
      <c r="P105" s="120"/>
      <c r="Q105" s="120"/>
      <c r="R105" s="121" t="str">
        <f aca="false">IF($J97=$A$146,"K3","L")</f>
        <v>L</v>
      </c>
      <c r="S105" s="122"/>
      <c r="T105" s="123" t="str">
        <f aca="false">IF(AND($U$14&lt;&gt;"",S105=""),"◄","")</f>
        <v/>
      </c>
      <c r="U105" s="124" t="str">
        <f aca="false">IFERROR(IF(AND(S105&gt;=X105,S105&lt;=Z105),"OK","FORA DO INTERVALO"),"-")</f>
        <v>-</v>
      </c>
      <c r="V105" s="124"/>
      <c r="W105" s="124"/>
      <c r="X105" s="125" t="n">
        <f aca="false">VLOOKUP(CONCATENATE(J97,"-",R105),$C$2:$G$136,3,FALSE())</f>
        <v>0</v>
      </c>
      <c r="Y105" s="125" t="n">
        <f aca="false">VLOOKUP(CONCATENATE(J97,"-",R105),$C$2:$G$136,4,FALSE())</f>
        <v>0</v>
      </c>
      <c r="Z105" s="125" t="n">
        <f aca="false">VLOOKUP(CONCATENATE(J97,"-",R105),$C$2:$G$136,5,FALSE())</f>
        <v>0</v>
      </c>
    </row>
    <row r="106" customFormat="false" ht="15" hidden="false" customHeight="true" outlineLevel="0" collapsed="false">
      <c r="I106" s="1" t="str">
        <f aca="false">IF($S$109=0,"","F")</f>
        <v/>
      </c>
      <c r="J106" s="120" t="s">
        <v>689</v>
      </c>
      <c r="K106" s="120"/>
      <c r="L106" s="120"/>
      <c r="M106" s="120"/>
      <c r="N106" s="120"/>
      <c r="O106" s="120"/>
      <c r="P106" s="120"/>
      <c r="Q106" s="120"/>
      <c r="R106" s="121" t="s">
        <v>471</v>
      </c>
      <c r="S106" s="122"/>
      <c r="T106" s="123" t="str">
        <f aca="false">IF(AND($U$14&lt;&gt;"",S106=""),"◄","")</f>
        <v/>
      </c>
      <c r="U106" s="124" t="str">
        <f aca="false">IFERROR(IF(AND(S106&gt;=X106,S106&lt;=Z106),"OK","FORA DO INTERVALO"),"-")</f>
        <v>FORA DO INTERVALO</v>
      </c>
      <c r="V106" s="124"/>
      <c r="W106" s="124"/>
      <c r="X106" s="125" t="n">
        <v>0.0365</v>
      </c>
      <c r="Y106" s="125" t="n">
        <v>0.0365</v>
      </c>
      <c r="Z106" s="125" t="n">
        <v>0.0365</v>
      </c>
    </row>
    <row r="107" customFormat="false" ht="15" hidden="false" customHeight="true" outlineLevel="0" collapsed="false">
      <c r="I107" s="1" t="str">
        <f aca="false">IF($S$109=0,"","F")</f>
        <v/>
      </c>
      <c r="J107" s="120" t="s">
        <v>690</v>
      </c>
      <c r="K107" s="120"/>
      <c r="L107" s="120"/>
      <c r="M107" s="120"/>
      <c r="N107" s="120"/>
      <c r="O107" s="120"/>
      <c r="P107" s="120"/>
      <c r="Q107" s="120"/>
      <c r="R107" s="121" t="s">
        <v>691</v>
      </c>
      <c r="S107" s="125" t="n">
        <f aca="true">IF(AND($J97&lt;&gt;$A$145,COUNTA(OFFSET(S100,1,0,6))&gt;0),$R$11*$R$10,0)</f>
        <v>0</v>
      </c>
      <c r="U107" s="124" t="str">
        <f aca="false">IFERROR(IF(AND(S107&gt;=X107,S107&lt;=Z107),"OK","FORA DO INTERVALO"),"-")</f>
        <v>OK</v>
      </c>
      <c r="V107" s="124"/>
      <c r="W107" s="124"/>
      <c r="X107" s="125" t="n">
        <v>0</v>
      </c>
      <c r="Y107" s="125" t="n">
        <v>0.025</v>
      </c>
      <c r="Z107" s="125" t="n">
        <v>0.05</v>
      </c>
    </row>
    <row r="108" customFormat="false" ht="15" hidden="false" customHeight="true" outlineLevel="0" collapsed="false">
      <c r="I108" s="1" t="str">
        <f aca="false">IF($S$109=0,"","F")</f>
        <v/>
      </c>
      <c r="J108" s="120" t="s">
        <v>692</v>
      </c>
      <c r="K108" s="120"/>
      <c r="L108" s="120"/>
      <c r="M108" s="120"/>
      <c r="N108" s="120"/>
      <c r="O108" s="120"/>
      <c r="P108" s="120"/>
      <c r="Q108" s="120"/>
      <c r="R108" s="121" t="s">
        <v>693</v>
      </c>
      <c r="S108" s="125" t="n">
        <f aca="true" t="array" ref="S108:S108">IF(BDI.Opcao&lt;&gt;"Desonerado",0,IF(AND($J97&lt;&gt;$A$145,COUNTA(OFFSET(S100,1,0,6))&gt;0),IF(YEAR(Import.DataBase)&lt;2025,4.5%,IF(YEAR(Import.DataBase)=2025,3.6%,IF(YEAR(Import.DataBase)=2026,2.7%,IF(YEAR(Import.DataBase)=2027,1.8%,0%)))),0%))</f>
        <v>0</v>
      </c>
      <c r="U108" s="124" t="s">
        <v>694</v>
      </c>
      <c r="V108" s="124"/>
      <c r="W108" s="124"/>
      <c r="X108" s="126" t="n">
        <f aca="false">$S108</f>
        <v>0</v>
      </c>
      <c r="Y108" s="126" t="n">
        <f aca="false">$S108</f>
        <v>0</v>
      </c>
      <c r="Z108" s="126" t="n">
        <f aca="false">$S108</f>
        <v>0</v>
      </c>
    </row>
    <row r="109" customFormat="false" ht="15" hidden="false" customHeight="true" outlineLevel="0" collapsed="false">
      <c r="I109" s="1" t="str">
        <f aca="false">IF($S$109=0,"","F")</f>
        <v/>
      </c>
      <c r="J109" s="120" t="s">
        <v>695</v>
      </c>
      <c r="K109" s="120"/>
      <c r="L109" s="120"/>
      <c r="M109" s="120"/>
      <c r="N109" s="120"/>
      <c r="O109" s="120"/>
      <c r="P109" s="120"/>
      <c r="Q109" s="120"/>
      <c r="R109" s="127" t="s">
        <v>671</v>
      </c>
      <c r="S109" s="125" t="n">
        <f aca="false">IF($J97=$A$145,0,ROUND((((1+S101+S102+S103)*(1+S104)*(1+S105)/(1-(S106+S107)))-1),4))</f>
        <v>0</v>
      </c>
      <c r="U109" s="118" t="str">
        <f aca="false">IFERROR(IF(OR($J$17=$A$146,$J$17=$A$145,AND(S109&gt;=X109,S109&lt;=Z109)),"OK","FORA DO INTERVALO"),IF(S109=0,"OK","Selecione o Tipo de obra"))</f>
        <v>OK</v>
      </c>
      <c r="V109" s="118"/>
      <c r="W109" s="118"/>
      <c r="X109" s="125" t="n">
        <f aca="false">IF($J97=$A$145,0,VLOOKUP(CONCATENATE($J97,"-",$R109),$C$2:$G$136,3,FALSE()))</f>
        <v>0</v>
      </c>
      <c r="Y109" s="125" t="n">
        <f aca="false">IF($J97=$A$145,0,VLOOKUP(CONCATENATE($J97,"-",$R109),$C$2:$G$136,4,FALSE()))</f>
        <v>0</v>
      </c>
      <c r="Z109" s="125" t="n">
        <f aca="false">IF($J97=$A$145,0,VLOOKUP(CONCATENATE($J97,"-",$R109),$C$2:$G$136,5,FALSE()))</f>
        <v>0</v>
      </c>
    </row>
    <row r="110" customFormat="false" ht="15" hidden="false" customHeight="true" outlineLevel="0" collapsed="false">
      <c r="I110" s="1" t="str">
        <f aca="false">IF($S$109=0,"","F")</f>
        <v/>
      </c>
      <c r="J110" s="128" t="s">
        <v>696</v>
      </c>
      <c r="K110" s="128"/>
      <c r="L110" s="128"/>
      <c r="M110" s="128"/>
      <c r="N110" s="128"/>
      <c r="O110" s="128"/>
      <c r="P110" s="128"/>
      <c r="Q110" s="128"/>
      <c r="R110" s="128" t="s">
        <v>697</v>
      </c>
      <c r="S110" s="129" t="n">
        <f aca="false">IF($J97=$A$145,0,ROUND((((1+S101+S102+S103)*(1+S104)*(1+S105)/(1-(S106+S107+S108)))-1),4))</f>
        <v>0</v>
      </c>
    </row>
    <row r="111" customFormat="false" ht="15" hidden="false" customHeight="true" outlineLevel="0" collapsed="false">
      <c r="I111" s="1" t="str">
        <f aca="false">IF($S$109=0,"","F")</f>
        <v/>
      </c>
    </row>
    <row r="112" customFormat="false" ht="15.75" hidden="false" customHeight="false" outlineLevel="0" collapsed="false">
      <c r="I112" s="1" t="str">
        <f aca="false">IF($S$109=0,"","F")</f>
        <v/>
      </c>
      <c r="J112" s="130" t="str">
        <f aca="false">IF(U109&lt;&gt;"ok","X","")</f>
        <v/>
      </c>
      <c r="K112" s="131" t="str">
        <f aca="false">IF(U109&lt;&gt;"ok","Anexo: Relatório Técnico Circunstanciado justificando a adoção do percentual de cada parcela do BDI.","")</f>
        <v/>
      </c>
      <c r="L112" s="131"/>
      <c r="M112" s="131"/>
      <c r="N112" s="131"/>
      <c r="O112" s="131"/>
      <c r="P112" s="131"/>
      <c r="Q112" s="131"/>
      <c r="R112" s="131"/>
      <c r="S112" s="131"/>
    </row>
    <row r="113" customFormat="false" ht="12.75" hidden="false" customHeight="false" outlineLevel="0" collapsed="false">
      <c r="I113" s="1" t="str">
        <f aca="false">IF($S$109=0,"","F")</f>
        <v/>
      </c>
    </row>
    <row r="114" customFormat="false" ht="12.75" hidden="false" customHeight="false" outlineLevel="0" collapsed="false">
      <c r="I114" s="1" t="str">
        <f aca="false">IF($S$109=0,"","F")</f>
        <v/>
      </c>
      <c r="J114" s="132" t="s">
        <v>699</v>
      </c>
      <c r="K114" s="132"/>
      <c r="L114" s="132"/>
      <c r="M114" s="132"/>
      <c r="N114" s="132"/>
      <c r="O114" s="132"/>
      <c r="P114" s="132"/>
      <c r="Q114" s="132"/>
      <c r="R114" s="132"/>
      <c r="S114" s="132"/>
    </row>
    <row r="115" customFormat="false" ht="15.75" hidden="false" customHeight="false" outlineLevel="0" collapsed="false">
      <c r="I115" s="1" t="str">
        <f aca="false">IF($S$109=0,"","F")</f>
        <v/>
      </c>
      <c r="J115" s="133"/>
      <c r="K115" s="133"/>
      <c r="L115" s="133"/>
      <c r="M115" s="134" t="s">
        <v>700</v>
      </c>
      <c r="N115" s="135" t="str">
        <f aca="false">IF($J97=$A$146,"(1+K1+K2)*(1+K3)","(1+AC + S + R + G)*(1 + DF)*(1+L)")</f>
        <v>(1+AC + S + R + G)*(1 + DF)*(1+L)</v>
      </c>
      <c r="O115" s="135"/>
      <c r="P115" s="135"/>
      <c r="Q115" s="136" t="s">
        <v>701</v>
      </c>
      <c r="R115" s="133"/>
      <c r="S115" s="133"/>
    </row>
    <row r="116" customFormat="false" ht="15.75" hidden="false" customHeight="false" outlineLevel="0" collapsed="false">
      <c r="I116" s="1" t="str">
        <f aca="false">IF($S$109=0,"","F")</f>
        <v/>
      </c>
      <c r="J116" s="133"/>
      <c r="K116" s="133"/>
      <c r="L116" s="133"/>
      <c r="M116" s="134"/>
      <c r="N116" s="137" t="s">
        <v>702</v>
      </c>
      <c r="O116" s="137"/>
      <c r="P116" s="137"/>
      <c r="Q116" s="136"/>
      <c r="R116" s="133"/>
      <c r="S116" s="133"/>
    </row>
    <row r="117" customFormat="false" ht="15" hidden="false" customHeight="true" outlineLevel="0" collapsed="false">
      <c r="I117" s="1" t="str">
        <f aca="false">IF($S$109=0,"","F")</f>
        <v/>
      </c>
      <c r="J117" s="133"/>
      <c r="K117" s="133"/>
      <c r="L117" s="133"/>
      <c r="M117" s="154"/>
      <c r="N117" s="155"/>
      <c r="O117" s="155"/>
      <c r="P117" s="155"/>
      <c r="Q117" s="156"/>
      <c r="R117" s="133"/>
      <c r="S117" s="133"/>
    </row>
    <row r="118" customFormat="false" ht="49.5" hidden="false" customHeight="true" outlineLevel="0" collapsed="false">
      <c r="I118" s="1" t="str">
        <f aca="false">IF($S$109=0,"","F")</f>
        <v/>
      </c>
      <c r="J118" s="139" t="str">
        <f aca="false"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3,5%.</v>
      </c>
      <c r="K118" s="139"/>
      <c r="L118" s="139"/>
      <c r="M118" s="139"/>
      <c r="N118" s="139"/>
      <c r="O118" s="139"/>
      <c r="P118" s="139"/>
      <c r="Q118" s="139"/>
      <c r="R118" s="139"/>
      <c r="S118" s="139"/>
    </row>
    <row r="119" customFormat="false" ht="12.75" hidden="false" customHeight="false" outlineLevel="0" collapsed="false">
      <c r="I119" s="1" t="str">
        <f aca="false">IF($S$109=0,"","F")</f>
        <v/>
      </c>
    </row>
    <row r="120" customFormat="false" ht="49.5" hidden="false" customHeight="true" outlineLevel="0" collapsed="false">
      <c r="I120" s="1" t="str">
        <f aca="false">IF($S$109=0,"","F")</f>
        <v/>
      </c>
      <c r="J120" s="139" t="str">
        <f aca="true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139"/>
      <c r="L120" s="139"/>
      <c r="M120" s="139"/>
      <c r="N120" s="139"/>
      <c r="O120" s="139"/>
      <c r="P120" s="139"/>
      <c r="Q120" s="139"/>
      <c r="R120" s="139"/>
      <c r="S120" s="139"/>
    </row>
    <row r="121" customFormat="false" ht="12.75" hidden="false" customHeight="false" outlineLevel="0" collapsed="false">
      <c r="I121" s="1" t="str">
        <f aca="false">IF($S$109=0,"","F")</f>
        <v/>
      </c>
    </row>
    <row r="122" customFormat="false" ht="12.75" hidden="false" customHeight="false" outlineLevel="0" collapsed="false">
      <c r="I122" s="1" t="str">
        <f aca="false">IF($S$109=0,"","F")</f>
        <v/>
      </c>
      <c r="J122" s="96" t="s">
        <v>704</v>
      </c>
    </row>
    <row r="123" customFormat="false" ht="109.5" hidden="false" customHeight="true" outlineLevel="0" collapsed="false">
      <c r="I123" s="1" t="str">
        <f aca="false">IF($S$109=0,"","F")</f>
        <v/>
      </c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</row>
    <row r="124" customFormat="false" ht="12.75" hidden="false" customHeight="false" outlineLevel="0" collapsed="false">
      <c r="I124" s="1" t="str">
        <f aca="false">IF($S$109=0,"","F")</f>
        <v/>
      </c>
    </row>
    <row r="125" customFormat="false" ht="12.75" hidden="false" customHeight="false" outlineLevel="0" collapsed="false">
      <c r="I125" s="1" t="str">
        <f aca="false">IF($S$109=0,"","F")</f>
        <v/>
      </c>
      <c r="J125" s="141" t="str">
        <f aca="false">Import.Município</f>
        <v>CAÇÃPAVA DO SUL</v>
      </c>
      <c r="K125" s="141"/>
      <c r="L125" s="141"/>
      <c r="M125" s="141"/>
      <c r="P125" s="142" t="n">
        <f aca="false">DADOS!$C$25</f>
        <v>46087</v>
      </c>
      <c r="Q125" s="142"/>
      <c r="R125" s="142"/>
      <c r="S125" s="142"/>
    </row>
    <row r="126" customFormat="false" ht="12.75" hidden="false" customHeight="false" outlineLevel="0" collapsed="false">
      <c r="I126" s="1" t="str">
        <f aca="false">IF($S$109=0,"","F")</f>
        <v/>
      </c>
      <c r="J126" s="143" t="s">
        <v>709</v>
      </c>
      <c r="K126" s="143"/>
      <c r="L126" s="143"/>
      <c r="M126" s="143"/>
      <c r="O126" s="144"/>
      <c r="P126" s="145" t="s">
        <v>710</v>
      </c>
      <c r="Q126" s="146"/>
      <c r="R126" s="146"/>
      <c r="S126" s="146"/>
    </row>
    <row r="127" customFormat="false" ht="30" hidden="false" customHeight="true" outlineLevel="0" collapsed="false">
      <c r="I127" s="1" t="str">
        <f aca="false">IF($S$109=0,"","F")</f>
        <v/>
      </c>
    </row>
    <row r="128" customFormat="false" ht="15" hidden="false" customHeight="false" outlineLevel="0" collapsed="false">
      <c r="I128" s="1" t="str">
        <f aca="false">IF($S$109=0,"","F")</f>
        <v/>
      </c>
      <c r="J128" s="147"/>
      <c r="K128" s="147"/>
      <c r="L128" s="147"/>
      <c r="M128" s="147"/>
      <c r="N128" s="148"/>
    </row>
    <row r="129" customFormat="false" ht="12.75" hidden="false" customHeight="false" outlineLevel="0" collapsed="false">
      <c r="I129" s="1" t="str">
        <f aca="false">IF($S$109=0,"","F")</f>
        <v/>
      </c>
      <c r="J129" s="149" t="s">
        <v>712</v>
      </c>
      <c r="K129" s="149"/>
      <c r="L129" s="149"/>
      <c r="M129" s="149"/>
    </row>
    <row r="130" customFormat="false" ht="14.25" hidden="false" customHeight="false" outlineLevel="0" collapsed="false">
      <c r="I130" s="1" t="str">
        <f aca="false">IF($S$109=0,"","F")</f>
        <v/>
      </c>
      <c r="J130" s="150" t="s">
        <v>249</v>
      </c>
      <c r="K130" s="151" t="str">
        <f aca="false" t="array" ref="K130:K132">Import.RespOrçamento</f>
        <v>HELMESONA DE OLIVEIRA SANTANA</v>
      </c>
      <c r="L130" s="152"/>
      <c r="M130" s="152"/>
      <c r="N130" s="148"/>
    </row>
    <row r="131" customFormat="false" ht="14.25" hidden="false" customHeight="false" outlineLevel="0" collapsed="false">
      <c r="I131" s="1" t="str">
        <f aca="false">IF($S$109=0,"","F")</f>
        <v/>
      </c>
      <c r="J131" s="150" t="s">
        <v>253</v>
      </c>
      <c r="K131" s="151" t="str">
        <v>RS152843</v>
      </c>
      <c r="L131" s="152"/>
      <c r="M131" s="152"/>
      <c r="N131" s="148"/>
    </row>
    <row r="132" customFormat="false" ht="14.25" hidden="false" customHeight="false" outlineLevel="0" collapsed="false">
      <c r="I132" s="1" t="str">
        <f aca="false">IF($S$109=0,"","F")</f>
        <v/>
      </c>
      <c r="J132" s="150" t="s">
        <v>257</v>
      </c>
      <c r="K132" s="151" t="str">
        <v>8809670</v>
      </c>
      <c r="L132" s="152"/>
      <c r="M132" s="152"/>
      <c r="N132" s="148"/>
    </row>
    <row r="138" customFormat="false" ht="12.75" hidden="false" customHeight="false" outlineLevel="0" collapsed="false">
      <c r="A138" s="96" t="s">
        <v>715</v>
      </c>
    </row>
    <row r="139" customFormat="false" ht="12.75" hidden="false" customHeight="false" outlineLevel="0" collapsed="false">
      <c r="A139" s="96" t="s">
        <v>660</v>
      </c>
    </row>
    <row r="140" customFormat="false" ht="12.75" hidden="false" customHeight="false" outlineLevel="0" collapsed="false">
      <c r="A140" s="96" t="s">
        <v>673</v>
      </c>
    </row>
    <row r="141" customFormat="false" ht="12.75" hidden="false" customHeight="false" outlineLevel="0" collapsed="false">
      <c r="A141" s="96" t="s">
        <v>677</v>
      </c>
    </row>
    <row r="142" customFormat="false" ht="12.75" hidden="false" customHeight="false" outlineLevel="0" collapsed="false">
      <c r="A142" s="96" t="s">
        <v>687</v>
      </c>
    </row>
    <row r="143" customFormat="false" ht="12.75" hidden="false" customHeight="false" outlineLevel="0" collapsed="false">
      <c r="A143" s="96" t="s">
        <v>688</v>
      </c>
    </row>
    <row r="144" customFormat="false" ht="12.75" hidden="false" customHeight="false" outlineLevel="0" collapsed="false">
      <c r="A144" s="96" t="s">
        <v>698</v>
      </c>
    </row>
    <row r="145" customFormat="false" ht="12.75" hidden="false" customHeight="false" outlineLevel="0" collapsed="false">
      <c r="A145" s="96" t="s">
        <v>703</v>
      </c>
    </row>
    <row r="146" customFormat="false" ht="12.75" hidden="false" customHeight="false" outlineLevel="0" collapsed="false">
      <c r="A146" s="96" t="s">
        <v>706</v>
      </c>
    </row>
  </sheetData>
  <sheetProtection sheet="true" password="bd1f" objects="true" scenarios="true" autoFilter="false"/>
  <autoFilter ref="I11:I132"/>
  <mergeCells count="144">
    <mergeCell ref="R1:S1"/>
    <mergeCell ref="R2:S2"/>
    <mergeCell ref="J4:K4"/>
    <mergeCell ref="L4:M4"/>
    <mergeCell ref="N4:S4"/>
    <mergeCell ref="J5:K5"/>
    <mergeCell ref="L5:M5"/>
    <mergeCell ref="N5:S5"/>
    <mergeCell ref="I6:I10"/>
    <mergeCell ref="J7:S7"/>
    <mergeCell ref="J8:S8"/>
    <mergeCell ref="J10:Q10"/>
    <mergeCell ref="R10:S10"/>
    <mergeCell ref="J11:Q11"/>
    <mergeCell ref="R11:S11"/>
    <mergeCell ref="J14:S14"/>
    <mergeCell ref="J16:S16"/>
    <mergeCell ref="J17:S17"/>
    <mergeCell ref="J19:Q20"/>
    <mergeCell ref="R19:R20"/>
    <mergeCell ref="S19:S20"/>
    <mergeCell ref="U19:W20"/>
    <mergeCell ref="X19:X20"/>
    <mergeCell ref="Y19:Y20"/>
    <mergeCell ref="Z19:Z20"/>
    <mergeCell ref="J21:Q21"/>
    <mergeCell ref="U21:W21"/>
    <mergeCell ref="J22:Q22"/>
    <mergeCell ref="U22:W22"/>
    <mergeCell ref="J23:Q23"/>
    <mergeCell ref="U23:W23"/>
    <mergeCell ref="J24:Q24"/>
    <mergeCell ref="U24:W24"/>
    <mergeCell ref="J25:Q25"/>
    <mergeCell ref="U25:W25"/>
    <mergeCell ref="J26:Q26"/>
    <mergeCell ref="U26:W26"/>
    <mergeCell ref="J27:Q27"/>
    <mergeCell ref="U27:W27"/>
    <mergeCell ref="J28:Q28"/>
    <mergeCell ref="U28:W28"/>
    <mergeCell ref="J29:Q29"/>
    <mergeCell ref="U29:W29"/>
    <mergeCell ref="J30:Q30"/>
    <mergeCell ref="K32:S32"/>
    <mergeCell ref="J34:S34"/>
    <mergeCell ref="M35:M36"/>
    <mergeCell ref="N35:P35"/>
    <mergeCell ref="Q35:Q36"/>
    <mergeCell ref="N36:P36"/>
    <mergeCell ref="J38:S38"/>
    <mergeCell ref="J40:S40"/>
    <mergeCell ref="J43:S43"/>
    <mergeCell ref="J45:M45"/>
    <mergeCell ref="P45:S45"/>
    <mergeCell ref="J46:M46"/>
    <mergeCell ref="J48:M48"/>
    <mergeCell ref="J49:M49"/>
    <mergeCell ref="J54:S54"/>
    <mergeCell ref="J56:S56"/>
    <mergeCell ref="J57:S57"/>
    <mergeCell ref="J59:Q60"/>
    <mergeCell ref="R59:R60"/>
    <mergeCell ref="S59:S60"/>
    <mergeCell ref="U59:W60"/>
    <mergeCell ref="X59:X60"/>
    <mergeCell ref="Y59:Y60"/>
    <mergeCell ref="Z59:Z60"/>
    <mergeCell ref="J61:Q61"/>
    <mergeCell ref="U61:W61"/>
    <mergeCell ref="J62:Q62"/>
    <mergeCell ref="U62:W62"/>
    <mergeCell ref="J63:Q63"/>
    <mergeCell ref="U63:W63"/>
    <mergeCell ref="J64:Q64"/>
    <mergeCell ref="U64:W64"/>
    <mergeCell ref="J65:Q65"/>
    <mergeCell ref="U65:W65"/>
    <mergeCell ref="J66:Q66"/>
    <mergeCell ref="U66:W66"/>
    <mergeCell ref="J67:Q67"/>
    <mergeCell ref="U67:W67"/>
    <mergeCell ref="J68:Q68"/>
    <mergeCell ref="U68:W68"/>
    <mergeCell ref="J69:Q69"/>
    <mergeCell ref="U69:W69"/>
    <mergeCell ref="J70:Q70"/>
    <mergeCell ref="K72:S72"/>
    <mergeCell ref="J74:S74"/>
    <mergeCell ref="M75:M76"/>
    <mergeCell ref="N75:P75"/>
    <mergeCell ref="Q75:Q76"/>
    <mergeCell ref="N76:P76"/>
    <mergeCell ref="J78:S78"/>
    <mergeCell ref="J80:S80"/>
    <mergeCell ref="J83:S83"/>
    <mergeCell ref="J85:M85"/>
    <mergeCell ref="P85:S85"/>
    <mergeCell ref="J86:M86"/>
    <mergeCell ref="J88:M88"/>
    <mergeCell ref="J89:M89"/>
    <mergeCell ref="J94:S94"/>
    <mergeCell ref="J96:S96"/>
    <mergeCell ref="J97:S97"/>
    <mergeCell ref="J99:Q100"/>
    <mergeCell ref="R99:R100"/>
    <mergeCell ref="S99:S100"/>
    <mergeCell ref="U99:W100"/>
    <mergeCell ref="X99:X100"/>
    <mergeCell ref="Y99:Y100"/>
    <mergeCell ref="Z99:Z100"/>
    <mergeCell ref="J101:Q101"/>
    <mergeCell ref="U101:W101"/>
    <mergeCell ref="J102:Q102"/>
    <mergeCell ref="U102:W102"/>
    <mergeCell ref="J103:Q103"/>
    <mergeCell ref="U103:W103"/>
    <mergeCell ref="J104:Q104"/>
    <mergeCell ref="U104:W104"/>
    <mergeCell ref="J105:Q105"/>
    <mergeCell ref="U105:W105"/>
    <mergeCell ref="J106:Q106"/>
    <mergeCell ref="U106:W106"/>
    <mergeCell ref="J107:Q107"/>
    <mergeCell ref="U107:W107"/>
    <mergeCell ref="J108:Q108"/>
    <mergeCell ref="U108:W108"/>
    <mergeCell ref="J109:Q109"/>
    <mergeCell ref="U109:W109"/>
    <mergeCell ref="J110:Q110"/>
    <mergeCell ref="K112:S112"/>
    <mergeCell ref="J114:S114"/>
    <mergeCell ref="M115:M116"/>
    <mergeCell ref="N115:P115"/>
    <mergeCell ref="Q115:Q116"/>
    <mergeCell ref="N116:P116"/>
    <mergeCell ref="J118:S118"/>
    <mergeCell ref="J120:S120"/>
    <mergeCell ref="J123:S123"/>
    <mergeCell ref="J125:M125"/>
    <mergeCell ref="P125:S125"/>
    <mergeCell ref="J126:M126"/>
    <mergeCell ref="J128:M128"/>
    <mergeCell ref="J129:M129"/>
  </mergeCells>
  <conditionalFormatting sqref="J30:S30 J70:S70 J110:S110">
    <cfRule type="expression" priority="2" aboveAverage="0" equalAverage="0" bottom="0" percent="0" rank="0" text="" dxfId="9">
      <formula>DESONERACAO="não"</formula>
    </cfRule>
  </conditionalFormatting>
  <conditionalFormatting sqref="U69:W69 U109:W109 U29:W29">
    <cfRule type="expression" priority="3" aboveAverage="0" equalAverage="0" bottom="0" percent="0" rank="0" text="" dxfId="10">
      <formula>AND(U29&lt;&gt;"OK",U29&lt;&gt;"-",U29&lt;&gt;"")</formula>
    </cfRule>
    <cfRule type="cellIs" priority="4" operator="equal" aboveAverage="0" equalAverage="0" bottom="0" percent="0" rank="0" text="" dxfId="11">
      <formula>"OK"</formula>
    </cfRule>
  </conditionalFormatting>
  <conditionalFormatting sqref="S29 S69 S109">
    <cfRule type="expression" priority="5" aboveAverage="0" equalAverage="0" bottom="0" percent="0" rank="0" text="" dxfId="12">
      <formula>DESONERACAO="não"</formula>
    </cfRule>
  </conditionalFormatting>
  <dataValidations count="6">
    <dataValidation allowBlank="true" error="Digite um valor entre 0% e 100%" errorStyle="stop" errorTitle="Erro de valores" operator="between" showDropDown="false" showErrorMessage="true" showInputMessage="false" sqref="S21:S26 S61:S66 S101:S106" type="decimal">
      <formula1>0</formula1>
      <formula2>1</formula2>
    </dataValidation>
    <dataValidation allowBlank="true" error="Digite um valor maior do que 0." errorStyle="stop" errorTitle="Erro de valores" operator="between" showDropDown="false" showErrorMessage="true" showInputMessage="false" sqref="S27 S67 S107" type="decimal">
      <formula1>0</formula1>
      <formula2>1</formula2>
    </dataValidation>
    <dataValidation allowBlank="true" error="Digite um valor igual a 0% ou 2%." errorStyle="stop" errorTitle="Erro de valores" operator="greaterThanOrEqual" showDropDown="false" showErrorMessage="true" showInputMessage="false" sqref="S28 S68 S108" type="none">
      <formula1>0</formula1>
      <formula2>0</formula2>
    </dataValidation>
    <dataValidation allowBlank="true" error="Digite um percentual entre 0% e 100%." errorStyle="stop" errorTitle="Valor não permitido" operator="greaterThanOrEqual" prompt="Normalmente entre 2 e 5%." promptTitle="Valores comuns:" showDropDown="false" showErrorMessage="true" showInputMessage="true" sqref="R11:S11" type="decimal">
      <formula1>0</formula1>
      <formula2>0</formula2>
    </dataValidation>
    <dataValidation allowBlank="true" error="Digite um percentual entre 0% e 100%." errorStyle="stop" errorTitle="Valor não permitido" operator="between" prompt="Insira valores entre 0 e 100%." promptTitle="Valores admissíveis:" showDropDown="false" showErrorMessage="true" showInputMessage="true" sqref="R10:S10" type="decimal">
      <formula1>0</formula1>
      <formula2>1</formula2>
    </dataValidation>
    <dataValidation allowBlank="true" errorStyle="stop" operator="between" showDropDown="false" showErrorMessage="true" showInputMessage="false" sqref="J17:S17 J57:S57 J97:S97" type="list">
      <formula1>BDI.TipoObra</formula1>
      <formula2>0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N57"/>
  <sheetViews>
    <sheetView showFormulas="false" showGridLines="false" showRowColHeaders="true" showZeros="true" rightToLeft="false" tabSelected="true" showOutlineSymbols="true" defaultGridColor="true" view="pageBreakPreview" topLeftCell="A1" colorId="64" zoomScale="85" zoomScaleNormal="85" zoomScalePageLayoutView="85" workbookViewId="0">
      <pane xSplit="19" ySplit="15" topLeftCell="X31" activePane="bottomRight" state="frozen"/>
      <selection pane="topLeft" activeCell="A1" activeCellId="0" sqref="A1"/>
      <selection pane="topRight" activeCell="X1" activeCellId="0" sqref="X1"/>
      <selection pane="bottomLeft" activeCell="A31" activeCellId="0" sqref="A31"/>
      <selection pane="bottomRight" activeCell="A1" activeCellId="0" sqref="A1"/>
    </sheetView>
  </sheetViews>
  <sheetFormatPr defaultColWidth="8.6796875" defaultRowHeight="12.75" zeroHeight="false" outlineLevelRow="0" outlineLevelCol="0"/>
  <cols>
    <col collapsed="false" customWidth="true" hidden="true" outlineLevel="0" max="1" min="1" style="1" width="5.57"/>
    <col collapsed="false" customWidth="true" hidden="true" outlineLevel="0" max="2" min="2" style="1" width="10.42"/>
    <col collapsed="false" customWidth="true" hidden="true" outlineLevel="0" max="3" min="3" style="1" width="5.57"/>
    <col collapsed="false" customWidth="true" hidden="true" outlineLevel="0" max="4" min="4" style="1" width="12.86"/>
    <col collapsed="false" customWidth="true" hidden="true" outlineLevel="0" max="5" min="5" style="1" width="8.57"/>
    <col collapsed="false" customWidth="true" hidden="true" outlineLevel="0" max="6" min="6" style="1" width="12.42"/>
    <col collapsed="false" customWidth="true" hidden="true" outlineLevel="0" max="7" min="7" style="1" width="14.57"/>
    <col collapsed="false" customWidth="true" hidden="true" outlineLevel="0" max="8" min="8" style="1" width="11.43"/>
    <col collapsed="false" customWidth="true" hidden="true" outlineLevel="0" max="9" min="9" style="1" width="13.42"/>
    <col collapsed="false" customWidth="true" hidden="true" outlineLevel="0" max="10" min="10" style="1" width="7.42"/>
    <col collapsed="false" customWidth="true" hidden="true" outlineLevel="0" max="11" min="11" style="1" width="7.57"/>
    <col collapsed="false" customWidth="true" hidden="false" outlineLevel="0" max="12" min="12" style="1" width="3.57"/>
    <col collapsed="false" customWidth="true" hidden="false" outlineLevel="0" max="14" min="13" style="1" width="8.57"/>
    <col collapsed="false" customWidth="true" hidden="false" outlineLevel="0" max="15" min="15" style="1" width="12.57"/>
    <col collapsed="false" customWidth="true" hidden="false" outlineLevel="0" max="17" min="16" style="1" width="15.57"/>
    <col collapsed="false" customWidth="true" hidden="false" outlineLevel="0" max="18" min="18" style="1" width="65.57"/>
    <col collapsed="false" customWidth="true" hidden="false" outlineLevel="0" max="19" min="19" style="1" width="10.57"/>
    <col collapsed="false" customWidth="true" hidden="false" outlineLevel="0" max="21" min="20" style="1" width="14.57"/>
    <col collapsed="false" customWidth="true" hidden="false" outlineLevel="0" max="22" min="22" style="1" width="10.57"/>
    <col collapsed="false" customWidth="true" hidden="false" outlineLevel="0" max="23" min="23" style="1" width="14.57"/>
    <col collapsed="false" customWidth="true" hidden="false" outlineLevel="0" max="24" min="24" style="1" width="15.57"/>
    <col collapsed="false" customWidth="true" hidden="false" outlineLevel="0" max="25" min="25" style="1" width="3.57"/>
    <col collapsed="false" customWidth="true" hidden="true" outlineLevel="0" max="26" min="26" style="1" width="3.57"/>
    <col collapsed="false" customWidth="true" hidden="true" outlineLevel="0" max="28" min="27" style="1" width="14.57"/>
    <col collapsed="false" customWidth="true" hidden="false" outlineLevel="0" max="29" min="29" style="1" width="15.57"/>
    <col collapsed="false" customWidth="true" hidden="true" outlineLevel="0" max="31" min="30" style="1" width="9.14"/>
    <col collapsed="false" customWidth="true" hidden="true" outlineLevel="0" max="32" min="32" style="1" width="15.57"/>
    <col collapsed="false" customWidth="true" hidden="false" outlineLevel="0" max="33" min="33" style="1" width="15.57"/>
    <col collapsed="false" customWidth="true" hidden="false" outlineLevel="0" max="35" min="35" style="1" width="1.57"/>
    <col collapsed="false" customWidth="true" hidden="false" outlineLevel="0" max="36" min="36" style="1" width="14.57"/>
    <col collapsed="false" customWidth="true" hidden="false" outlineLevel="0" max="37" min="37" style="1" width="1.57"/>
    <col collapsed="false" customWidth="true" hidden="false" outlineLevel="0" max="38" min="38" style="1" width="14.57"/>
    <col collapsed="false" customWidth="true" hidden="false" outlineLevel="0" max="40" min="39" style="1" width="15.57"/>
  </cols>
  <sheetData>
    <row r="1" customFormat="false" ht="18" hidden="false" customHeight="false" outlineLevel="0" collapsed="false">
      <c r="M1" s="157"/>
      <c r="N1" s="157"/>
      <c r="R1" s="158" t="s">
        <v>716</v>
      </c>
      <c r="T1" s="158"/>
      <c r="X1" s="99" t="s">
        <v>659</v>
      </c>
      <c r="Y1" s="49"/>
      <c r="Z1" s="49"/>
      <c r="AA1" s="49"/>
      <c r="AB1" s="49"/>
    </row>
    <row r="2" customFormat="false" ht="15" hidden="false" customHeight="false" outlineLevel="0" collapsed="false">
      <c r="D2" s="1" t="s">
        <v>717</v>
      </c>
      <c r="E2" s="1" t="s">
        <v>718</v>
      </c>
      <c r="F2" s="1" t="s">
        <v>719</v>
      </c>
      <c r="G2" s="1" t="s">
        <v>720</v>
      </c>
      <c r="H2" s="1" t="s">
        <v>721</v>
      </c>
      <c r="I2" s="1" t="s">
        <v>722</v>
      </c>
      <c r="R2" s="159" t="str">
        <f aca="false" t="array" ref="R2:R2">IF(TIPOORCAMENTO="licitado","Orçamento Licitado","Orçamento Base para Licitação")&amp;" - "&amp;import.recurso</f>
        <v>Orçamento Base para Licitação - OGU</v>
      </c>
      <c r="X2" s="59" t="s">
        <v>662</v>
      </c>
      <c r="Y2" s="61"/>
      <c r="Z2" s="61"/>
      <c r="AA2" s="61"/>
      <c r="AB2" s="61"/>
    </row>
    <row r="3" customFormat="false" ht="12.75" hidden="false" customHeight="false" outlineLevel="0" collapsed="false">
      <c r="H3" s="160"/>
      <c r="R3" s="16"/>
    </row>
    <row r="4" customFormat="false" ht="12.75" hidden="false" customHeight="false" outlineLevel="0" collapsed="false">
      <c r="A4" s="1" t="s">
        <v>723</v>
      </c>
      <c r="F4" s="1" t="s">
        <v>678</v>
      </c>
      <c r="G4" s="1" t="s">
        <v>713</v>
      </c>
      <c r="H4" s="1" t="s">
        <v>714</v>
      </c>
      <c r="I4" s="161" t="n">
        <v>0</v>
      </c>
      <c r="O4" s="103" t="s">
        <v>665</v>
      </c>
      <c r="P4" s="103"/>
      <c r="Q4" s="162" t="s">
        <v>724</v>
      </c>
      <c r="R4" s="162" t="s">
        <v>667</v>
      </c>
      <c r="S4" s="103" t="s">
        <v>725</v>
      </c>
      <c r="T4" s="103"/>
      <c r="U4" s="103"/>
      <c r="V4" s="103"/>
      <c r="W4" s="103"/>
      <c r="X4" s="103"/>
      <c r="Y4" s="150"/>
      <c r="Z4" s="150"/>
      <c r="AA4" s="150"/>
      <c r="AB4" s="150"/>
    </row>
    <row r="5" customFormat="false" ht="12.75" hidden="false" customHeight="true" outlineLevel="0" collapsed="false">
      <c r="A5" s="49" t="n">
        <f aca="false">MAX($C$15:$C$40)</f>
        <v>3</v>
      </c>
      <c r="B5" s="49"/>
      <c r="C5" s="49"/>
      <c r="F5" s="161" t="n">
        <f aca="false">IF(BDI.Opcao="DESONERADO",BDI!$S$30,BDI!$S$29)</f>
        <v>0.242</v>
      </c>
      <c r="G5" s="161" t="n">
        <f aca="false">IF(BDI.Opcao="DESONERADO",BDI!$S$70,BDI!$S$69)</f>
        <v>0</v>
      </c>
      <c r="H5" s="161" t="n">
        <f aca="false">IF(BDI.Opcao="DESONERADO",BDI!$S$110,BDI!$S$109)</f>
        <v>0</v>
      </c>
      <c r="O5" s="104" t="str">
        <f aca="false">Import.CR</f>
        <v>-</v>
      </c>
      <c r="P5" s="104"/>
      <c r="Q5" s="163" t="str">
        <f aca="false" t="array" ref="Q5:Q5">Import.TransfereGOV</f>
        <v>-</v>
      </c>
      <c r="R5" s="164" t="str">
        <f aca="false">Import.Proponente</f>
        <v>PREFEITURA MUNICIPAL DE CAÇAPAVA DO SUL</v>
      </c>
      <c r="S5" s="104" t="str">
        <f aca="false">Import.Apelido</f>
        <v>EMEF INSTITUTO AUGUSTA MARIA LIMA MARQUES</v>
      </c>
      <c r="T5" s="104"/>
      <c r="U5" s="104"/>
      <c r="V5" s="104"/>
      <c r="W5" s="104"/>
      <c r="X5" s="104"/>
      <c r="Y5" s="165"/>
      <c r="Z5" s="165"/>
      <c r="AA5" s="165"/>
      <c r="AB5" s="165"/>
      <c r="AE5" s="166" t="s">
        <v>726</v>
      </c>
      <c r="AF5" s="166"/>
    </row>
    <row r="6" customFormat="false" ht="4.5" hidden="false" customHeight="true" outlineLevel="0" collapsed="false">
      <c r="A6" s="49"/>
      <c r="B6" s="49"/>
      <c r="C6" s="49"/>
      <c r="H6" s="160"/>
      <c r="O6" s="167"/>
      <c r="P6" s="167"/>
      <c r="Q6" s="168"/>
      <c r="R6" s="168"/>
      <c r="S6" s="167"/>
      <c r="T6" s="167"/>
      <c r="U6" s="167"/>
      <c r="V6" s="167"/>
      <c r="W6" s="167"/>
      <c r="X6" s="167"/>
      <c r="Y6" s="165"/>
      <c r="Z6" s="165"/>
      <c r="AA6" s="165"/>
      <c r="AB6" s="165"/>
      <c r="AC6" s="169"/>
      <c r="AE6" s="170"/>
      <c r="AF6" s="171"/>
    </row>
    <row r="7" customFormat="false" ht="12.75" hidden="false" customHeight="true" outlineLevel="0" collapsed="false">
      <c r="H7" s="160"/>
      <c r="O7" s="103" t="s">
        <v>727</v>
      </c>
      <c r="P7" s="103"/>
      <c r="Q7" s="162" t="s">
        <v>728</v>
      </c>
      <c r="R7" s="162" t="str">
        <f aca="false" t="array" ref="R7:R7">IF(TIPOORCAMENTO="Licitado","NOME DA EMPRESA","DESCRIÇÃO DO LOTE")</f>
        <v>DESCRIÇÃO DO LOTE</v>
      </c>
      <c r="S7" s="172" t="str">
        <f aca="false" t="array" ref="S7:S7">IF(TIPOORCAMENTO="Licitado","REGIME DE EXECUÇÃO","MUNICÍPIO / UF")</f>
        <v>MUNICÍPIO / UF</v>
      </c>
      <c r="T7" s="172"/>
      <c r="U7" s="172"/>
      <c r="V7" s="173" t="str">
        <f aca="false" t="array" ref="V7:V7">IF(TIPOORCAMENTO="Licitado","","BDI 1")</f>
        <v>BDI 1</v>
      </c>
      <c r="W7" s="173" t="str">
        <f aca="false" t="array" ref="W7:W7">IF(TIPOORCAMENTO="Licitado","","BDI 2")</f>
        <v>BDI 2</v>
      </c>
      <c r="X7" s="174" t="str">
        <f aca="false" t="array" ref="X7:X7">IF(TIPOORCAMENTO="Licitado","Nº CTEF","BDI 3")</f>
        <v>BDI 3</v>
      </c>
      <c r="Y7" s="173"/>
      <c r="Z7" s="173"/>
      <c r="AE7" s="170" t="s">
        <v>729</v>
      </c>
      <c r="AF7" s="171" t="n">
        <f aca="false">TRUE()</f>
        <v>0</v>
      </c>
      <c r="AJ7" s="175" t="s">
        <v>730</v>
      </c>
      <c r="AL7" s="176" t="s">
        <v>731</v>
      </c>
    </row>
    <row r="8" customFormat="false" ht="12.75" hidden="false" customHeight="true" outlineLevel="0" collapsed="false">
      <c r="A8" s="49"/>
      <c r="B8" s="49"/>
      <c r="C8" s="49"/>
      <c r="F8" s="177" t="str">
        <f aca="true">IF(LEN(INFO("release"))&gt;5,"'Referência "&amp;Excel_BuiltIn_Database&amp;".xlsm'#Banco.$a5:$a$65536","'[Referência "&amp;Excel_BuiltIn_Database&amp;".xlsm]Banco'!$a5:$a$65536")</f>
        <v>'Referência 09-2025.xlsm'#Banco.$a5:$a$65536</v>
      </c>
      <c r="G8" s="177"/>
      <c r="H8" s="177"/>
      <c r="I8" s="177"/>
      <c r="J8" s="177"/>
      <c r="K8" s="177"/>
      <c r="L8" s="105" t="s">
        <v>670</v>
      </c>
      <c r="O8" s="104" t="str">
        <f aca="true">IF(ISERROR(INDIRECT($F$9)),"(N/D: 'Referência "&amp;Excel_BuiltIn_Database&amp;".xlsm)",INDIRECT($F$9))</f>
        <v>(N/D: 'Referência 09-2025.xlsm)</v>
      </c>
      <c r="P8" s="104"/>
      <c r="Q8" s="178" t="str">
        <f aca="true" t="array" ref="Q8:Q8">TEXT(Import.DataBase,"mm-aa")&amp;IF(DESONERACAO="Sim"," (DES.)"," (N DES.)")</f>
        <v>09-25 (N DES.)</v>
      </c>
      <c r="R8" s="164" t="str">
        <f aca="false" t="array" ref="R8:R8">IF(TIPOORCAMENTO="Licitado",Import.empresa,Import.DescLote)</f>
        <v>REFORMA DO TELHADO</v>
      </c>
      <c r="S8" s="179" t="str">
        <f aca="true" t="array" ref="S8:S8">IF(TIPOORCAMENTO="Licitado",Import.RegimeExecução,Import.Município)</f>
        <v>CAÇÃPAVA DO SUL</v>
      </c>
      <c r="T8" s="179"/>
      <c r="U8" s="179"/>
      <c r="V8" s="180" t="str">
        <f aca="false" t="array" ref="V8:V8">IF(TIPOORCAMENTO="Licitado","",TEXT(F5,"0,00%"))</f>
        <v>24,20%</v>
      </c>
      <c r="W8" s="180" t="str">
        <f aca="false" t="array" ref="W8:W8">IF(TIPOORCAMENTO="Licitado","",TEXT(G5,"0,00%"))</f>
        <v>0,00%</v>
      </c>
      <c r="X8" s="181" t="str">
        <f aca="false" t="array" ref="X8:X8">IF(TIPOORCAMENTO="Licitado",Import.CTEF,TEXT(H5,"0,00%"))</f>
        <v>0,00%</v>
      </c>
      <c r="Y8" s="105" t="s">
        <v>732</v>
      </c>
      <c r="Z8" s="105" t="s">
        <v>733</v>
      </c>
      <c r="AA8" s="182"/>
      <c r="AB8" s="182"/>
      <c r="AE8" s="170" t="s">
        <v>734</v>
      </c>
      <c r="AF8" s="171" t="n">
        <f aca="false">TRUE()</f>
        <v>0</v>
      </c>
      <c r="AJ8" s="175"/>
      <c r="AL8" s="176"/>
    </row>
    <row r="9" customFormat="false" ht="12.75" hidden="false" customHeight="true" outlineLevel="0" collapsed="false">
      <c r="F9" s="177" t="str">
        <f aca="true">IF(LEN(INFO("release"))&gt;5,"'Referência "&amp;Excel_BuiltIn_Database&amp;".xlsm'#Banco.$d$3","'[Referência "&amp;Excel_BuiltIn_Database&amp;".xlsm]Banco'!$d$3")</f>
        <v>'Referência 09-2025.xlsm'#Banco.$d$3</v>
      </c>
      <c r="G9" s="177"/>
      <c r="H9" s="177"/>
      <c r="I9" s="177"/>
      <c r="J9" s="177"/>
      <c r="K9" s="177"/>
      <c r="L9" s="105"/>
      <c r="Y9" s="105"/>
      <c r="Z9" s="105"/>
      <c r="AE9" s="170" t="s">
        <v>23</v>
      </c>
      <c r="AF9" s="171" t="n">
        <f aca="false">TRUE()</f>
        <v>0</v>
      </c>
      <c r="AJ9" s="175"/>
      <c r="AL9" s="176"/>
    </row>
    <row r="10" customFormat="false" ht="12.75" hidden="false" customHeight="false" outlineLevel="0" collapsed="false">
      <c r="G10" s="160"/>
      <c r="H10" s="160"/>
      <c r="L10" s="105"/>
      <c r="Y10" s="105"/>
      <c r="Z10" s="105"/>
      <c r="AC10" s="183" t="s">
        <v>735</v>
      </c>
      <c r="AE10" s="170" t="s">
        <v>736</v>
      </c>
      <c r="AF10" s="171" t="n">
        <f aca="false">TRUE()</f>
        <v>0</v>
      </c>
      <c r="AJ10" s="175"/>
      <c r="AL10" s="176"/>
    </row>
    <row r="11" customFormat="false" ht="12.75" hidden="false" customHeight="false" outlineLevel="0" collapsed="false">
      <c r="G11" s="160"/>
      <c r="H11" s="184"/>
      <c r="L11" s="105"/>
      <c r="Y11" s="105"/>
      <c r="Z11" s="105"/>
      <c r="AC11" s="185" t="str">
        <f aca="false">IF(COUNTIFS($L$15:$L$40,"F",$AC$15:$AC$40,"&lt;&gt;"&amp;" ")&gt;0,"NÃO OK","OK")</f>
        <v>OK</v>
      </c>
      <c r="AE11" s="170" t="s">
        <v>737</v>
      </c>
      <c r="AF11" s="171" t="n">
        <f aca="false">TRUE()</f>
        <v>0</v>
      </c>
      <c r="AJ11" s="175"/>
      <c r="AL11" s="176"/>
    </row>
    <row r="12" customFormat="false" ht="19.5" hidden="false" customHeight="true" outlineLevel="0" collapsed="false">
      <c r="G12" s="160"/>
      <c r="H12" s="160"/>
      <c r="L12" s="105"/>
      <c r="O12" s="186" t="str">
        <f aca="false" t="array" ref="O12:O12">IF(COUNTIF($AC$15:$AC$40,"FONTE")&gt;0,"Falta preencher a Fonte (coluna P) na Linha "&amp;(14+MATCH("FONTE",$AC$15:$AC$40,0)),
 IF(COUNTIF($AC$15:$AC$40,"CÓDIGO")&gt;0,"Falta preencher o Código (coluna Q) na Linha "&amp;(14+MATCH("CÓDIGO",$AC$15:$AC$40,0)),
 IF(COUNTIF($AC$15:$AC$40,"CÓDIGO N/ID")&gt;0,"Código (coluna Q) não identificado na Linha "&amp;(14+MATCH("CÓDIGO N/ID",$AC$15:$AC$40,0))&amp;". Verifique se o código está correto ou busque outro código",
 IF(COUNTIF($AC$15:$AC$40,"DESCRIÇÃO")&gt;0,"Falta preencher a Descrição (coluna R) na Linha "&amp;(14+MATCH("DESCRIÇÃO",$AC$15:$AC$40,0)),
 IF(COUNTIF($AC$15:$AC$40,"UNIDADE")&gt;0,"Falta preencher a Unidade (coluna S) na Linha "&amp;(14+MATCH("UNIDADE",$AC$15:$AC$40,0)),
 IF(COUNTIF($AC$15:$AC$40,"SEM CUSTO")&gt;0,"Falta preencher o Custo Unitário (coluna U) na Linha "&amp;(14+MATCH("SEM CUSTO",$AC$15:$AC$40,0)),
 IF(COUNTIF($AC$15:$AC$40,"SEM PREÇO")&gt;0,"Falta preencher o Preço Unitário licitado (coluna AL) na Linha "&amp;(14+MATCH("SEM CUSTO",$AC$15:$AC$40,0)),
 IF(COUNTIF($AC$15:$AC$40,"BDI")&gt;0,"Falta definir o BDI (coluna V) na Linha "&amp;(14+MATCH("BDI",$AC$15:$AC$40,0)),
 IF(COUNTIF($AC$15:$AC$40,"ACIMA REF.")&gt;0,
         IF(_xlfn.single(TIPOORCAMENTO)="Proposto","O custo unitário (coluna U) na Linha "&amp;(14+MATCH("ACIMA REF.",$AC$15:$AC$40,0))&amp;" está acima do custo referencial (coluna AG)",
            "O preço unitário licitado (coluna AL) na Linha "&amp;(14+MATCH("ACIMA REF.",$AC$15:$AC$40,0))&amp;" está acima do preço referencial do edital (coluna AN)"),
 IF(COUNTIF($AC$15:$AC$40,"QUANT.")&gt;0,"Falta a Quantidade do serviço na Linha "&amp;(14+MATCH("QUANT.",$AC$15:$AC$40,0))&amp;IF(ACOMPANHAMENTO="PLE",". Preencher na aba CÁLCULO",". Preencher na coluna AJ"),
 IF(COUNTIF($AC$15:$AC$40,"Código &gt;13")&gt;0,"O tamanho do código do serviço no TransfereGOV é limitado a 13 caracteres. Resuma o código (coluna Q) na Linha "&amp;(14+MATCH("Código &gt;13",$AC$15:$AC$40,0)),
 IF(COUNTIF($AC$15:$AC$40,"Descrição &gt;100")&gt;0,"O tamanho da descrição de macrosserviço no TransfereGOV é limitado a 100 caracteres. Resuma a descrição (coluna R) na Linha "&amp;(14+MATCH("Descrição &gt;100",$AC$15:$AC$40,0)),
 IF(COUNTIF($AC$15:$AC$40,"Descrição &gt;500")&gt;0,"O tamanho da descrição de serviço no TransfereGOV é limitado a 500 caracteres. Resuma a descrição (coluna R) na Linha "&amp;(14+MATCH("Descrição &gt;500",$AC$15:$AC$40,0)),
 IF(COUNTIF($AC$15:$AC$40,"Unid. Não Disp")&gt;0,"Unidade não disponível na lista do TransfereGOV. Reveja a unidade (coluna S) na Linha "&amp;(14+MATCH("Unid. Não Disp",$AC$15:$AC$40,0)),""))))))))))))))</f>
        <v>Falta preencher o Custo Unitário (coluna U) na Linha 19</v>
      </c>
      <c r="Y12" s="105"/>
      <c r="Z12" s="105"/>
      <c r="AA12" s="187" t="s">
        <v>738</v>
      </c>
      <c r="AB12" s="187"/>
      <c r="AJ12" s="112" t="s">
        <v>675</v>
      </c>
      <c r="AL12" s="188" t="s">
        <v>675</v>
      </c>
    </row>
    <row r="13" customFormat="false" ht="34.5" hidden="false" customHeight="true" outlineLevel="0" collapsed="false">
      <c r="A13" s="189" t="s">
        <v>739</v>
      </c>
      <c r="B13" s="189" t="s">
        <v>740</v>
      </c>
      <c r="C13" s="189" t="s">
        <v>741</v>
      </c>
      <c r="D13" s="189" t="s">
        <v>742</v>
      </c>
      <c r="E13" s="189" t="s">
        <v>743</v>
      </c>
      <c r="F13" s="189" t="s">
        <v>744</v>
      </c>
      <c r="G13" s="189" t="s">
        <v>745</v>
      </c>
      <c r="H13" s="189" t="s">
        <v>746</v>
      </c>
      <c r="I13" s="189" t="s">
        <v>747</v>
      </c>
      <c r="J13" s="189" t="s">
        <v>748</v>
      </c>
      <c r="K13" s="189" t="s">
        <v>749</v>
      </c>
      <c r="L13" s="112" t="s">
        <v>675</v>
      </c>
      <c r="M13" s="189" t="s">
        <v>750</v>
      </c>
      <c r="N13" s="190" t="s">
        <v>751</v>
      </c>
      <c r="O13" s="189" t="s">
        <v>752</v>
      </c>
      <c r="P13" s="189" t="s">
        <v>753</v>
      </c>
      <c r="Q13" s="189" t="s">
        <v>754</v>
      </c>
      <c r="R13" s="189" t="s">
        <v>121</v>
      </c>
      <c r="S13" s="191" t="s">
        <v>755</v>
      </c>
      <c r="T13" s="189" t="s">
        <v>729</v>
      </c>
      <c r="U13" s="189" t="str">
        <f aca="false" t="array" ref="U13:U13">IF(TIPOORCAMENTO="Licitado","","Custo Unitário (sem BDI) (R$)")</f>
        <v>Custo Unitário (sem BDI) (R$)</v>
      </c>
      <c r="V13" s="189" t="str">
        <f aca="false" t="array" ref="V13:V13">IF(TIPOORCAMENTO="Licitado","","BDI
(%)")</f>
        <v>BDI
(%)</v>
      </c>
      <c r="W13" s="189" t="s">
        <v>756</v>
      </c>
      <c r="X13" s="189" t="s">
        <v>757</v>
      </c>
      <c r="Y13" s="112" t="s">
        <v>675</v>
      </c>
      <c r="Z13" s="112" t="s">
        <v>675</v>
      </c>
      <c r="AA13" s="192" t="s">
        <v>758</v>
      </c>
      <c r="AB13" s="193" t="s">
        <v>759</v>
      </c>
      <c r="AC13" s="189" t="s">
        <v>760</v>
      </c>
      <c r="AD13" s="194" t="s">
        <v>761</v>
      </c>
      <c r="AE13" s="194" t="s">
        <v>762</v>
      </c>
      <c r="AF13" s="194" t="s">
        <v>763</v>
      </c>
      <c r="AG13" s="195" t="s">
        <v>764</v>
      </c>
      <c r="AH13" s="196" t="str">
        <f aca="false" t="array" ref="AH13:AH13">IF(TIPOORCAMENTO="LICITADO","Valor BDI Edital","Valor BDI")</f>
        <v>Valor BDI</v>
      </c>
      <c r="AJ13" s="197" t="s">
        <v>729</v>
      </c>
      <c r="AL13" s="197" t="s">
        <v>756</v>
      </c>
      <c r="AM13" s="195" t="s">
        <v>765</v>
      </c>
      <c r="AN13" s="198" t="s">
        <v>766</v>
      </c>
    </row>
    <row r="14" customFormat="false" ht="12.75" hidden="true" customHeight="false" outlineLevel="0" collapsed="false">
      <c r="A14" s="1" t="str">
        <f aca="false">CHOOSE(1+LOG(1+2*(ORÇAMENTO.Nivel="Meta")+4*(ORÇAMENTO.Nivel="Nível 2")+8*(ORÇAMENTO.Nivel="Nível 3")+16*(ORÇAMENTO.Nivel="Nível 4")+32*(ORÇAMENTO.Nivel="Serviço"),2),0,1,2,3,4,"S")</f>
        <v>S</v>
      </c>
      <c r="B14" s="1" t="str">
        <f aca="true">IF(OR(C14="s",C14=0),OFFSET(B14,-1,0),C14)</f>
        <v>Save Nivel</v>
      </c>
      <c r="C14" s="1" t="str">
        <f aca="true">IF(OFFSET(C14,-1,0)="L",1,IF(OFFSET(C14,-1,0)=1,2,IF(OR(A14="s",A14=0),"S",IF(AND(OFFSET(C14,-1,0)=2,A14=4),3,IF(AND(OR(OFFSET(C14,-1,0)="s",OFFSET(C14,-1,0)=0),A14&lt;&gt;"s",A14&gt;OFFSET(B14,-1,0)),OFFSET(B14,-1,0),A14)))))</f>
        <v>S</v>
      </c>
      <c r="D14" s="1" t="n">
        <f aca="false">IF(OR(C14="S",C14=0),0,IF(ISERROR(K14),J14,SMALL(J14:K14,1)))</f>
        <v>0</v>
      </c>
      <c r="E14" s="1" t="str">
        <f aca="true">IF($C14=1,OFFSET(E14,-1,0)+MAX(1,COUNTIF(QCI!$A$13:$A$16,OFFSET(ORÇAMENTO!E14,-1,0))),OFFSET(E14,-1,0))</f>
        <v>n1</v>
      </c>
      <c r="F14" s="1" t="str">
        <f aca="true">IF($C14=1,0,IF($C14=2,OFFSET(F14,-1,0)+1,OFFSET(F14,-1,0)))</f>
        <v>n2</v>
      </c>
      <c r="G14" s="1" t="str">
        <f aca="true">IF(AND($C14&lt;=2,$C14&lt;&gt;0),0,IF($C14=3,OFFSET(G14,-1,0)+1,OFFSET(G14,-1,0)))</f>
        <v>n3</v>
      </c>
      <c r="H14" s="1" t="str">
        <f aca="true">IF(AND($C14&lt;=3,$C14&lt;&gt;0),0,IF($C14=4,OFFSET(H14,-1,0)+1,OFFSET(H14,-1,0)))</f>
        <v>n4</v>
      </c>
      <c r="I14" s="1" t="str">
        <f aca="true">IF(AND($C14&lt;=4,$C14&lt;&gt;0),0,IF(AND($C14="S",$X14&gt;0),OFFSET(I14,-1,0)+1,OFFSET(I14,-1,0)))</f>
        <v>n5</v>
      </c>
      <c r="J14" s="1" t="n">
        <f aca="true">IF(OR($C14="S",$C14=0),0,MATCH(0,OFFSET($D14,1,$C14,ROW($C$40)-ROW($C14)),0))</f>
        <v>0</v>
      </c>
      <c r="K14" s="1" t="n">
        <f aca="true">IF(OR($C14="S",$C14=0),0,MATCH(OFFSET($D14,0,$C14)+IF($C14&lt;&gt;1,1,COUNTIF(QCI!$A$13:$A$16,ORÇAMENTO!E14)),OFFSET($D14,1,$C14,ROW($C$40)-ROW($C14)),0))</f>
        <v>0</v>
      </c>
      <c r="L14" s="199" t="str">
        <f aca="false">IF(OR($X14&gt;0,$C14=1,$C14=2,$C14=3,$C14=4),"F","")</f>
        <v/>
      </c>
      <c r="M14" s="200" t="s">
        <v>722</v>
      </c>
      <c r="N14" s="201" t="str">
        <f aca="false">CHOOSE(1+LOG(1+2*(C14=1)+4*(C14=2)+8*(C14=3)+16*(C14=4)+32*(C14="S"),2),"","Meta","Nível 2","Nível 3","Nível 4","Serviço")</f>
        <v>Serviço</v>
      </c>
      <c r="O14" s="202" t="str">
        <f aca="false">IF(OR($C14=0,$L14=""),"-",CONCATENATE(E14&amp;".",IF(AND($A$5&gt;=2,$C14&gt;=2),F14&amp;".",""),IF(AND($A$5&gt;=3,$C14&gt;=3),G14&amp;".",""),IF(AND($A$5&gt;=4,$C14&gt;=4),H14&amp;".",""),IF($C14="S",I14&amp;".","")))</f>
        <v>-</v>
      </c>
      <c r="P14" s="203" t="s">
        <v>767</v>
      </c>
      <c r="Q14" s="204"/>
      <c r="R14" s="205" t="str">
        <f aca="true">IF($C14="S",REFERENCIA.Descricao,"(digite a descrição aqui)")</f>
        <v>(abra o arquivo 'Referência 09-2025.xlsm)</v>
      </c>
      <c r="S14" s="206" t="str">
        <f aca="true">REFERENCIA.Unidade</f>
        <v>-</v>
      </c>
      <c r="T14" s="207" t="n">
        <f aca="true">OFFSET(CÁLCULO!H$15,ROW($T14)-ROW(T$15),0)</f>
        <v>0</v>
      </c>
      <c r="U14" s="208"/>
      <c r="V14" s="209" t="s">
        <v>678</v>
      </c>
      <c r="W14" s="207" t="n">
        <f aca="false">IF($C14="S",ROUND(IF(TIPOORCAMENTO="Proposto",ORÇAMENTO.CustoUnitario*(1+$AH14),ORÇAMENTO.PrecoUnitarioLicitado),15-13*$AF$10),0)</f>
        <v>0</v>
      </c>
      <c r="X14" s="210" t="n">
        <f aca="true" t="array" ref="X14:X14">IF($C14="S",IF(OR(Import.TipoArredondamento&lt;&gt;"TransfereGOV",ACOMPANHAMENTO="BM"),VTOTAL1,SUM(OFFSET(CÁLCULO!$AA$15,ROW($X14)-ROW($X$15),1):OFFSET(CÁLCULO!$AL$15,ROW($X14)-ROW($X$15),-1))),IF($C14=0,0,ROUND(SomaAgrup,15-13*$AF$11)))</f>
        <v>0</v>
      </c>
      <c r="Y14" s="211" t="s">
        <v>768</v>
      </c>
      <c r="Z14" s="1" t="str">
        <f aca="false">IF(AND($C14="S",$X14&gt;0),IF(ISBLANK($Y14),"RA",LEFT($Y14,2)),"")</f>
        <v/>
      </c>
      <c r="AA14" s="212" t="n">
        <f aca="true">IF($C14="S",IF($Z14="CP",$X14,IF($Z14="RA",(($X14)*QCI!$AA$3),0)),SomaAgrup)</f>
        <v>0</v>
      </c>
      <c r="AB14" s="213" t="n">
        <f aca="true">IF($C14="S",IF($Z14="OU",ROUND($X14,2),0),SomaAgrup)</f>
        <v>0</v>
      </c>
      <c r="AC14" s="214" t="str">
        <f aca="false">IF($N14=""," ",
IF(AND($C14&lt;&gt;"S",OR($R14="",$R14="(digite a descrição aqui)")),"DESCRIÇÃO",
IF(AND($C14="S",OR($Q14&lt;&gt;0,$T14&gt;0,$U14&gt;0),$P14=0),"FONTE",
IF(AND($C14="S",$P14&lt;&gt;0,OR($T14&gt;0,$U14&gt;0),$Q14=0),"CÓDIGO",
IF(AND($C14="S",$P14&lt;&gt;0,$Q14&lt;&gt;0,$R14="(Código não identificado nas referências)"),"CÓDIGO N/ID",
IF(AND($C14="S",OR($R14="",$R14="(digite a descrição aqui)"),OR($Q14&lt;&gt;0,$T14&gt;0,$U14&gt;0)),"DESCRIÇÃO",
IF(AND($C14="S",$P14&lt;&gt;0,$Q14&lt;&gt;0,$S14=""),"UNIDADE",
IF(AND($C14="S",$P14&lt;&gt;0,$Q14&lt;&gt;0,$U14=0),"SEM CUSTO",
IF(AND(TIPOORCAMENTO="Licitado",$AL14=0,$AN14&gt;0),"SEM PREÇO",
IF(AND($C14="S",$P14&lt;&gt;0,$Q14&lt;&gt;0,$U14&gt;0,$V14=0),"BDI",
IF(OR(AND(TIPOORCAMENTO="Proposto",$AG14&lt;&gt;"",$AG14&gt;0,ORÇAMENTO.CustoUnitario&gt;$AG14),AND(TIPOORCAMENTO="LICITADO",ORÇAMENTO.PrecoUnitarioLicitado&gt;$AN14)),"ACIMA REF.",
IF(AND($C14="S",$P14&lt;&gt;0,$Q14&lt;&gt;0,$T14=0,$U14&gt;0),"QUANT.",
IF(AND(Import.TipoArredondamento="TransfereGOV",$L14="F",$C14="S",LEN($Q14)&gt;13),"Código &gt;13",
IF(AND(Import.TipoArredondamento="TransfereGOV",$L14="F",$C14&lt;&gt;"S",LEN($R14)&gt;100),"Descrição &gt;100",
IF(AND(Import.TipoArredondamento="TransfereGOV",$L14="F",$C14="S",LEN($R14)&gt;500),"Descrição &gt;500",
IF(AND(Import.TipoArredondamento="TransfereGOV",$L14="F",$C14="S",LEFT(TRIM(UPPER($P14)),6)&lt;&gt;"SINAPI",ISNA(VLOOKUP(TRIM(UPPER($S14)),ListaTgov.Unidades,1,FALSE()))),"Unid. Não Disp",
" "))))))))))))))))</f>
        <v> </v>
      </c>
      <c r="AD14" s="1" t="str">
        <f aca="true">IF(C14&lt;=CRONO.NivelExibicao,MAX($AD$15:OFFSET(AD14,-1,0))+IF($C14&lt;&gt;1,1,MAX(1,COUNTIF(QCI!$A$13:$A$16,OFFSET($E14,-1,0)))),"")</f>
        <v/>
      </c>
      <c r="AE14" s="49" t="b">
        <f aca="false">IF(AND($C14="S",ORÇAMENTO.CodBarra&lt;&gt;""),IF(ORÇAMENTO.Fonte="",ORÇAMENTO.CodBarra,CONCATENATE(ORÇAMENTO.Fonte," ",ORÇAMENTO.CodBarra)))</f>
        <v>0</v>
      </c>
      <c r="AF14" s="64" t="str">
        <f aca="true">IF(ISERROR(INDIRECT(ORÇAMENTO.BancoRef)),"(abra o arquivo 'Referência "&amp;Excel_BuiltIn_Database&amp;".xlsm)",IF(OR($C14&lt;&gt;"S",ORÇAMENTO.CodBarra=""),"(Sem Código)",IF(ISERROR(MATCH($AE14,INDIRECT(ORÇAMENTO.BancoRef),0)),"(Código não identificado nas referências)",MATCH($AE14,INDIRECT(ORÇAMENTO.BancoRef),0))))</f>
        <v>(abra o arquivo 'Referência 09-2025.xlsm)</v>
      </c>
      <c r="AG14" s="215" t="n">
        <f aca="true">ROUND(IF(DESONERACAO="sim",REFERENCIA.Desonerado,REFERENCIA.NaoDesonerado),2)</f>
        <v>0</v>
      </c>
      <c r="AH14" s="216" t="n">
        <f aca="false">ROUND(IF(ISNUMBER(ORÇAMENTO.OpcaoBDI),ORÇAMENTO.OpcaoBDI,IF(LEFT(ORÇAMENTO.OpcaoBDI,3)="BDI",HLOOKUP(ORÇAMENTO.OpcaoBDI,$F$4:$H$5,2,FALSE()),0)),15-11*$AF$9)</f>
        <v>0.242</v>
      </c>
      <c r="AJ14" s="217"/>
      <c r="AL14" s="218"/>
      <c r="AM14" s="219" t="n">
        <f aca="false">$X14</f>
        <v>0</v>
      </c>
      <c r="AN14" s="220" t="n">
        <f aca="false">ROUND(ORÇAMENTO.CustoUnitario*(1+$AH14),2)</f>
        <v>0</v>
      </c>
    </row>
    <row r="15" customFormat="false" ht="12.75" hidden="false" customHeight="true" outlineLevel="0" collapsed="false">
      <c r="A15" s="1" t="n">
        <v>0</v>
      </c>
      <c r="C15" s="1" t="s">
        <v>669</v>
      </c>
      <c r="D15" s="1" t="n">
        <f aca="true">COUNTA(OFFSET(D15,1,0):D$40)</f>
        <v>24</v>
      </c>
      <c r="E15" s="1" t="n">
        <v>0</v>
      </c>
      <c r="L15" s="221" t="s">
        <v>551</v>
      </c>
      <c r="M15" s="222" t="str">
        <f aca="false">IF(TIPOORCAMENTO="LICITADO","CTEF","LOTE")</f>
        <v>LOTE</v>
      </c>
      <c r="N15" s="222" t="str">
        <f aca="false">IF(TIPOORCAMENTO="LICITADO","CTEF","LOTE")</f>
        <v>LOTE</v>
      </c>
      <c r="O15" s="223" t="str">
        <f aca="false">Import.DescLote</f>
        <v>REFORMA DO TELHADO</v>
      </c>
      <c r="P15" s="223"/>
      <c r="Q15" s="223"/>
      <c r="R15" s="223"/>
      <c r="S15" s="224"/>
      <c r="T15" s="225"/>
      <c r="U15" s="225"/>
      <c r="V15" s="226"/>
      <c r="W15" s="225"/>
      <c r="X15" s="227" t="n">
        <f aca="true">SUMIF(OFFSET($C15,1,0,ROW(X40)-ROW(X15)-1),"S",OFFSET(X15,1,0,ROW(X40)-ROW(X15)-1))</f>
        <v>4413.98727</v>
      </c>
      <c r="Y15" s="49"/>
      <c r="Z15" s="1" t="str">
        <f aca="false">IF(AND($C15="S",$X15&gt;0),LEFT($Y15,2),"")</f>
        <v/>
      </c>
      <c r="AA15" s="228" t="n">
        <f aca="true">SUMIF(OFFSET($C15,1,0,ROW(AA40)-ROW(AA15)-1),"S",OFFSET(AA15,1,0,ROW(AA40)-ROW(AA15)-1))</f>
        <v>0</v>
      </c>
      <c r="AB15" s="229" t="n">
        <f aca="true">SUMIF(OFFSET($C15,1,0,ROW(AB40)-ROW(AB15)-1),"S",OFFSET(AB15,1,0,ROW(AB40)-ROW(AB15)-1))</f>
        <v>0</v>
      </c>
      <c r="AC15" s="111" t="s">
        <v>769</v>
      </c>
      <c r="AG15" s="230"/>
      <c r="AH15" s="231"/>
      <c r="AJ15" s="232"/>
      <c r="AL15" s="233"/>
      <c r="AM15" s="234" t="n">
        <f aca="false">$X15</f>
        <v>4413.98727</v>
      </c>
      <c r="AN15" s="235"/>
    </row>
    <row r="16" s="1" customFormat="true" ht="12.75" hidden="false" customHeight="false" outlineLevel="0" collapsed="false">
      <c r="A16" s="1" t="n">
        <f aca="false">CHOOSE(1+LOG(1+2*(ORÇAMENTO.Nivel="Meta")+4*(ORÇAMENTO.Nivel="Nível 2")+8*(ORÇAMENTO.Nivel="Nível 3")+16*(ORÇAMENTO.Nivel="Nível 4")+32*(ORÇAMENTO.Nivel="Serviço"),2),0,1,2,3,4,"S")</f>
        <v>1</v>
      </c>
      <c r="B16" s="1" t="n">
        <f aca="true">IF(OR(C16="s",C16=0),OFFSET(B16,-1,0),C16)</f>
        <v>1</v>
      </c>
      <c r="C16" s="1" t="n">
        <f aca="true">IF(OFFSET(C16,-1,0)="L",1,IF(OFFSET(C16,-1,0)=1,2,IF(OR(A16="s",A16=0),"S",IF(AND(OFFSET(C16,-1,0)=2,A16=4),3,IF(AND(OR(OFFSET(C16,-1,0)="s",OFFSET(C16,-1,0)=0),A16&lt;&gt;"s",A16&gt;OFFSET(B16,-1,0)),OFFSET(B16,-1,0),A16)))))</f>
        <v>1</v>
      </c>
      <c r="D16" s="1" t="n">
        <f aca="false">IF(OR(C16="S",C16=0),0,IF(ISERROR(K16),J16,SMALL(J16:K16,1)))</f>
        <v>24</v>
      </c>
      <c r="E16" s="1" t="n">
        <f aca="true">IF($C16=1,OFFSET(E16,-1,0)+MAX(1,COUNTIF(QCI!$A$13:$A$16,OFFSET(ORÇAMENTO!E16,-1,0))),OFFSET(E16,-1,0))</f>
        <v>1</v>
      </c>
      <c r="F16" s="1" t="n">
        <f aca="true">IF($C16=1,0,IF($C16=2,OFFSET(F16,-1,0)+1,OFFSET(F16,-1,0)))</f>
        <v>0</v>
      </c>
      <c r="G16" s="1" t="n">
        <f aca="true">IF(AND($C16&lt;=2,$C16&lt;&gt;0),0,IF($C16=3,OFFSET(G16,-1,0)+1,OFFSET(G16,-1,0)))</f>
        <v>0</v>
      </c>
      <c r="H16" s="1" t="n">
        <f aca="true">IF(AND($C16&lt;=3,$C16&lt;&gt;0),0,IF($C16=4,OFFSET(H16,-1,0)+1,OFFSET(H16,-1,0)))</f>
        <v>0</v>
      </c>
      <c r="I16" s="1" t="n">
        <f aca="true">IF(AND($C16&lt;=4,$C16&lt;&gt;0),0,IF(AND($C16="S",$X16&gt;0),OFFSET(I16,-1,0)+1,OFFSET(I16,-1,0)))</f>
        <v>0</v>
      </c>
      <c r="J16" s="1" t="n">
        <f aca="true">IF(OR($C16="S",$C16=0),0,MATCH(0,OFFSET($D16,1,$C16,ROW($C$40)-ROW($C16)),0))</f>
        <v>24</v>
      </c>
      <c r="K16" s="1" t="e">
        <f aca="true">IF(OR($C16="S",$C16=0),0,MATCH(OFFSET($D16,0,$C16)+IF($C16&lt;&gt;1,1,COUNTIF(QCI!$A$13:$A$16,ORÇAMENTO!E16)),OFFSET($D16,1,$C16,ROW($C$40)-ROW($C16)),0))</f>
        <v>#N/A</v>
      </c>
      <c r="L16" s="199" t="str">
        <f aca="false">IF(OR($X16&gt;0,$C16=1,$C16=2,$C16=3,$C16=4),"F","")</f>
        <v>F</v>
      </c>
      <c r="M16" s="200" t="s">
        <v>718</v>
      </c>
      <c r="N16" s="201" t="str">
        <f aca="false">CHOOSE(1+LOG(1+2*(C16=1)+4*(C16=2)+8*(C16=3)+16*(C16=4)+32*(C16="S"),2),"","Meta","Nível 2","Nível 3","Nível 4","Serviço")</f>
        <v>Meta</v>
      </c>
      <c r="O16" s="202" t="str">
        <f aca="false">IF(OR($C16=0,$L16=""),"-",CONCATENATE(E16&amp;".",IF(AND($A$5&gt;=2,$C16&gt;=2),F16&amp;".",""),IF(AND($A$5&gt;=3,$C16&gt;=3),G16&amp;".",""),IF(AND($A$5&gt;=4,$C16&gt;=4),H16&amp;".",""),IF($C16="S",I16&amp;".","")))</f>
        <v>1.</v>
      </c>
      <c r="P16" s="203" t="s">
        <v>767</v>
      </c>
      <c r="Q16" s="204"/>
      <c r="R16" s="205" t="s">
        <v>234</v>
      </c>
      <c r="S16" s="206" t="s">
        <v>186</v>
      </c>
      <c r="T16" s="207" t="n">
        <f aca="true">OFFSET(CÁLCULO!H$15,ROW($T16)-ROW(T$15),0)</f>
        <v>0</v>
      </c>
      <c r="U16" s="208"/>
      <c r="V16" s="209" t="s">
        <v>678</v>
      </c>
      <c r="W16" s="207" t="n">
        <f aca="false">IF($C16="S",ROUND(IF(TIPOORCAMENTO="Proposto",ORÇAMENTO.CustoUnitario*(1+$AH16),ORÇAMENTO.PrecoUnitarioLicitado),15-13*$AF$10),0)</f>
        <v>0</v>
      </c>
      <c r="X16" s="210" t="n">
        <f aca="true" t="array" ref="X16:X16">IF($C16="S",IF(OR(Import.TipoArredondamento&lt;&gt;"TransfereGOV",ACOMPANHAMENTO="BM"),VTOTAL1,SUM(OFFSET(CÁLCULO!$AA$15,ROW($X16)-ROW($X$15),1):OFFSET(CÁLCULO!$AL$15,ROW($X16)-ROW($X$15),-1))),IF($C16=0,0,ROUND(SomaAgrup,15-13*$AF$11)))</f>
        <v>4413.98727</v>
      </c>
      <c r="Y16" s="211" t="s">
        <v>768</v>
      </c>
      <c r="Z16" s="1" t="str">
        <f aca="false">IF(AND($C16="S",$X16&gt;0),IF(ISBLANK($Y16),"RA",LEFT($Y16,2)),"")</f>
        <v/>
      </c>
      <c r="AA16" s="212" t="n">
        <f aca="true">IF($C16="S",IF($Z16="CP",$X16,IF($Z16="RA",(($X16)*QCI!$AA$3),0)),SomaAgrup)</f>
        <v>0</v>
      </c>
      <c r="AB16" s="213" t="n">
        <f aca="true">IF($C16="S",IF($Z16="OU",ROUND($X16,2),0),SomaAgrup)</f>
        <v>0</v>
      </c>
      <c r="AC16" s="214" t="str">
        <f aca="false">IF($N16=""," ",
IF(AND($C16&lt;&gt;"S",OR($R16="",$R16="(digite a descrição aqui)")),"DESCRIÇÃO",
IF(AND($C16="S",OR($Q16&lt;&gt;0,$T16&gt;0,$U16&gt;0),$P16=0),"FONTE",
IF(AND($C16="S",$P16&lt;&gt;0,OR($T16&gt;0,$U16&gt;0),$Q16=0),"CÓDIGO",
IF(AND($C16="S",$P16&lt;&gt;0,$Q16&lt;&gt;0,$R16="(Código não identificado nas referências)"),"CÓDIGO N/ID",
IF(AND($C16="S",OR($R16="",$R16="(digite a descrição aqui)"),OR($Q16&lt;&gt;0,$T16&gt;0,$U16&gt;0)),"DESCRIÇÃO",
IF(AND($C16="S",$P16&lt;&gt;0,$Q16&lt;&gt;0,$S16=""),"UNIDADE",
IF(AND($C16="S",$P16&lt;&gt;0,$Q16&lt;&gt;0,$U16=0),"SEM CUSTO",
IF(AND(TIPOORCAMENTO="Licitado",$AL16=0,$AN16&gt;0),"SEM PREÇO",
IF(AND($C16="S",$P16&lt;&gt;0,$Q16&lt;&gt;0,$U16&gt;0,$V16=0),"BDI",
IF(OR(AND(TIPOORCAMENTO="Proposto",$AG16&lt;&gt;"",$AG16&gt;0,ORÇAMENTO.CustoUnitario&gt;$AG16),AND(TIPOORCAMENTO="LICITADO",ORÇAMENTO.PrecoUnitarioLicitado&gt;$AN16)),"ACIMA REF.",
IF(AND($C16="S",$P16&lt;&gt;0,$Q16&lt;&gt;0,$T16=0,$U16&gt;0),"QUANT.",
IF(AND(Import.TipoArredondamento="TransfereGOV",$L16="F",$C16="S",LEN($Q16)&gt;13),"Código &gt;13",
IF(AND(Import.TipoArredondamento="TransfereGOV",$L16="F",$C16&lt;&gt;"S",LEN($R16)&gt;100),"Descrição &gt;100",
IF(AND(Import.TipoArredondamento="TransfereGOV",$L16="F",$C16="S",LEN($R16)&gt;500),"Descrição &gt;500",
IF(AND(Import.TipoArredondamento="TransfereGOV",$L16="F",$C16="S",LEFT(TRIM(UPPER($P16)),6)&lt;&gt;"SINAPI",ISNA(VLOOKUP(TRIM(UPPER($S16)),ListaTgov.Unidades,1,FALSE()))),"Unid. Não Disp",
" "))))))))))))))))</f>
        <v> </v>
      </c>
      <c r="AD16" s="1" t="n">
        <f aca="true">IF(C16&lt;=CRONO.NivelExibicao,MAX($AD$15:OFFSET(AD16,-1,0))+IF($C16&lt;&gt;1,1,MAX(1,COUNTIF(QCI!$A$13:$A$16,OFFSET($E16,-1,0)))),"")</f>
        <v>1</v>
      </c>
      <c r="AE16" s="49" t="b">
        <f aca="false">IF(AND($C16="S",ORÇAMENTO.CodBarra&lt;&gt;""),IF(ORÇAMENTO.Fonte="",ORÇAMENTO.CodBarra,CONCATENATE(ORÇAMENTO.Fonte," ",ORÇAMENTO.CodBarra)))</f>
        <v>0</v>
      </c>
      <c r="AF16" s="64" t="str">
        <f aca="true">IF(ISERROR(INDIRECT(ORÇAMENTO.BancoRef)),"(abra o arquivo 'Referência "&amp;Excel_BuiltIn_Database&amp;".xlsm)",IF(OR($C16&lt;&gt;"S",ORÇAMENTO.CodBarra=""),"(Sem Código)",IF(ISERROR(MATCH($AE16,INDIRECT(ORÇAMENTO.BancoRef),0)),"(Código não identificado nas referências)",MATCH($AE16,INDIRECT(ORÇAMENTO.BancoRef),0))))</f>
        <v>(abra o arquivo 'Referência 09-2025.xlsm)</v>
      </c>
      <c r="AG16" s="215" t="n">
        <f aca="true">ROUND(IF(DESONERACAO="sim",REFERENCIA.Desonerado,REFERENCIA.NaoDesonerado),2)</f>
        <v>0</v>
      </c>
      <c r="AH16" s="216" t="n">
        <f aca="false">ROUND(IF(ISNUMBER(ORÇAMENTO.OpcaoBDI),ORÇAMENTO.OpcaoBDI,IF(LEFT(ORÇAMENTO.OpcaoBDI,3)="BDI",HLOOKUP(ORÇAMENTO.OpcaoBDI,$F$4:$H$5,2,FALSE()),0)),15-11*$AF$9)</f>
        <v>0.242</v>
      </c>
      <c r="AJ16" s="217"/>
      <c r="AL16" s="218"/>
      <c r="AM16" s="219" t="n">
        <f aca="false">$X16</f>
        <v>4413.98727</v>
      </c>
      <c r="AN16" s="220" t="n">
        <f aca="false">ROUND(ORÇAMENTO.CustoUnitario*(1+$AH16),2)</f>
        <v>0</v>
      </c>
    </row>
    <row r="17" s="1" customFormat="true" ht="12.75" hidden="false" customHeight="false" outlineLevel="0" collapsed="false">
      <c r="A17" s="1" t="n">
        <f aca="false">CHOOSE(1+LOG(1+2*(ORÇAMENTO.Nivel="Meta")+4*(ORÇAMENTO.Nivel="Nível 2")+8*(ORÇAMENTO.Nivel="Nível 3")+16*(ORÇAMENTO.Nivel="Nível 4")+32*(ORÇAMENTO.Nivel="Serviço"),2),0,1,2,3,4,"S")</f>
        <v>2</v>
      </c>
      <c r="B17" s="1" t="n">
        <f aca="true">IF(OR(C17="s",C17=0),OFFSET(B17,-1,0),C17)</f>
        <v>2</v>
      </c>
      <c r="C17" s="1" t="n">
        <f aca="true">IF(OFFSET(C17,-1,0)="L",1,IF(OFFSET(C17,-1,0)=1,2,IF(OR(A17="s",A17=0),"S",IF(AND(OFFSET(C17,-1,0)=2,A17=4),3,IF(AND(OR(OFFSET(C17,-1,0)="s",OFFSET(C17,-1,0)=0),A17&lt;&gt;"s",A17&gt;OFFSET(B17,-1,0)),OFFSET(B17,-1,0),A17)))))</f>
        <v>2</v>
      </c>
      <c r="D17" s="1" t="n">
        <f aca="false">IF(OR(C17="S",C17=0),0,IF(ISERROR(K17),J17,SMALL(J17:K17,1)))</f>
        <v>3</v>
      </c>
      <c r="E17" s="1" t="n">
        <f aca="true">IF($C17=1,OFFSET(E17,-1,0)+MAX(1,COUNTIF(QCI!$A$13:$A$16,OFFSET(ORÇAMENTO!E17,-1,0))),OFFSET(E17,-1,0))</f>
        <v>1</v>
      </c>
      <c r="F17" s="1" t="n">
        <f aca="true">IF($C17=1,0,IF($C17=2,OFFSET(F17,-1,0)+1,OFFSET(F17,-1,0)))</f>
        <v>1</v>
      </c>
      <c r="G17" s="1" t="n">
        <f aca="true">IF(AND($C17&lt;=2,$C17&lt;&gt;0),0,IF($C17=3,OFFSET(G17,-1,0)+1,OFFSET(G17,-1,0)))</f>
        <v>0</v>
      </c>
      <c r="H17" s="1" t="n">
        <f aca="true">IF(AND($C17&lt;=3,$C17&lt;&gt;0),0,IF($C17=4,OFFSET(H17,-1,0)+1,OFFSET(H17,-1,0)))</f>
        <v>0</v>
      </c>
      <c r="I17" s="1" t="n">
        <f aca="true">IF(AND($C17&lt;=4,$C17&lt;&gt;0),0,IF(AND($C17="S",$X17&gt;0),OFFSET(I17,-1,0)+1,OFFSET(I17,-1,0)))</f>
        <v>0</v>
      </c>
      <c r="J17" s="1" t="n">
        <f aca="true">IF(OR($C17="S",$C17=0),0,MATCH(0,OFFSET($D17,1,$C17,ROW($C$40)-ROW($C17)),0))</f>
        <v>23</v>
      </c>
      <c r="K17" s="1" t="n">
        <f aca="true">IF(OR($C17="S",$C17=0),0,MATCH(OFFSET($D17,0,$C17)+IF($C17&lt;&gt;1,1,COUNTIF(QCI!$A$13:$A$16,ORÇAMENTO!E17)),OFFSET($D17,1,$C17,ROW($C$40)-ROW($C17)),0))</f>
        <v>3</v>
      </c>
      <c r="L17" s="199" t="str">
        <f aca="false">IF(OR($X17&gt;0,$C17=1,$C17=2,$C17=3,$C17=4),"F","")</f>
        <v>F</v>
      </c>
      <c r="M17" s="200" t="s">
        <v>719</v>
      </c>
      <c r="N17" s="236" t="str">
        <f aca="false">CHOOSE(1+LOG(1+2*(C17=1)+4*(C17=2)+8*(C17=3)+16*(C17=4)+32*(C17="S"),2),"","Meta","Nível 2","Nível 3","Nível 4","Serviço")</f>
        <v>Nível 2</v>
      </c>
      <c r="O17" s="202" t="str">
        <f aca="false">IF(OR($C17=0,$L17=""),"-",CONCATENATE(E17&amp;".",IF(AND($A$5&gt;=2,$C17&gt;=2),F17&amp;".",""),IF(AND($A$5&gt;=3,$C17&gt;=3),G17&amp;".",""),IF(AND($A$5&gt;=4,$C17&gt;=4),H17&amp;".",""),IF($C17="S",I17&amp;".","")))</f>
        <v>1.1.</v>
      </c>
      <c r="P17" s="203" t="s">
        <v>767</v>
      </c>
      <c r="Q17" s="204"/>
      <c r="R17" s="237" t="s">
        <v>770</v>
      </c>
      <c r="S17" s="206" t="str">
        <f aca="true">REFERENCIA.Unidade</f>
        <v>-</v>
      </c>
      <c r="T17" s="207" t="n">
        <f aca="true">OFFSET(CÁLCULO!H$15,ROW($T17)-ROW(T$15),0)</f>
        <v>0</v>
      </c>
      <c r="U17" s="208"/>
      <c r="V17" s="209" t="s">
        <v>678</v>
      </c>
      <c r="W17" s="207" t="n">
        <f aca="false">IF($C17="S",ROUND(IF(TIPOORCAMENTO="Proposto",ORÇAMENTO.CustoUnitario*(1+$AH17),ORÇAMENTO.PrecoUnitarioLicitado),15-13*$AF$10),0)</f>
        <v>0</v>
      </c>
      <c r="X17" s="210" t="n">
        <f aca="true" t="array" ref="X17:X17">IF($C17="S",IF(OR(Import.TipoArredondamento&lt;&gt;"TransfereGOV",ACOMPANHAMENTO="BM"),VTOTAL1,SUM(OFFSET(CÁLCULO!$AA$15,ROW($X17)-ROW($X$15),1):OFFSET(CÁLCULO!$AL$15,ROW($X17)-ROW($X$15),-1))),IF($C17=0,0,ROUND(SomaAgrup,15-13*$AF$11)))</f>
        <v>0</v>
      </c>
      <c r="Y17" s="211" t="s">
        <v>768</v>
      </c>
      <c r="Z17" s="1" t="str">
        <f aca="false">IF(AND($C17="S",$X17&gt;0),IF(ISBLANK($Y17),"RA",LEFT($Y17,2)),"")</f>
        <v/>
      </c>
      <c r="AA17" s="212" t="n">
        <f aca="true">IF($C17="S",IF($Z17="CP",$X17,IF($Z17="RA",(($X17)*QCI!$AA$3),0)),SomaAgrup)</f>
        <v>0</v>
      </c>
      <c r="AB17" s="213" t="n">
        <f aca="true">IF($C17="S",IF($Z17="OU",ROUND($X17,2),0),SomaAgrup)</f>
        <v>0</v>
      </c>
      <c r="AC17" s="214" t="str">
        <f aca="false">IF($N17=""," ",
IF(AND($C17&lt;&gt;"S",OR($R17="",$R17="(digite a descrição aqui)")),"DESCRIÇÃO",
IF(AND($C17="S",OR($Q17&lt;&gt;0,$T17&gt;0,$U17&gt;0),$P17=0),"FONTE",
IF(AND($C17="S",$P17&lt;&gt;0,OR($T17&gt;0,$U17&gt;0),$Q17=0),"CÓDIGO",
IF(AND($C17="S",$P17&lt;&gt;0,$Q17&lt;&gt;0,$R17="(Código não identificado nas referências)"),"CÓDIGO N/ID",
IF(AND($C17="S",OR($R17="",$R17="(digite a descrição aqui)"),OR($Q17&lt;&gt;0,$T17&gt;0,$U17&gt;0)),"DESCRIÇÃO",
IF(AND($C17="S",$P17&lt;&gt;0,$Q17&lt;&gt;0,$S17=""),"UNIDADE",
IF(AND($C17="S",$P17&lt;&gt;0,$Q17&lt;&gt;0,$U17=0),"SEM CUSTO",
IF(AND(TIPOORCAMENTO="Licitado",$AL17=0,$AN17&gt;0),"SEM PREÇO",
IF(AND($C17="S",$P17&lt;&gt;0,$Q17&lt;&gt;0,$U17&gt;0,$V17=0),"BDI",
IF(OR(AND(TIPOORCAMENTO="Proposto",$AG17&lt;&gt;"",$AG17&gt;0,ORÇAMENTO.CustoUnitario&gt;$AG17),AND(TIPOORCAMENTO="LICITADO",ORÇAMENTO.PrecoUnitarioLicitado&gt;$AN17)),"ACIMA REF.",
IF(AND($C17="S",$P17&lt;&gt;0,$Q17&lt;&gt;0,$T17=0,$U17&gt;0),"QUANT.",
IF(AND(Import.TipoArredondamento="TransfereGOV",$L17="F",$C17="S",LEN($Q17)&gt;13),"Código &gt;13",
IF(AND(Import.TipoArredondamento="TransfereGOV",$L17="F",$C17&lt;&gt;"S",LEN($R17)&gt;100),"Descrição &gt;100",
IF(AND(Import.TipoArredondamento="TransfereGOV",$L17="F",$C17="S",LEN($R17)&gt;500),"Descrição &gt;500",
IF(AND(Import.TipoArredondamento="TransfereGOV",$L17="F",$C17="S",LEFT(TRIM(UPPER($P17)),6)&lt;&gt;"SINAPI",ISNA(VLOOKUP(TRIM(UPPER($S17)),ListaTgov.Unidades,1,FALSE()))),"Unid. Não Disp",
" "))))))))))))))))</f>
        <v> </v>
      </c>
      <c r="AD17" s="1" t="n">
        <f aca="true">IF(C17&lt;=CRONO.NivelExibicao,MAX($AD$15:OFFSET(AD17,-1,0))+IF($C17&lt;&gt;1,1,MAX(1,COUNTIF(QCI!$A$13:$A$16,OFFSET($E17,-1,0)))),"")</f>
        <v>2</v>
      </c>
      <c r="AE17" s="49" t="b">
        <f aca="false">IF(AND($C17="S",ORÇAMENTO.CodBarra&lt;&gt;""),IF(ORÇAMENTO.Fonte="",ORÇAMENTO.CodBarra,CONCATENATE(ORÇAMENTO.Fonte," ",ORÇAMENTO.CodBarra)))</f>
        <v>0</v>
      </c>
      <c r="AF17" s="64" t="str">
        <f aca="true">IF(ISERROR(INDIRECT(ORÇAMENTO.BancoRef)),"(abra o arquivo 'Referência "&amp;Excel_BuiltIn_Database&amp;".xlsm)",IF(OR($C17&lt;&gt;"S",ORÇAMENTO.CodBarra=""),"(Sem Código)",IF(ISERROR(MATCH($AE17,INDIRECT(ORÇAMENTO.BancoRef),0)),"(Código não identificado nas referências)",MATCH($AE17,INDIRECT(ORÇAMENTO.BancoRef),0))))</f>
        <v>(abra o arquivo 'Referência 09-2025.xlsm)</v>
      </c>
      <c r="AG17" s="215" t="n">
        <f aca="true">ROUND(IF(DESONERACAO="sim",REFERENCIA.Desonerado,REFERENCIA.NaoDesonerado),2)</f>
        <v>0</v>
      </c>
      <c r="AH17" s="216" t="n">
        <f aca="false">ROUND(IF(ISNUMBER(ORÇAMENTO.OpcaoBDI),ORÇAMENTO.OpcaoBDI,IF(LEFT(ORÇAMENTO.OpcaoBDI,3)="BDI",HLOOKUP(ORÇAMENTO.OpcaoBDI,$F$4:$H$5,2,FALSE()),0)),15-11*$AF$9)</f>
        <v>0.242</v>
      </c>
      <c r="AJ17" s="217"/>
      <c r="AL17" s="218"/>
      <c r="AM17" s="219" t="n">
        <f aca="false">$X17</f>
        <v>0</v>
      </c>
      <c r="AN17" s="220" t="n">
        <f aca="false">ROUND(ORÇAMENTO.CustoUnitario*(1+$AH17),2)</f>
        <v>0</v>
      </c>
    </row>
    <row r="18" s="1" customFormat="true" ht="12.75" hidden="false" customHeight="false" outlineLevel="0" collapsed="false">
      <c r="A18" s="1" t="n">
        <f aca="false">CHOOSE(1+LOG(1+2*(ORÇAMENTO.Nivel="Meta")+4*(ORÇAMENTO.Nivel="Nível 2")+8*(ORÇAMENTO.Nivel="Nível 3")+16*(ORÇAMENTO.Nivel="Nível 4")+32*(ORÇAMENTO.Nivel="Serviço"),2),0,1,2,3,4,"S")</f>
        <v>3</v>
      </c>
      <c r="B18" s="1" t="n">
        <f aca="true">IF(OR(C18="s",C18=0),OFFSET(B18,-1,0),C18)</f>
        <v>3</v>
      </c>
      <c r="C18" s="1" t="n">
        <f aca="true">IF(OFFSET(C18,-1,0)="L",1,IF(OFFSET(C18,-1,0)=1,2,IF(OR(A18="s",A18=0),"S",IF(AND(OFFSET(C18,-1,0)=2,A18=4),3,IF(AND(OR(OFFSET(C18,-1,0)="s",OFFSET(C18,-1,0)=0),A18&lt;&gt;"s",A18&gt;OFFSET(B18,-1,0)),OFFSET(B18,-1,0),A18)))))</f>
        <v>3</v>
      </c>
      <c r="D18" s="1" t="n">
        <f aca="false">IF(OR(C18="S",C18=0),0,IF(ISERROR(K18),J18,SMALL(J18:K18,1)))</f>
        <v>2</v>
      </c>
      <c r="E18" s="1" t="n">
        <f aca="true">IF($C18=1,OFFSET(E18,-1,0)+MAX(1,COUNTIF(QCI!$A$13:$A$16,OFFSET(ORÇAMENTO!E18,-1,0))),OFFSET(E18,-1,0))</f>
        <v>1</v>
      </c>
      <c r="F18" s="1" t="n">
        <f aca="true">IF($C18=1,0,IF($C18=2,OFFSET(F18,-1,0)+1,OFFSET(F18,-1,0)))</f>
        <v>1</v>
      </c>
      <c r="G18" s="1" t="n">
        <f aca="true">IF(AND($C18&lt;=2,$C18&lt;&gt;0),0,IF($C18=3,OFFSET(G18,-1,0)+1,OFFSET(G18,-1,0)))</f>
        <v>1</v>
      </c>
      <c r="H18" s="1" t="n">
        <f aca="true">IF(AND($C18&lt;=3,$C18&lt;&gt;0),0,IF($C18=4,OFFSET(H18,-1,0)+1,OFFSET(H18,-1,0)))</f>
        <v>0</v>
      </c>
      <c r="I18" s="1" t="n">
        <f aca="true">IF(AND($C18&lt;=4,$C18&lt;&gt;0),0,IF(AND($C18="S",$X18&gt;0),OFFSET(I18,-1,0)+1,OFFSET(I18,-1,0)))</f>
        <v>0</v>
      </c>
      <c r="J18" s="1" t="n">
        <f aca="true">IF(OR($C18="S",$C18=0),0,MATCH(0,OFFSET($D18,1,$C18,ROW($C$40)-ROW($C18)),0))</f>
        <v>2</v>
      </c>
      <c r="K18" s="1" t="n">
        <f aca="true">IF(OR($C18="S",$C18=0),0,MATCH(OFFSET($D18,0,$C18)+IF($C18&lt;&gt;1,1,COUNTIF(QCI!$A$13:$A$16,ORÇAMENTO!E18)),OFFSET($D18,1,$C18,ROW($C$40)-ROW($C18)),0))</f>
        <v>10</v>
      </c>
      <c r="L18" s="199" t="str">
        <f aca="false">IF(OR($X18&gt;0,$C18=1,$C18=2,$C18=3,$C18=4),"F","")</f>
        <v>F</v>
      </c>
      <c r="M18" s="200" t="s">
        <v>720</v>
      </c>
      <c r="N18" s="236" t="str">
        <f aca="false">CHOOSE(1+LOG(1+2*(C18=1)+4*(C18=2)+8*(C18=3)+16*(C18=4)+32*(C18="S"),2),"","Meta","Nível 2","Nível 3","Nível 4","Serviço")</f>
        <v>Nível 3</v>
      </c>
      <c r="O18" s="202" t="str">
        <f aca="false">IF(OR($C18=0,$L18=""),"-",CONCATENATE(E18&amp;".",IF(AND($A$5&gt;=2,$C18&gt;=2),F18&amp;".",""),IF(AND($A$5&gt;=3,$C18&gt;=3),G18&amp;".",""),IF(AND($A$5&gt;=4,$C18&gt;=4),H18&amp;".",""),IF($C18="S",I18&amp;".","")))</f>
        <v>1.1.1.</v>
      </c>
      <c r="P18" s="203" t="s">
        <v>767</v>
      </c>
      <c r="Q18" s="204"/>
      <c r="R18" s="237" t="s">
        <v>771</v>
      </c>
      <c r="S18" s="206" t="str">
        <f aca="true">REFERENCIA.Unidade</f>
        <v>-</v>
      </c>
      <c r="T18" s="207" t="n">
        <f aca="true">OFFSET(CÁLCULO!H$15,ROW($T18)-ROW(T$15),0)</f>
        <v>0</v>
      </c>
      <c r="U18" s="208"/>
      <c r="V18" s="209" t="s">
        <v>678</v>
      </c>
      <c r="W18" s="207" t="n">
        <f aca="false">IF($C18="S",ROUND(IF(TIPOORCAMENTO="Proposto",ORÇAMENTO.CustoUnitario*(1+$AH18),ORÇAMENTO.PrecoUnitarioLicitado),15-13*$AF$10),0)</f>
        <v>0</v>
      </c>
      <c r="X18" s="210" t="n">
        <f aca="true" t="array" ref="X18:X18">IF($C18="S",IF(OR(Import.TipoArredondamento&lt;&gt;"TransfereGOV",ACOMPANHAMENTO="BM"),VTOTAL1,SUM(OFFSET(CÁLCULO!$AA$15,ROW($X18)-ROW($X$15),1):OFFSET(CÁLCULO!$AL$15,ROW($X18)-ROW($X$15),-1))),IF($C18=0,0,ROUND(SomaAgrup,15-13*$AF$11)))</f>
        <v>0</v>
      </c>
      <c r="Y18" s="211" t="s">
        <v>768</v>
      </c>
      <c r="Z18" s="1" t="str">
        <f aca="false">IF(AND($C18="S",$X18&gt;0),IF(ISBLANK($Y18),"RA",LEFT($Y18,2)),"")</f>
        <v/>
      </c>
      <c r="AA18" s="212" t="n">
        <f aca="true">IF($C18="S",IF($Z18="CP",$X18,IF($Z18="RA",(($X18)*QCI!$AA$3),0)),SomaAgrup)</f>
        <v>0</v>
      </c>
      <c r="AB18" s="213" t="n">
        <f aca="true">IF($C18="S",IF($Z18="OU",ROUND($X18,2),0),SomaAgrup)</f>
        <v>0</v>
      </c>
      <c r="AC18" s="214" t="str">
        <f aca="false">IF($N18=""," ",
IF(AND($C18&lt;&gt;"S",OR($R18="",$R18="(digite a descrição aqui)")),"DESCRIÇÃO",
IF(AND($C18="S",OR($Q18&lt;&gt;0,$T18&gt;0,$U18&gt;0),$P18=0),"FONTE",
IF(AND($C18="S",$P18&lt;&gt;0,OR($T18&gt;0,$U18&gt;0),$Q18=0),"CÓDIGO",
IF(AND($C18="S",$P18&lt;&gt;0,$Q18&lt;&gt;0,$R18="(Código não identificado nas referências)"),"CÓDIGO N/ID",
IF(AND($C18="S",OR($R18="",$R18="(digite a descrição aqui)"),OR($Q18&lt;&gt;0,$T18&gt;0,$U18&gt;0)),"DESCRIÇÃO",
IF(AND($C18="S",$P18&lt;&gt;0,$Q18&lt;&gt;0,$S18=""),"UNIDADE",
IF(AND($C18="S",$P18&lt;&gt;0,$Q18&lt;&gt;0,$U18=0),"SEM CUSTO",
IF(AND(TIPOORCAMENTO="Licitado",$AL18=0,$AN18&gt;0),"SEM PREÇO",
IF(AND($C18="S",$P18&lt;&gt;0,$Q18&lt;&gt;0,$U18&gt;0,$V18=0),"BDI",
IF(OR(AND(TIPOORCAMENTO="Proposto",$AG18&lt;&gt;"",$AG18&gt;0,ORÇAMENTO.CustoUnitario&gt;$AG18),AND(TIPOORCAMENTO="LICITADO",ORÇAMENTO.PrecoUnitarioLicitado&gt;$AN18)),"ACIMA REF.",
IF(AND($C18="S",$P18&lt;&gt;0,$Q18&lt;&gt;0,$T18=0,$U18&gt;0),"QUANT.",
IF(AND(Import.TipoArredondamento="TransfereGOV",$L18="F",$C18="S",LEN($Q18)&gt;13),"Código &gt;13",
IF(AND(Import.TipoArredondamento="TransfereGOV",$L18="F",$C18&lt;&gt;"S",LEN($R18)&gt;100),"Descrição &gt;100",
IF(AND(Import.TipoArredondamento="TransfereGOV",$L18="F",$C18="S",LEN($R18)&gt;500),"Descrição &gt;500",
IF(AND(Import.TipoArredondamento="TransfereGOV",$L18="F",$C18="S",LEFT(TRIM(UPPER($P18)),6)&lt;&gt;"SINAPI",ISNA(VLOOKUP(TRIM(UPPER($S18)),ListaTgov.Unidades,1,FALSE()))),"Unid. Não Disp",
" "))))))))))))))))</f>
        <v> </v>
      </c>
      <c r="AD18" s="1" t="n">
        <f aca="true">IF(C18&lt;=CRONO.NivelExibicao,MAX($AD$15:OFFSET(AD18,-1,0))+IF($C18&lt;&gt;1,1,MAX(1,COUNTIF(QCI!$A$13:$A$16,OFFSET($E18,-1,0)))),"")</f>
        <v>3</v>
      </c>
      <c r="AE18" s="49" t="b">
        <f aca="false">IF(AND($C18="S",ORÇAMENTO.CodBarra&lt;&gt;""),IF(ORÇAMENTO.Fonte="",ORÇAMENTO.CodBarra,CONCATENATE(ORÇAMENTO.Fonte," ",ORÇAMENTO.CodBarra)))</f>
        <v>0</v>
      </c>
      <c r="AF18" s="64" t="str">
        <f aca="true">IF(ISERROR(INDIRECT(ORÇAMENTO.BancoRef)),"(abra o arquivo 'Referência "&amp;Excel_BuiltIn_Database&amp;".xlsm)",IF(OR($C18&lt;&gt;"S",ORÇAMENTO.CodBarra=""),"(Sem Código)",IF(ISERROR(MATCH($AE18,INDIRECT(ORÇAMENTO.BancoRef),0)),"(Código não identificado nas referências)",MATCH($AE18,INDIRECT(ORÇAMENTO.BancoRef),0))))</f>
        <v>(abra o arquivo 'Referência 09-2025.xlsm)</v>
      </c>
      <c r="AG18" s="215" t="n">
        <f aca="true">ROUND(IF(DESONERACAO="sim",REFERENCIA.Desonerado,REFERENCIA.NaoDesonerado),2)</f>
        <v>0</v>
      </c>
      <c r="AH18" s="216" t="n">
        <f aca="false">ROUND(IF(ISNUMBER(ORÇAMENTO.OpcaoBDI),ORÇAMENTO.OpcaoBDI,IF(LEFT(ORÇAMENTO.OpcaoBDI,3)="BDI",HLOOKUP(ORÇAMENTO.OpcaoBDI,$F$4:$H$5,2,FALSE()),0)),15-11*$AF$9)</f>
        <v>0.242</v>
      </c>
      <c r="AJ18" s="217"/>
      <c r="AL18" s="218"/>
      <c r="AM18" s="219" t="n">
        <f aca="false">$X18</f>
        <v>0</v>
      </c>
      <c r="AN18" s="220" t="n">
        <f aca="false">ROUND(ORÇAMENTO.CustoUnitario*(1+$AH18),2)</f>
        <v>0</v>
      </c>
    </row>
    <row r="19" s="1" customFormat="true" ht="12.75" hidden="false" customHeight="false" outlineLevel="0" collapsed="false">
      <c r="A19" s="1" t="str">
        <f aca="false">CHOOSE(1+LOG(1+2*(ORÇAMENTO.Nivel="Meta")+4*(ORÇAMENTO.Nivel="Nível 2")+8*(ORÇAMENTO.Nivel="Nível 3")+16*(ORÇAMENTO.Nivel="Nível 4")+32*(ORÇAMENTO.Nivel="Serviço"),2),0,1,2,3,4,"S")</f>
        <v>S</v>
      </c>
      <c r="B19" s="1" t="n">
        <f aca="true">IF(OR(C19="s",C19=0),OFFSET(B19,-1,0),C19)</f>
        <v>3</v>
      </c>
      <c r="C19" s="1" t="str">
        <f aca="true">IF(OFFSET(C19,-1,0)="L",1,IF(OFFSET(C19,-1,0)=1,2,IF(OR(A19="s",A19=0),"S",IF(AND(OFFSET(C19,-1,0)=2,A19=4),3,IF(AND(OR(OFFSET(C19,-1,0)="s",OFFSET(C19,-1,0)=0),A19&lt;&gt;"s",A19&gt;OFFSET(B19,-1,0)),OFFSET(B19,-1,0),A19)))))</f>
        <v>S</v>
      </c>
      <c r="D19" s="1" t="n">
        <f aca="false">IF(OR(C19="S",C19=0),0,IF(ISERROR(K19),J19,SMALL(J19:K19,1)))</f>
        <v>0</v>
      </c>
      <c r="E19" s="1" t="n">
        <f aca="true">IF($C19=1,OFFSET(E19,-1,0)+MAX(1,COUNTIF(QCI!$A$13:$A$16,OFFSET(ORÇAMENTO!E19,-1,0))),OFFSET(E19,-1,0))</f>
        <v>1</v>
      </c>
      <c r="F19" s="1" t="n">
        <f aca="true">IF($C19=1,0,IF($C19=2,OFFSET(F19,-1,0)+1,OFFSET(F19,-1,0)))</f>
        <v>1</v>
      </c>
      <c r="G19" s="1" t="n">
        <f aca="true">IF(AND($C19&lt;=2,$C19&lt;&gt;0),0,IF($C19=3,OFFSET(G19,-1,0)+1,OFFSET(G19,-1,0)))</f>
        <v>1</v>
      </c>
      <c r="H19" s="1" t="n">
        <f aca="true">IF(AND($C19&lt;=3,$C19&lt;&gt;0),0,IF($C19=4,OFFSET(H19,-1,0)+1,OFFSET(H19,-1,0)))</f>
        <v>0</v>
      </c>
      <c r="I19" s="1" t="n">
        <f aca="true">IF(AND($C19&lt;=4,$C19&lt;&gt;0),0,IF(AND($C19="S",$X19&gt;0),OFFSET(I19,-1,0)+1,OFFSET(I19,-1,0)))</f>
        <v>0</v>
      </c>
      <c r="J19" s="1" t="n">
        <f aca="true">IF(OR($C19="S",$C19=0),0,MATCH(0,OFFSET($D19,1,$C19,ROW($C$40)-ROW($C19)),0))</f>
        <v>0</v>
      </c>
      <c r="K19" s="1" t="n">
        <f aca="true">IF(OR($C19="S",$C19=0),0,MATCH(OFFSET($D19,0,$C19)+IF($C19&lt;&gt;1,1,COUNTIF(QCI!$A$13:$A$16,ORÇAMENTO!E19)),OFFSET($D19,1,$C19,ROW($C$40)-ROW($C19)),0))</f>
        <v>0</v>
      </c>
      <c r="L19" s="199" t="str">
        <f aca="false">IF(OR($X19&gt;0,$C19=1,$C19=2,$C19=3,$C19=4),"F","")</f>
        <v/>
      </c>
      <c r="M19" s="200" t="s">
        <v>722</v>
      </c>
      <c r="N19" s="236" t="str">
        <f aca="false">CHOOSE(1+LOG(1+2*(C19=1)+4*(C19=2)+8*(C19=3)+16*(C19=4)+32*(C19="S"),2),"","Meta","Nível 2","Nível 3","Nível 4","Serviço")</f>
        <v>Serviço</v>
      </c>
      <c r="O19" s="202" t="str">
        <f aca="false">IF(OR($C19=0,$L19=""),"-",CONCATENATE(E19&amp;".",IF(AND($A$5&gt;=2,$C19&gt;=2),F19&amp;".",""),IF(AND($A$5&gt;=3,$C19&gt;=3),G19&amp;".",""),IF(AND($A$5&gt;=4,$C19&gt;=4),H19&amp;".",""),IF($C19="S",I19&amp;".","")))</f>
        <v>-</v>
      </c>
      <c r="P19" s="203" t="s">
        <v>772</v>
      </c>
      <c r="Q19" s="238" t="s">
        <v>773</v>
      </c>
      <c r="R19" s="205" t="str">
        <f aca="true">IF($C19="S",REFERENCIA.Descricao,"(digite a descrição aqui)")</f>
        <v>(abra o arquivo 'Referência 09-2025.xlsm)</v>
      </c>
      <c r="S19" s="206" t="str">
        <f aca="true">REFERENCIA.Unidade</f>
        <v>-</v>
      </c>
      <c r="T19" s="207" t="n">
        <f aca="true">OFFSET(CÁLCULO!H$15,ROW($T19)-ROW(T$15),0)</f>
        <v>1</v>
      </c>
      <c r="U19" s="208" t="n">
        <f aca="false">AG19</f>
        <v>0</v>
      </c>
      <c r="V19" s="209" t="s">
        <v>678</v>
      </c>
      <c r="W19" s="207" t="n">
        <f aca="false">IF($C19="S",ROUND(IF(TIPOORCAMENTO="Proposto",ORÇAMENTO.CustoUnitario*(1+$AH19),ORÇAMENTO.PrecoUnitarioLicitado),15-13*$AF$10),0)</f>
        <v>0</v>
      </c>
      <c r="X19" s="210" t="n">
        <f aca="true" t="array" ref="X19:X19">IF($C19="S",IF(OR(Import.TipoArredondamento&lt;&gt;"TransfereGOV",ACOMPANHAMENTO="BM"),VTOTAL1,SUM(OFFSET(CÁLCULO!$AA$15,ROW($X19)-ROW($X$15),1):OFFSET(CÁLCULO!$AL$15,ROW($X19)-ROW($X$15),-1))),IF($C19=0,0,ROUND(SomaAgrup,15-13*$AF$11)))</f>
        <v>0</v>
      </c>
      <c r="Y19" s="211" t="s">
        <v>768</v>
      </c>
      <c r="Z19" s="1" t="str">
        <f aca="false">IF(AND($C19="S",$X19&gt;0),IF(ISBLANK($Y19),"RA",LEFT($Y19,2)),"")</f>
        <v/>
      </c>
      <c r="AA19" s="212" t="n">
        <f aca="true">IF($C19="S",IF($Z19="CP",$X19,IF($Z19="RA",(($X19)*QCI!$AA$3),0)),SomaAgrup)</f>
        <v>0</v>
      </c>
      <c r="AB19" s="213" t="n">
        <f aca="true">IF($C19="S",IF($Z19="OU",ROUND($X19,2),0),SomaAgrup)</f>
        <v>0</v>
      </c>
      <c r="AC19" s="214" t="str">
        <f aca="false">IF($N19=""," ",
IF(AND($C19&lt;&gt;"S",OR($R19="",$R19="(digite a descrição aqui)")),"DESCRIÇÃO",
IF(AND($C19="S",OR($Q19&lt;&gt;0,$T19&gt;0,$U19&gt;0),$P19=0),"FONTE",
IF(AND($C19="S",$P19&lt;&gt;0,OR($T19&gt;0,$U19&gt;0),$Q19=0),"CÓDIGO",
IF(AND($C19="S",$P19&lt;&gt;0,$Q19&lt;&gt;0,$R19="(Código não identificado nas referências)"),"CÓDIGO N/ID",
IF(AND($C19="S",OR($R19="",$R19="(digite a descrição aqui)"),OR($Q19&lt;&gt;0,$T19&gt;0,$U19&gt;0)),"DESCRIÇÃO",
IF(AND($C19="S",$P19&lt;&gt;0,$Q19&lt;&gt;0,$S19=""),"UNIDADE",
IF(AND($C19="S",$P19&lt;&gt;0,$Q19&lt;&gt;0,$U19=0),"SEM CUSTO",
IF(AND(TIPOORCAMENTO="Licitado",$AL19=0,$AN19&gt;0),"SEM PREÇO",
IF(AND($C19="S",$P19&lt;&gt;0,$Q19&lt;&gt;0,$U19&gt;0,$V19=0),"BDI",
IF(OR(AND(TIPOORCAMENTO="Proposto",$AG19&lt;&gt;"",$AG19&gt;0,ORÇAMENTO.CustoUnitario&gt;$AG19),AND(TIPOORCAMENTO="LICITADO",ORÇAMENTO.PrecoUnitarioLicitado&gt;$AN19)),"ACIMA REF.",
IF(AND($C19="S",$P19&lt;&gt;0,$Q19&lt;&gt;0,$T19=0,$U19&gt;0),"QUANT.",
IF(AND(Import.TipoArredondamento="TransfereGOV",$L19="F",$C19="S",LEN($Q19)&gt;13),"Código &gt;13",
IF(AND(Import.TipoArredondamento="TransfereGOV",$L19="F",$C19&lt;&gt;"S",LEN($R19)&gt;100),"Descrição &gt;100",
IF(AND(Import.TipoArredondamento="TransfereGOV",$L19="F",$C19="S",LEN($R19)&gt;500),"Descrição &gt;500",
IF(AND(Import.TipoArredondamento="TransfereGOV",$L19="F",$C19="S",LEFT(TRIM(UPPER($P19)),6)&lt;&gt;"SINAPI",ISNA(VLOOKUP(TRIM(UPPER($S19)),ListaTgov.Unidades,1,FALSE()))),"Unid. Não Disp",
" "))))))))))))))))</f>
        <v>SEM CUSTO</v>
      </c>
      <c r="AD19" s="1" t="str">
        <f aca="true">IF(C19&lt;=CRONO.NivelExibicao,MAX($AD$15:OFFSET(AD19,-1,0))+IF($C19&lt;&gt;1,1,MAX(1,COUNTIF(QCI!$A$13:$A$16,OFFSET($E19,-1,0)))),"")</f>
        <v/>
      </c>
      <c r="AE19" s="49" t="str">
        <f aca="false">IF(AND($C19="S",ORÇAMENTO.CodBarra&lt;&gt;""),IF(ORÇAMENTO.Fonte="",ORÇAMENTO.CodBarra,CONCATENATE(ORÇAMENTO.Fonte," ",ORÇAMENTO.CodBarra)))</f>
        <v>Composição 002</v>
      </c>
      <c r="AF19" s="64" t="str">
        <f aca="true">IF(ISERROR(INDIRECT(ORÇAMENTO.BancoRef)),"(abra o arquivo 'Referência "&amp;Excel_BuiltIn_Database&amp;".xlsm)",IF(OR($C19&lt;&gt;"S",ORÇAMENTO.CodBarra=""),"(Sem Código)",IF(ISERROR(MATCH($AE19,INDIRECT(ORÇAMENTO.BancoRef),0)),"(Código não identificado nas referências)",MATCH($AE19,INDIRECT(ORÇAMENTO.BancoRef),0))))</f>
        <v>(abra o arquivo 'Referência 09-2025.xlsm)</v>
      </c>
      <c r="AG19" s="215" t="n">
        <f aca="true">ROUND(IF(DESONERACAO="sim",REFERENCIA.Desonerado,REFERENCIA.NaoDesonerado),2)</f>
        <v>0</v>
      </c>
      <c r="AH19" s="216" t="n">
        <f aca="false">ROUND(IF(ISNUMBER(ORÇAMENTO.OpcaoBDI),ORÇAMENTO.OpcaoBDI,IF(LEFT(ORÇAMENTO.OpcaoBDI,3)="BDI",HLOOKUP(ORÇAMENTO.OpcaoBDI,$F$4:$H$5,2,FALSE()),0)),15-11*$AF$9)</f>
        <v>0.242</v>
      </c>
      <c r="AJ19" s="217" t="n">
        <v>1</v>
      </c>
      <c r="AL19" s="218"/>
      <c r="AM19" s="219" t="n">
        <f aca="false">$X19</f>
        <v>0</v>
      </c>
      <c r="AN19" s="220" t="n">
        <f aca="false">ROUND(ORÇAMENTO.CustoUnitario*(1+$AH19),2)</f>
        <v>0</v>
      </c>
    </row>
    <row r="20" s="1" customFormat="true" ht="12.75" hidden="false" customHeight="false" outlineLevel="0" collapsed="false">
      <c r="A20" s="1" t="n">
        <f aca="false">CHOOSE(1+LOG(1+2*(ORÇAMENTO.Nivel="Meta")+4*(ORÇAMENTO.Nivel="Nível 2")+8*(ORÇAMENTO.Nivel="Nível 3")+16*(ORÇAMENTO.Nivel="Nível 4")+32*(ORÇAMENTO.Nivel="Serviço"),2),0,1,2,3,4,"S")</f>
        <v>2</v>
      </c>
      <c r="B20" s="1" t="n">
        <f aca="true">IF(OR(C20="s",C20=0),OFFSET(B20,-1,0),C20)</f>
        <v>2</v>
      </c>
      <c r="C20" s="1" t="n">
        <f aca="true">IF(OFFSET(C20,-1,0)="L",1,IF(OFFSET(C20,-1,0)=1,2,IF(OR(A20="s",A20=0),"S",IF(AND(OFFSET(C20,-1,0)=2,A20=4),3,IF(AND(OR(OFFSET(C20,-1,0)="s",OFFSET(C20,-1,0)=0),A20&lt;&gt;"s",A20&gt;OFFSET(B20,-1,0)),OFFSET(B20,-1,0),A20)))))</f>
        <v>2</v>
      </c>
      <c r="D20" s="1" t="n">
        <f aca="false">IF(OR(C20="S",C20=0),0,IF(ISERROR(K20),J20,SMALL(J20:K20,1)))</f>
        <v>3</v>
      </c>
      <c r="E20" s="1" t="n">
        <f aca="true">IF($C20=1,OFFSET(E20,-1,0)+MAX(1,COUNTIF(QCI!$A$13:$A$16,OFFSET(ORÇAMENTO!E20,-1,0))),OFFSET(E20,-1,0))</f>
        <v>1</v>
      </c>
      <c r="F20" s="1" t="n">
        <f aca="true">IF($C20=1,0,IF($C20=2,OFFSET(F20,-1,0)+1,OFFSET(F20,-1,0)))</f>
        <v>2</v>
      </c>
      <c r="G20" s="1" t="n">
        <f aca="true">IF(AND($C20&lt;=2,$C20&lt;&gt;0),0,IF($C20=3,OFFSET(G20,-1,0)+1,OFFSET(G20,-1,0)))</f>
        <v>0</v>
      </c>
      <c r="H20" s="1" t="n">
        <f aca="true">IF(AND($C20&lt;=3,$C20&lt;&gt;0),0,IF($C20=4,OFFSET(H20,-1,0)+1,OFFSET(H20,-1,0)))</f>
        <v>0</v>
      </c>
      <c r="I20" s="1" t="n">
        <f aca="true">IF(AND($C20&lt;=4,$C20&lt;&gt;0),0,IF(AND($C20="S",$X20&gt;0),OFFSET(I20,-1,0)+1,OFFSET(I20,-1,0)))</f>
        <v>0</v>
      </c>
      <c r="J20" s="1" t="n">
        <f aca="true">IF(OR($C20="S",$C20=0),0,MATCH(0,OFFSET($D20,1,$C20,ROW($C$40)-ROW($C20)),0))</f>
        <v>20</v>
      </c>
      <c r="K20" s="1" t="n">
        <f aca="true">IF(OR($C20="S",$C20=0),0,MATCH(OFFSET($D20,0,$C20)+IF($C20&lt;&gt;1,1,COUNTIF(QCI!$A$13:$A$16,ORÇAMENTO!E20)),OFFSET($D20,1,$C20,ROW($C$40)-ROW($C20)),0))</f>
        <v>3</v>
      </c>
      <c r="L20" s="199" t="str">
        <f aca="false">IF(OR($X20&gt;0,$C20=1,$C20=2,$C20=3,$C20=4),"F","")</f>
        <v>F</v>
      </c>
      <c r="M20" s="200" t="s">
        <v>719</v>
      </c>
      <c r="N20" s="201" t="str">
        <f aca="false">CHOOSE(1+LOG(1+2*(C20=1)+4*(C20=2)+8*(C20=3)+16*(C20=4)+32*(C20="S"),2),"","Meta","Nível 2","Nível 3","Nível 4","Serviço")</f>
        <v>Nível 2</v>
      </c>
      <c r="O20" s="202" t="str">
        <f aca="false">IF(OR($C20=0,$L20=""),"-",CONCATENATE(E20&amp;".",IF(AND($A$5&gt;=2,$C20&gt;=2),F20&amp;".",""),IF(AND($A$5&gt;=3,$C20&gt;=3),G20&amp;".",""),IF(AND($A$5&gt;=4,$C20&gt;=4),H20&amp;".",""),IF($C20="S",I20&amp;".","")))</f>
        <v>1.2.</v>
      </c>
      <c r="P20" s="203" t="s">
        <v>767</v>
      </c>
      <c r="Q20" s="204"/>
      <c r="R20" s="205" t="s">
        <v>774</v>
      </c>
      <c r="S20" s="206" t="s">
        <v>186</v>
      </c>
      <c r="T20" s="207" t="n">
        <f aca="true">OFFSET(CÁLCULO!H$15,ROW($T20)-ROW(T$15),0)</f>
        <v>0</v>
      </c>
      <c r="U20" s="208"/>
      <c r="V20" s="209" t="s">
        <v>678</v>
      </c>
      <c r="W20" s="207" t="n">
        <f aca="false">IF($C20="S",ROUND(IF(TIPOORCAMENTO="Proposto",ORÇAMENTO.CustoUnitario*(1+$AH20),ORÇAMENTO.PrecoUnitarioLicitado),15-13*$AF$10),0)</f>
        <v>0</v>
      </c>
      <c r="X20" s="210" t="n">
        <f aca="true" t="array" ref="X20:X20">IF($C20="S",IF(OR(Import.TipoArredondamento&lt;&gt;"TransfereGOV",ACOMPANHAMENTO="BM"),VTOTAL1,SUM(OFFSET(CÁLCULO!$AA$15,ROW($X20)-ROW($X$15),1):OFFSET(CÁLCULO!$AL$15,ROW($X20)-ROW($X$15),-1))),IF($C20=0,0,ROUND(SomaAgrup,15-13*$AF$11)))</f>
        <v>0</v>
      </c>
      <c r="Y20" s="211" t="s">
        <v>768</v>
      </c>
      <c r="Z20" s="1" t="str">
        <f aca="false">IF(AND($C20="S",$X20&gt;0),IF(ISBLANK($Y20),"RA",LEFT($Y20,2)),"")</f>
        <v/>
      </c>
      <c r="AA20" s="212" t="n">
        <f aca="true">IF($C20="S",IF($Z20="CP",$X20,IF($Z20="RA",(($X20)*QCI!$AA$3),0)),SomaAgrup)</f>
        <v>0</v>
      </c>
      <c r="AB20" s="213" t="n">
        <f aca="true">IF($C20="S",IF($Z20="OU",ROUND($X20,2),0),SomaAgrup)</f>
        <v>0</v>
      </c>
      <c r="AC20" s="214" t="str">
        <f aca="false">IF($N20=""," ",
IF(AND($C20&lt;&gt;"S",OR($R20="",$R20="(digite a descrição aqui)")),"DESCRIÇÃO",
IF(AND($C20="S",OR($Q20&lt;&gt;0,$T20&gt;0,$U20&gt;0),$P20=0),"FONTE",
IF(AND($C20="S",$P20&lt;&gt;0,OR($T20&gt;0,$U20&gt;0),$Q20=0),"CÓDIGO",
IF(AND($C20="S",$P20&lt;&gt;0,$Q20&lt;&gt;0,$R20="(Código não identificado nas referências)"),"CÓDIGO N/ID",
IF(AND($C20="S",OR($R20="",$R20="(digite a descrição aqui)"),OR($Q20&lt;&gt;0,$T20&gt;0,$U20&gt;0)),"DESCRIÇÃO",
IF(AND($C20="S",$P20&lt;&gt;0,$Q20&lt;&gt;0,$S20=""),"UNIDADE",
IF(AND($C20="S",$P20&lt;&gt;0,$Q20&lt;&gt;0,$U20=0),"SEM CUSTO",
IF(AND(TIPOORCAMENTO="Licitado",$AL20=0,$AN20&gt;0),"SEM PREÇO",
IF(AND($C20="S",$P20&lt;&gt;0,$Q20&lt;&gt;0,$U20&gt;0,$V20=0),"BDI",
IF(OR(AND(TIPOORCAMENTO="Proposto",$AG20&lt;&gt;"",$AG20&gt;0,ORÇAMENTO.CustoUnitario&gt;$AG20),AND(TIPOORCAMENTO="LICITADO",ORÇAMENTO.PrecoUnitarioLicitado&gt;$AN20)),"ACIMA REF.",
IF(AND($C20="S",$P20&lt;&gt;0,$Q20&lt;&gt;0,$T20=0,$U20&gt;0),"QUANT.",
IF(AND(Import.TipoArredondamento="TransfereGOV",$L20="F",$C20="S",LEN($Q20)&gt;13),"Código &gt;13",
IF(AND(Import.TipoArredondamento="TransfereGOV",$L20="F",$C20&lt;&gt;"S",LEN($R20)&gt;100),"Descrição &gt;100",
IF(AND(Import.TipoArredondamento="TransfereGOV",$L20="F",$C20="S",LEN($R20)&gt;500),"Descrição &gt;500",
IF(AND(Import.TipoArredondamento="TransfereGOV",$L20="F",$C20="S",LEFT(TRIM(UPPER($P20)),6)&lt;&gt;"SINAPI",ISNA(VLOOKUP(TRIM(UPPER($S20)),ListaTgov.Unidades,1,FALSE()))),"Unid. Não Disp",
" "))))))))))))))))</f>
        <v> </v>
      </c>
      <c r="AD20" s="1" t="n">
        <f aca="true">IF(C20&lt;=CRONO.NivelExibicao,MAX($AD$15:OFFSET(AD20,-1,0))+IF($C20&lt;&gt;1,1,MAX(1,COUNTIF(QCI!$A$13:$A$16,OFFSET($E20,-1,0)))),"")</f>
        <v>4</v>
      </c>
      <c r="AE20" s="49" t="b">
        <f aca="false">IF(AND($C20="S",ORÇAMENTO.CodBarra&lt;&gt;""),IF(ORÇAMENTO.Fonte="",ORÇAMENTO.CodBarra,CONCATENATE(ORÇAMENTO.Fonte," ",ORÇAMENTO.CodBarra)))</f>
        <v>0</v>
      </c>
      <c r="AF20" s="64" t="str">
        <f aca="true">IF(ISERROR(INDIRECT(ORÇAMENTO.BancoRef)),"(abra o arquivo 'Referência "&amp;Excel_BuiltIn_Database&amp;".xlsm)",IF(OR($C20&lt;&gt;"S",ORÇAMENTO.CodBarra=""),"(Sem Código)",IF(ISERROR(MATCH($AE20,INDIRECT(ORÇAMENTO.BancoRef),0)),"(Código não identificado nas referências)",MATCH($AE20,INDIRECT(ORÇAMENTO.BancoRef),0))))</f>
        <v>(abra o arquivo 'Referência 09-2025.xlsm)</v>
      </c>
      <c r="AG20" s="215" t="n">
        <f aca="true">ROUND(IF(DESONERACAO="sim",REFERENCIA.Desonerado,REFERENCIA.NaoDesonerado),2)</f>
        <v>0</v>
      </c>
      <c r="AH20" s="216" t="n">
        <f aca="false">ROUND(IF(ISNUMBER(ORÇAMENTO.OpcaoBDI),ORÇAMENTO.OpcaoBDI,IF(LEFT(ORÇAMENTO.OpcaoBDI,3)="BDI",HLOOKUP(ORÇAMENTO.OpcaoBDI,$F$4:$H$5,2,FALSE()),0)),15-11*$AF$9)</f>
        <v>0.242</v>
      </c>
      <c r="AJ20" s="217"/>
      <c r="AL20" s="218"/>
      <c r="AM20" s="219" t="n">
        <f aca="false">$X20</f>
        <v>0</v>
      </c>
      <c r="AN20" s="220" t="n">
        <f aca="false">ROUND(ORÇAMENTO.CustoUnitario*(1+$AH20),2)</f>
        <v>0</v>
      </c>
    </row>
    <row r="21" s="1" customFormat="true" ht="12.75" hidden="false" customHeight="false" outlineLevel="0" collapsed="false">
      <c r="A21" s="1" t="n">
        <f aca="false">CHOOSE(1+LOG(1+2*(ORÇAMENTO.Nivel="Meta")+4*(ORÇAMENTO.Nivel="Nível 2")+8*(ORÇAMENTO.Nivel="Nível 3")+16*(ORÇAMENTO.Nivel="Nível 4")+32*(ORÇAMENTO.Nivel="Serviço"),2),0,1,2,3,4,"S")</f>
        <v>3</v>
      </c>
      <c r="B21" s="1" t="n">
        <f aca="true">IF(OR(C21="s",C21=0),OFFSET(B21,-1,0),C21)</f>
        <v>3</v>
      </c>
      <c r="C21" s="1" t="n">
        <f aca="true">IF(OFFSET(C21,-1,0)="L",1,IF(OFFSET(C21,-1,0)=1,2,IF(OR(A21="s",A21=0),"S",IF(AND(OFFSET(C21,-1,0)=2,A21=4),3,IF(AND(OR(OFFSET(C21,-1,0)="s",OFFSET(C21,-1,0)=0),A21&lt;&gt;"s",A21&gt;OFFSET(B21,-1,0)),OFFSET(B21,-1,0),A21)))))</f>
        <v>3</v>
      </c>
      <c r="D21" s="1" t="n">
        <f aca="false">IF(OR(C21="S",C21=0),0,IF(ISERROR(K21),J21,SMALL(J21:K21,1)))</f>
        <v>2</v>
      </c>
      <c r="E21" s="1" t="n">
        <f aca="true">IF($C21=1,OFFSET(E21,-1,0)+MAX(1,COUNTIF(QCI!$A$13:$A$16,OFFSET(ORÇAMENTO!E21,-1,0))),OFFSET(E21,-1,0))</f>
        <v>1</v>
      </c>
      <c r="F21" s="1" t="n">
        <f aca="true">IF($C21=1,0,IF($C21=2,OFFSET(F21,-1,0)+1,OFFSET(F21,-1,0)))</f>
        <v>2</v>
      </c>
      <c r="G21" s="1" t="n">
        <f aca="true">IF(AND($C21&lt;=2,$C21&lt;&gt;0),0,IF($C21=3,OFFSET(G21,-1,0)+1,OFFSET(G21,-1,0)))</f>
        <v>1</v>
      </c>
      <c r="H21" s="1" t="n">
        <f aca="true">IF(AND($C21&lt;=3,$C21&lt;&gt;0),0,IF($C21=4,OFFSET(H21,-1,0)+1,OFFSET(H21,-1,0)))</f>
        <v>0</v>
      </c>
      <c r="I21" s="1" t="n">
        <f aca="true">IF(AND($C21&lt;=4,$C21&lt;&gt;0),0,IF(AND($C21="S",$X21&gt;0),OFFSET(I21,-1,0)+1,OFFSET(I21,-1,0)))</f>
        <v>0</v>
      </c>
      <c r="J21" s="1" t="n">
        <f aca="true">IF(OR($C21="S",$C21=0),0,MATCH(0,OFFSET($D21,1,$C21,ROW($C$40)-ROW($C21)),0))</f>
        <v>2</v>
      </c>
      <c r="K21" s="1" t="n">
        <f aca="true">IF(OR($C21="S",$C21=0),0,MATCH(OFFSET($D21,0,$C21)+IF($C21&lt;&gt;1,1,COUNTIF(QCI!$A$13:$A$16,ORÇAMENTO!E21)),OFFSET($D21,1,$C21,ROW($C$40)-ROW($C21)),0))</f>
        <v>7</v>
      </c>
      <c r="L21" s="199" t="str">
        <f aca="false">IF(OR($X21&gt;0,$C21=1,$C21=2,$C21=3,$C21=4),"F","")</f>
        <v>F</v>
      </c>
      <c r="M21" s="200" t="s">
        <v>720</v>
      </c>
      <c r="N21" s="236" t="str">
        <f aca="false">CHOOSE(1+LOG(1+2*(C21=1)+4*(C21=2)+8*(C21=3)+16*(C21=4)+32*(C21="S"),2),"","Meta","Nível 2","Nível 3","Nível 4","Serviço")</f>
        <v>Nível 3</v>
      </c>
      <c r="O21" s="202" t="str">
        <f aca="false">IF(OR($C21=0,$L21=""),"-",CONCATENATE(E21&amp;".",IF(AND($A$5&gt;=2,$C21&gt;=2),F21&amp;".",""),IF(AND($A$5&gt;=3,$C21&gt;=3),G21&amp;".",""),IF(AND($A$5&gt;=4,$C21&gt;=4),H21&amp;".",""),IF($C21="S",I21&amp;".","")))</f>
        <v>1.2.1.</v>
      </c>
      <c r="P21" s="203" t="s">
        <v>767</v>
      </c>
      <c r="Q21" s="204"/>
      <c r="R21" s="237" t="s">
        <v>775</v>
      </c>
      <c r="S21" s="206" t="str">
        <f aca="true">REFERENCIA.Unidade</f>
        <v>-</v>
      </c>
      <c r="T21" s="207" t="n">
        <f aca="true">OFFSET(CÁLCULO!H$15,ROW($T21)-ROW(T$15),0)</f>
        <v>0</v>
      </c>
      <c r="U21" s="208"/>
      <c r="V21" s="209" t="s">
        <v>678</v>
      </c>
      <c r="W21" s="207" t="n">
        <f aca="false">IF($C21="S",ROUND(IF(TIPOORCAMENTO="Proposto",ORÇAMENTO.CustoUnitario*(1+$AH21),ORÇAMENTO.PrecoUnitarioLicitado),15-13*$AF$10),0)</f>
        <v>0</v>
      </c>
      <c r="X21" s="210" t="n">
        <f aca="true" t="array" ref="X21:X21">IF($C21="S",IF(OR(Import.TipoArredondamento&lt;&gt;"TransfereGOV",ACOMPANHAMENTO="BM"),VTOTAL1,SUM(OFFSET(CÁLCULO!$AA$15,ROW($X21)-ROW($X$15),1):OFFSET(CÁLCULO!$AL$15,ROW($X21)-ROW($X$15),-1))),IF($C21=0,0,ROUND(SomaAgrup,15-13*$AF$11)))</f>
        <v>0</v>
      </c>
      <c r="Y21" s="211" t="s">
        <v>768</v>
      </c>
      <c r="Z21" s="1" t="str">
        <f aca="false">IF(AND($C21="S",$X21&gt;0),IF(ISBLANK($Y21),"RA",LEFT($Y21,2)),"")</f>
        <v/>
      </c>
      <c r="AA21" s="212" t="n">
        <f aca="true">IF($C21="S",IF($Z21="CP",$X21,IF($Z21="RA",(($X21)*QCI!$AA$3),0)),SomaAgrup)</f>
        <v>0</v>
      </c>
      <c r="AB21" s="213" t="n">
        <f aca="true">IF($C21="S",IF($Z21="OU",ROUND($X21,2),0),SomaAgrup)</f>
        <v>0</v>
      </c>
      <c r="AC21" s="214" t="str">
        <f aca="false">IF($N21=""," ",
IF(AND($C21&lt;&gt;"S",OR($R21="",$R21="(digite a descrição aqui)")),"DESCRIÇÃO",
IF(AND($C21="S",OR($Q21&lt;&gt;0,$T21&gt;0,$U21&gt;0),$P21=0),"FONTE",
IF(AND($C21="S",$P21&lt;&gt;0,OR($T21&gt;0,$U21&gt;0),$Q21=0),"CÓDIGO",
IF(AND($C21="S",$P21&lt;&gt;0,$Q21&lt;&gt;0,$R21="(Código não identificado nas referências)"),"CÓDIGO N/ID",
IF(AND($C21="S",OR($R21="",$R21="(digite a descrição aqui)"),OR($Q21&lt;&gt;0,$T21&gt;0,$U21&gt;0)),"DESCRIÇÃO",
IF(AND($C21="S",$P21&lt;&gt;0,$Q21&lt;&gt;0,$S21=""),"UNIDADE",
IF(AND($C21="S",$P21&lt;&gt;0,$Q21&lt;&gt;0,$U21=0),"SEM CUSTO",
IF(AND(TIPOORCAMENTO="Licitado",$AL21=0,$AN21&gt;0),"SEM PREÇO",
IF(AND($C21="S",$P21&lt;&gt;0,$Q21&lt;&gt;0,$U21&gt;0,$V21=0),"BDI",
IF(OR(AND(TIPOORCAMENTO="Proposto",$AG21&lt;&gt;"",$AG21&gt;0,ORÇAMENTO.CustoUnitario&gt;$AG21),AND(TIPOORCAMENTO="LICITADO",ORÇAMENTO.PrecoUnitarioLicitado&gt;$AN21)),"ACIMA REF.",
IF(AND($C21="S",$P21&lt;&gt;0,$Q21&lt;&gt;0,$T21=0,$U21&gt;0),"QUANT.",
IF(AND(Import.TipoArredondamento="TransfereGOV",$L21="F",$C21="S",LEN($Q21)&gt;13),"Código &gt;13",
IF(AND(Import.TipoArredondamento="TransfereGOV",$L21="F",$C21&lt;&gt;"S",LEN($R21)&gt;100),"Descrição &gt;100",
IF(AND(Import.TipoArredondamento="TransfereGOV",$L21="F",$C21="S",LEN($R21)&gt;500),"Descrição &gt;500",
IF(AND(Import.TipoArredondamento="TransfereGOV",$L21="F",$C21="S",LEFT(TRIM(UPPER($P21)),6)&lt;&gt;"SINAPI",ISNA(VLOOKUP(TRIM(UPPER($S21)),ListaTgov.Unidades,1,FALSE()))),"Unid. Não Disp",
" "))))))))))))))))</f>
        <v> </v>
      </c>
      <c r="AD21" s="1" t="n">
        <f aca="true">IF(C21&lt;=CRONO.NivelExibicao,MAX($AD$15:OFFSET(AD21,-1,0))+IF($C21&lt;&gt;1,1,MAX(1,COUNTIF(QCI!$A$13:$A$16,OFFSET($E21,-1,0)))),"")</f>
        <v>5</v>
      </c>
      <c r="AE21" s="49" t="b">
        <f aca="false">IF(AND($C21="S",ORÇAMENTO.CodBarra&lt;&gt;""),IF(ORÇAMENTO.Fonte="",ORÇAMENTO.CodBarra,CONCATENATE(ORÇAMENTO.Fonte," ",ORÇAMENTO.CodBarra)))</f>
        <v>0</v>
      </c>
      <c r="AF21" s="64" t="str">
        <f aca="true">IF(ISERROR(INDIRECT(ORÇAMENTO.BancoRef)),"(abra o arquivo 'Referência "&amp;Excel_BuiltIn_Database&amp;".xlsm)",IF(OR($C21&lt;&gt;"S",ORÇAMENTO.CodBarra=""),"(Sem Código)",IF(ISERROR(MATCH($AE21,INDIRECT(ORÇAMENTO.BancoRef),0)),"(Código não identificado nas referências)",MATCH($AE21,INDIRECT(ORÇAMENTO.BancoRef),0))))</f>
        <v>(abra o arquivo 'Referência 09-2025.xlsm)</v>
      </c>
      <c r="AG21" s="215" t="n">
        <f aca="true">ROUND(IF(DESONERACAO="sim",REFERENCIA.Desonerado,REFERENCIA.NaoDesonerado),2)</f>
        <v>0</v>
      </c>
      <c r="AH21" s="216" t="n">
        <f aca="false">ROUND(IF(ISNUMBER(ORÇAMENTO.OpcaoBDI),ORÇAMENTO.OpcaoBDI,IF(LEFT(ORÇAMENTO.OpcaoBDI,3)="BDI",HLOOKUP(ORÇAMENTO.OpcaoBDI,$F$4:$H$5,2,FALSE()),0)),15-11*$AF$9)</f>
        <v>0.242</v>
      </c>
      <c r="AJ21" s="217"/>
      <c r="AL21" s="218"/>
      <c r="AM21" s="219" t="n">
        <f aca="false">$X21</f>
        <v>0</v>
      </c>
      <c r="AN21" s="220" t="n">
        <f aca="false">ROUND(ORÇAMENTO.CustoUnitario*(1+$AH21),2)</f>
        <v>0</v>
      </c>
    </row>
    <row r="22" s="1" customFormat="true" ht="25.5" hidden="false" customHeight="false" outlineLevel="0" collapsed="false">
      <c r="A22" s="1" t="str">
        <f aca="false">CHOOSE(1+LOG(1+2*(ORÇAMENTO.Nivel="Meta")+4*(ORÇAMENTO.Nivel="Nível 2")+8*(ORÇAMENTO.Nivel="Nível 3")+16*(ORÇAMENTO.Nivel="Nível 4")+32*(ORÇAMENTO.Nivel="Serviço"),2),0,1,2,3,4,"S")</f>
        <v>S</v>
      </c>
      <c r="B22" s="1" t="n">
        <f aca="true">IF(OR(C22="s",C22=0),OFFSET(B22,-1,0),C22)</f>
        <v>3</v>
      </c>
      <c r="C22" s="1" t="str">
        <f aca="true">IF(OFFSET(C22,-1,0)="L",1,IF(OFFSET(C22,-1,0)=1,2,IF(OR(A22="s",A22=0),"S",IF(AND(OFFSET(C22,-1,0)=2,A22=4),3,IF(AND(OR(OFFSET(C22,-1,0)="s",OFFSET(C22,-1,0)=0),A22&lt;&gt;"s",A22&gt;OFFSET(B22,-1,0)),OFFSET(B22,-1,0),A22)))))</f>
        <v>S</v>
      </c>
      <c r="D22" s="1" t="n">
        <f aca="false">IF(OR(C22="S",C22=0),0,IF(ISERROR(K22),J22,SMALL(J22:K22,1)))</f>
        <v>0</v>
      </c>
      <c r="E22" s="1" t="n">
        <f aca="true">IF($C22=1,OFFSET(E22,-1,0)+MAX(1,COUNTIF(QCI!$A$13:$A$16,OFFSET(ORÇAMENTO!E22,-1,0))),OFFSET(E22,-1,0))</f>
        <v>1</v>
      </c>
      <c r="F22" s="1" t="n">
        <f aca="true">IF($C22=1,0,IF($C22=2,OFFSET(F22,-1,0)+1,OFFSET(F22,-1,0)))</f>
        <v>2</v>
      </c>
      <c r="G22" s="1" t="n">
        <f aca="true">IF(AND($C22&lt;=2,$C22&lt;&gt;0),0,IF($C22=3,OFFSET(G22,-1,0)+1,OFFSET(G22,-1,0)))</f>
        <v>1</v>
      </c>
      <c r="H22" s="1" t="n">
        <f aca="true">IF(AND($C22&lt;=3,$C22&lt;&gt;0),0,IF($C22=4,OFFSET(H22,-1,0)+1,OFFSET(H22,-1,0)))</f>
        <v>0</v>
      </c>
      <c r="I22" s="1" t="n">
        <f aca="true">IF(AND($C22&lt;=4,$C22&lt;&gt;0),0,IF(AND($C22="S",$X22&gt;0),OFFSET(I22,-1,0)+1,OFFSET(I22,-1,0)))</f>
        <v>0</v>
      </c>
      <c r="J22" s="1" t="n">
        <f aca="true">IF(OR($C22="S",$C22=0),0,MATCH(0,OFFSET($D22,1,$C22,ROW($C$40)-ROW($C22)),0))</f>
        <v>0</v>
      </c>
      <c r="K22" s="1" t="n">
        <f aca="true">IF(OR($C22="S",$C22=0),0,MATCH(OFFSET($D22,0,$C22)+IF($C22&lt;&gt;1,1,COUNTIF(QCI!$A$13:$A$16,ORÇAMENTO!E22)),OFFSET($D22,1,$C22,ROW($C$40)-ROW($C22)),0))</f>
        <v>0</v>
      </c>
      <c r="L22" s="199" t="str">
        <f aca="false">IF(OR($X22&gt;0,$C22=1,$C22=2,$C22=3,$C22=4),"F","")</f>
        <v/>
      </c>
      <c r="M22" s="200" t="s">
        <v>722</v>
      </c>
      <c r="N22" s="201" t="str">
        <f aca="false">CHOOSE(1+LOG(1+2*(C22=1)+4*(C22=2)+8*(C22=3)+16*(C22=4)+32*(C22="S"),2),"","Meta","Nível 2","Nível 3","Nível 4","Serviço")</f>
        <v>Serviço</v>
      </c>
      <c r="O22" s="202" t="str">
        <f aca="false">IF(OR($C22=0,$L22=""),"-",CONCATENATE(E22&amp;".",IF(AND($A$5&gt;=2,$C22&gt;=2),F22&amp;".",""),IF(AND($A$5&gt;=3,$C22&gt;=3),G22&amp;".",""),IF(AND($A$5&gt;=4,$C22&gt;=4),H22&amp;".",""),IF($C22="S",I22&amp;".","")))</f>
        <v>-</v>
      </c>
      <c r="P22" s="203" t="s">
        <v>767</v>
      </c>
      <c r="Q22" s="204" t="s">
        <v>776</v>
      </c>
      <c r="R22" s="205" t="str">
        <f aca="true">IF($C22="S",REFERENCIA.Descricao,"(digite a descrição aqui)")</f>
        <v>(abra o arquivo 'Referência 09-2025.xlsm)</v>
      </c>
      <c r="S22" s="206" t="s">
        <v>638</v>
      </c>
      <c r="T22" s="207" t="n">
        <f aca="true">OFFSET(CÁLCULO!H$15,ROW($T22)-ROW(T$15),0)</f>
        <v>3</v>
      </c>
      <c r="U22" s="208" t="n">
        <f aca="false">AG22</f>
        <v>0</v>
      </c>
      <c r="V22" s="209" t="s">
        <v>678</v>
      </c>
      <c r="W22" s="207" t="n">
        <f aca="false">IF($C22="S",ROUND(IF(TIPOORCAMENTO="Proposto",ORÇAMENTO.CustoUnitario*(1+$AH22),ORÇAMENTO.PrecoUnitarioLicitado),15-13*$AF$10),0)</f>
        <v>0</v>
      </c>
      <c r="X22" s="210" t="n">
        <f aca="true" t="array" ref="X22:X22">IF($C22="S",IF(OR(Import.TipoArredondamento&lt;&gt;"TransfereGOV",ACOMPANHAMENTO="BM"),VTOTAL1,SUM(OFFSET(CÁLCULO!$AA$15,ROW($X22)-ROW($X$15),1):OFFSET(CÁLCULO!$AL$15,ROW($X22)-ROW($X$15),-1))),IF($C22=0,0,ROUND(SomaAgrup,15-13*$AF$11)))</f>
        <v>0</v>
      </c>
      <c r="Y22" s="211" t="s">
        <v>768</v>
      </c>
      <c r="Z22" s="1" t="str">
        <f aca="false">IF(AND($C22="S",$X22&gt;0),IF(ISBLANK($Y22),"RA",LEFT($Y22,2)),"")</f>
        <v/>
      </c>
      <c r="AA22" s="212" t="n">
        <f aca="true">IF($C22="S",IF($Z22="CP",$X22,IF($Z22="RA",(($X22)*QCI!$AA$3),0)),SomaAgrup)</f>
        <v>0</v>
      </c>
      <c r="AB22" s="213" t="n">
        <f aca="true">IF($C22="S",IF($Z22="OU",ROUND($X22,2),0),SomaAgrup)</f>
        <v>0</v>
      </c>
      <c r="AC22" s="214" t="str">
        <f aca="false">IF($N22=""," ",
IF(AND($C22&lt;&gt;"S",OR($R22="",$R22="(digite a descrição aqui)")),"DESCRIÇÃO",
IF(AND($C22="S",OR($Q22&lt;&gt;0,$T22&gt;0,$U22&gt;0),$P22=0),"FONTE",
IF(AND($C22="S",$P22&lt;&gt;0,OR($T22&gt;0,$U22&gt;0),$Q22=0),"CÓDIGO",
IF(AND($C22="S",$P22&lt;&gt;0,$Q22&lt;&gt;0,$R22="(Código não identificado nas referências)"),"CÓDIGO N/ID",
IF(AND($C22="S",OR($R22="",$R22="(digite a descrição aqui)"),OR($Q22&lt;&gt;0,$T22&gt;0,$U22&gt;0)),"DESCRIÇÃO",
IF(AND($C22="S",$P22&lt;&gt;0,$Q22&lt;&gt;0,$S22=""),"UNIDADE",
IF(AND($C22="S",$P22&lt;&gt;0,$Q22&lt;&gt;0,$U22=0),"SEM CUSTO",
IF(AND(TIPOORCAMENTO="Licitado",$AL22=0,$AN22&gt;0),"SEM PREÇO",
IF(AND($C22="S",$P22&lt;&gt;0,$Q22&lt;&gt;0,$U22&gt;0,$V22=0),"BDI",
IF(OR(AND(TIPOORCAMENTO="Proposto",$AG22&lt;&gt;"",$AG22&gt;0,ORÇAMENTO.CustoUnitario&gt;$AG22),AND(TIPOORCAMENTO="LICITADO",ORÇAMENTO.PrecoUnitarioLicitado&gt;$AN22)),"ACIMA REF.",
IF(AND($C22="S",$P22&lt;&gt;0,$Q22&lt;&gt;0,$T22=0,$U22&gt;0),"QUANT.",
IF(AND(Import.TipoArredondamento="TransfereGOV",$L22="F",$C22="S",LEN($Q22)&gt;13),"Código &gt;13",
IF(AND(Import.TipoArredondamento="TransfereGOV",$L22="F",$C22&lt;&gt;"S",LEN($R22)&gt;100),"Descrição &gt;100",
IF(AND(Import.TipoArredondamento="TransfereGOV",$L22="F",$C22="S",LEN($R22)&gt;500),"Descrição &gt;500",
IF(AND(Import.TipoArredondamento="TransfereGOV",$L22="F",$C22="S",LEFT(TRIM(UPPER($P22)),6)&lt;&gt;"SINAPI",ISNA(VLOOKUP(TRIM(UPPER($S22)),ListaTgov.Unidades,1,FALSE()))),"Unid. Não Disp",
" "))))))))))))))))</f>
        <v>SEM CUSTO</v>
      </c>
      <c r="AD22" s="1" t="str">
        <f aca="true">IF(C22&lt;=CRONO.NivelExibicao,MAX($AD$15:OFFSET(AD22,-1,0))+IF($C22&lt;&gt;1,1,MAX(1,COUNTIF(QCI!$A$13:$A$16,OFFSET($E22,-1,0)))),"")</f>
        <v/>
      </c>
      <c r="AE22" s="49" t="str">
        <f aca="false">IF(AND($C22="S",ORÇAMENTO.CodBarra&lt;&gt;""),IF(ORÇAMENTO.Fonte="",ORÇAMENTO.CodBarra,CONCATENATE(ORÇAMENTO.Fonte," ",ORÇAMENTO.CodBarra)))</f>
        <v>SINAPI 103689</v>
      </c>
      <c r="AF22" s="64" t="str">
        <f aca="true">IF(ISERROR(INDIRECT(ORÇAMENTO.BancoRef)),"(abra o arquivo 'Referência "&amp;Excel_BuiltIn_Database&amp;".xlsm)",IF(OR($C22&lt;&gt;"S",ORÇAMENTO.CodBarra=""),"(Sem Código)",IF(ISERROR(MATCH($AE22,INDIRECT(ORÇAMENTO.BancoRef),0)),"(Código não identificado nas referências)",MATCH($AE22,INDIRECT(ORÇAMENTO.BancoRef),0))))</f>
        <v>(abra o arquivo 'Referência 09-2025.xlsm)</v>
      </c>
      <c r="AG22" s="215" t="n">
        <f aca="true">ROUND(IF(DESONERACAO="sim",REFERENCIA.Desonerado,REFERENCIA.NaoDesonerado),2)</f>
        <v>0</v>
      </c>
      <c r="AH22" s="216" t="n">
        <f aca="false">ROUND(IF(ISNUMBER(ORÇAMENTO.OpcaoBDI),ORÇAMENTO.OpcaoBDI,IF(LEFT(ORÇAMENTO.OpcaoBDI,3)="BDI",HLOOKUP(ORÇAMENTO.OpcaoBDI,$F$4:$H$5,2,FALSE()),0)),15-11*$AF$9)</f>
        <v>0.242</v>
      </c>
      <c r="AJ22" s="217" t="n">
        <f aca="false">2*1.5</f>
        <v>3</v>
      </c>
      <c r="AL22" s="218"/>
      <c r="AM22" s="219" t="n">
        <f aca="false">$X22</f>
        <v>0</v>
      </c>
      <c r="AN22" s="220" t="n">
        <f aca="false">ROUND(ORÇAMENTO.CustoUnitario*(1+$AH22),2)</f>
        <v>0</v>
      </c>
    </row>
    <row r="23" s="1" customFormat="true" ht="12.75" hidden="false" customHeight="false" outlineLevel="0" collapsed="false">
      <c r="A23" s="1" t="n">
        <f aca="false">CHOOSE(1+LOG(1+2*(ORÇAMENTO.Nivel="Meta")+4*(ORÇAMENTO.Nivel="Nível 2")+8*(ORÇAMENTO.Nivel="Nível 3")+16*(ORÇAMENTO.Nivel="Nível 4")+32*(ORÇAMENTO.Nivel="Serviço"),2),0,1,2,3,4,"S")</f>
        <v>2</v>
      </c>
      <c r="B23" s="1" t="n">
        <f aca="true">IF(OR(C23="s",C23=0),OFFSET(B23,-1,0),C23)</f>
        <v>2</v>
      </c>
      <c r="C23" s="1" t="n">
        <f aca="true">IF(OFFSET(C23,-1,0)="L",1,IF(OFFSET(C23,-1,0)=1,2,IF(OR(A23="s",A23=0),"S",IF(AND(OFFSET(C23,-1,0)=2,A23=4),3,IF(AND(OR(OFFSET(C23,-1,0)="s",OFFSET(C23,-1,0)=0),A23&lt;&gt;"s",A23&gt;OFFSET(B23,-1,0)),OFFSET(B23,-1,0),A23)))))</f>
        <v>2</v>
      </c>
      <c r="D23" s="1" t="n">
        <f aca="false">IF(OR(C23="S",C23=0),0,IF(ISERROR(K23),J23,SMALL(J23:K23,1)))</f>
        <v>17</v>
      </c>
      <c r="E23" s="1" t="n">
        <f aca="true">IF($C23=1,OFFSET(E23,-1,0)+MAX(1,COUNTIF(QCI!$A$13:$A$16,OFFSET(ORÇAMENTO!E23,-1,0))),OFFSET(E23,-1,0))</f>
        <v>1</v>
      </c>
      <c r="F23" s="1" t="n">
        <f aca="true">IF($C23=1,0,IF($C23=2,OFFSET(F23,-1,0)+1,OFFSET(F23,-1,0)))</f>
        <v>3</v>
      </c>
      <c r="G23" s="1" t="n">
        <f aca="true">IF(AND($C23&lt;=2,$C23&lt;&gt;0),0,IF($C23=3,OFFSET(G23,-1,0)+1,OFFSET(G23,-1,0)))</f>
        <v>0</v>
      </c>
      <c r="H23" s="1" t="n">
        <f aca="true">IF(AND($C23&lt;=3,$C23&lt;&gt;0),0,IF($C23=4,OFFSET(H23,-1,0)+1,OFFSET(H23,-1,0)))</f>
        <v>0</v>
      </c>
      <c r="I23" s="1" t="n">
        <f aca="true">IF(AND($C23&lt;=4,$C23&lt;&gt;0),0,IF(AND($C23="S",$X23&gt;0),OFFSET(I23,-1,0)+1,OFFSET(I23,-1,0)))</f>
        <v>0</v>
      </c>
      <c r="J23" s="1" t="n">
        <f aca="true">IF(OR($C23="S",$C23=0),0,MATCH(0,OFFSET($D23,1,$C23,ROW($C$40)-ROW($C23)),0))</f>
        <v>17</v>
      </c>
      <c r="K23" s="1" t="e">
        <f aca="true">IF(OR($C23="S",$C23=0),0,MATCH(OFFSET($D23,0,$C23)+IF($C23&lt;&gt;1,1,COUNTIF(QCI!$A$13:$A$16,ORÇAMENTO!E23)),OFFSET($D23,1,$C23,ROW($C$40)-ROW($C23)),0))</f>
        <v>#N/A</v>
      </c>
      <c r="L23" s="199" t="str">
        <f aca="false">IF(OR($X23&gt;0,$C23=1,$C23=2,$C23=3,$C23=4),"F","")</f>
        <v>F</v>
      </c>
      <c r="M23" s="200" t="s">
        <v>719</v>
      </c>
      <c r="N23" s="201" t="str">
        <f aca="false">CHOOSE(1+LOG(1+2*(C23=1)+4*(C23=2)+8*(C23=3)+16*(C23=4)+32*(C23="S"),2),"","Meta","Nível 2","Nível 3","Nível 4","Serviço")</f>
        <v>Nível 2</v>
      </c>
      <c r="O23" s="202" t="str">
        <f aca="false">IF(OR($C23=0,$L23=""),"-",CONCATENATE(E23&amp;".",IF(AND($A$5&gt;=2,$C23&gt;=2),F23&amp;".",""),IF(AND($A$5&gt;=3,$C23&gt;=3),G23&amp;".",""),IF(AND($A$5&gt;=4,$C23&gt;=4),H23&amp;".",""),IF($C23="S",I23&amp;".","")))</f>
        <v>1.3.</v>
      </c>
      <c r="P23" s="203" t="s">
        <v>767</v>
      </c>
      <c r="Q23" s="204"/>
      <c r="R23" s="237" t="s">
        <v>777</v>
      </c>
      <c r="S23" s="206" t="str">
        <f aca="true">REFERENCIA.Unidade</f>
        <v>-</v>
      </c>
      <c r="T23" s="207" t="n">
        <f aca="true">OFFSET(CÁLCULO!H$15,ROW($T23)-ROW(T$15),0)</f>
        <v>0</v>
      </c>
      <c r="U23" s="208"/>
      <c r="V23" s="209" t="s">
        <v>678</v>
      </c>
      <c r="W23" s="207" t="n">
        <f aca="false">IF($C23="S",ROUND(IF(TIPOORCAMENTO="Proposto",ORÇAMENTO.CustoUnitario*(1+$AH23),ORÇAMENTO.PrecoUnitarioLicitado),15-13*$AF$10),0)</f>
        <v>0</v>
      </c>
      <c r="X23" s="210" t="n">
        <f aca="true" t="array" ref="X23:X23">IF($C23="S",IF(OR(Import.TipoArredondamento&lt;&gt;"TransfereGOV",ACOMPANHAMENTO="BM"),VTOTAL1,SUM(OFFSET(CÁLCULO!$AA$15,ROW($X23)-ROW($X$15),1):OFFSET(CÁLCULO!$AL$15,ROW($X23)-ROW($X$15),-1))),IF($C23=0,0,ROUND(SomaAgrup,15-13*$AF$11)))</f>
        <v>4413.98727</v>
      </c>
      <c r="Y23" s="211" t="s">
        <v>768</v>
      </c>
      <c r="Z23" s="1" t="str">
        <f aca="false">IF(AND($C23="S",$X23&gt;0),IF(ISBLANK($Y23),"RA",LEFT($Y23,2)),"")</f>
        <v/>
      </c>
      <c r="AA23" s="212" t="n">
        <f aca="true">IF($C23="S",IF($Z23="CP",$X23,IF($Z23="RA",(($X23)*QCI!$AA$3),0)),SomaAgrup)</f>
        <v>0</v>
      </c>
      <c r="AB23" s="213" t="n">
        <f aca="true">IF($C23="S",IF($Z23="OU",ROUND($X23,2),0),SomaAgrup)</f>
        <v>0</v>
      </c>
      <c r="AC23" s="214" t="str">
        <f aca="false">IF($N23=""," ",
IF(AND($C23&lt;&gt;"S",OR($R23="",$R23="(digite a descrição aqui)")),"DESCRIÇÃO",
IF(AND($C23="S",OR($Q23&lt;&gt;0,$T23&gt;0,$U23&gt;0),$P23=0),"FONTE",
IF(AND($C23="S",$P23&lt;&gt;0,OR($T23&gt;0,$U23&gt;0),$Q23=0),"CÓDIGO",
IF(AND($C23="S",$P23&lt;&gt;0,$Q23&lt;&gt;0,$R23="(Código não identificado nas referências)"),"CÓDIGO N/ID",
IF(AND($C23="S",OR($R23="",$R23="(digite a descrição aqui)"),OR($Q23&lt;&gt;0,$T23&gt;0,$U23&gt;0)),"DESCRIÇÃO",
IF(AND($C23="S",$P23&lt;&gt;0,$Q23&lt;&gt;0,$S23=""),"UNIDADE",
IF(AND($C23="S",$P23&lt;&gt;0,$Q23&lt;&gt;0,$U23=0),"SEM CUSTO",
IF(AND(TIPOORCAMENTO="Licitado",$AL23=0,$AN23&gt;0),"SEM PREÇO",
IF(AND($C23="S",$P23&lt;&gt;0,$Q23&lt;&gt;0,$U23&gt;0,$V23=0),"BDI",
IF(OR(AND(TIPOORCAMENTO="Proposto",$AG23&lt;&gt;"",$AG23&gt;0,ORÇAMENTO.CustoUnitario&gt;$AG23),AND(TIPOORCAMENTO="LICITADO",ORÇAMENTO.PrecoUnitarioLicitado&gt;$AN23)),"ACIMA REF.",
IF(AND($C23="S",$P23&lt;&gt;0,$Q23&lt;&gt;0,$T23=0,$U23&gt;0),"QUANT.",
IF(AND(Import.TipoArredondamento="TransfereGOV",$L23="F",$C23="S",LEN($Q23)&gt;13),"Código &gt;13",
IF(AND(Import.TipoArredondamento="TransfereGOV",$L23="F",$C23&lt;&gt;"S",LEN($R23)&gt;100),"Descrição &gt;100",
IF(AND(Import.TipoArredondamento="TransfereGOV",$L23="F",$C23="S",LEN($R23)&gt;500),"Descrição &gt;500",
IF(AND(Import.TipoArredondamento="TransfereGOV",$L23="F",$C23="S",LEFT(TRIM(UPPER($P23)),6)&lt;&gt;"SINAPI",ISNA(VLOOKUP(TRIM(UPPER($S23)),ListaTgov.Unidades,1,FALSE()))),"Unid. Não Disp",
" "))))))))))))))))</f>
        <v> </v>
      </c>
      <c r="AD23" s="1" t="n">
        <f aca="true">IF(C23&lt;=CRONO.NivelExibicao,MAX($AD$15:OFFSET(AD23,-1,0))+IF($C23&lt;&gt;1,1,MAX(1,COUNTIF(QCI!$A$13:$A$16,OFFSET($E23,-1,0)))),"")</f>
        <v>6</v>
      </c>
      <c r="AE23" s="49" t="b">
        <f aca="false">IF(AND($C23="S",ORÇAMENTO.CodBarra&lt;&gt;""),IF(ORÇAMENTO.Fonte="",ORÇAMENTO.CodBarra,CONCATENATE(ORÇAMENTO.Fonte," ",ORÇAMENTO.CodBarra)))</f>
        <v>0</v>
      </c>
      <c r="AF23" s="64" t="str">
        <f aca="true">IF(ISERROR(INDIRECT(ORÇAMENTO.BancoRef)),"(abra o arquivo 'Referência "&amp;Excel_BuiltIn_Database&amp;".xlsm)",IF(OR($C23&lt;&gt;"S",ORÇAMENTO.CodBarra=""),"(Sem Código)",IF(ISERROR(MATCH($AE23,INDIRECT(ORÇAMENTO.BancoRef),0)),"(Código não identificado nas referências)",MATCH($AE23,INDIRECT(ORÇAMENTO.BancoRef),0))))</f>
        <v>(abra o arquivo 'Referência 09-2025.xlsm)</v>
      </c>
      <c r="AG23" s="215" t="n">
        <f aca="true">ROUND(IF(DESONERACAO="sim",REFERENCIA.Desonerado,REFERENCIA.NaoDesonerado),2)</f>
        <v>0</v>
      </c>
      <c r="AH23" s="216" t="n">
        <f aca="false">ROUND(IF(ISNUMBER(ORÇAMENTO.OpcaoBDI),ORÇAMENTO.OpcaoBDI,IF(LEFT(ORÇAMENTO.OpcaoBDI,3)="BDI",HLOOKUP(ORÇAMENTO.OpcaoBDI,$F$4:$H$5,2,FALSE()),0)),15-11*$AF$9)</f>
        <v>0.242</v>
      </c>
      <c r="AJ23" s="217"/>
      <c r="AL23" s="218"/>
      <c r="AM23" s="219" t="n">
        <f aca="false">$X23</f>
        <v>4413.98727</v>
      </c>
      <c r="AN23" s="220" t="n">
        <f aca="false">ROUND(ORÇAMENTO.CustoUnitario*(1+$AH23),2)</f>
        <v>0</v>
      </c>
    </row>
    <row r="24" s="1" customFormat="true" ht="12.75" hidden="false" customHeight="false" outlineLevel="0" collapsed="false">
      <c r="A24" s="1" t="n">
        <f aca="false">CHOOSE(1+LOG(1+2*(ORÇAMENTO.Nivel="Meta")+4*(ORÇAMENTO.Nivel="Nível 2")+8*(ORÇAMENTO.Nivel="Nível 3")+16*(ORÇAMENTO.Nivel="Nível 4")+32*(ORÇAMENTO.Nivel="Serviço"),2),0,1,2,3,4,"S")</f>
        <v>3</v>
      </c>
      <c r="B24" s="1" t="n">
        <f aca="true">IF(OR(C24="s",C24=0),OFFSET(B24,-1,0),C24)</f>
        <v>3</v>
      </c>
      <c r="C24" s="1" t="n">
        <f aca="true">IF(OFFSET(C24,-1,0)="L",1,IF(OFFSET(C24,-1,0)=1,2,IF(OR(A24="s",A24=0),"S",IF(AND(OFFSET(C24,-1,0)=2,A24=4),3,IF(AND(OR(OFFSET(C24,-1,0)="s",OFFSET(C24,-1,0)=0),A24&lt;&gt;"s",A24&gt;OFFSET(B24,-1,0)),OFFSET(B24,-1,0),A24)))))</f>
        <v>3</v>
      </c>
      <c r="D24" s="1" t="n">
        <f aca="false">IF(OR(C24="S",C24=0),0,IF(ISERROR(K24),J24,SMALL(J24:K24,1)))</f>
        <v>4</v>
      </c>
      <c r="E24" s="1" t="n">
        <f aca="true">IF($C24=1,OFFSET(E24,-1,0)+MAX(1,COUNTIF(QCI!$A$13:$A$16,OFFSET(ORÇAMENTO!E24,-1,0))),OFFSET(E24,-1,0))</f>
        <v>1</v>
      </c>
      <c r="F24" s="1" t="n">
        <f aca="true">IF($C24=1,0,IF($C24=2,OFFSET(F24,-1,0)+1,OFFSET(F24,-1,0)))</f>
        <v>3</v>
      </c>
      <c r="G24" s="1" t="n">
        <f aca="true">IF(AND($C24&lt;=2,$C24&lt;&gt;0),0,IF($C24=3,OFFSET(G24,-1,0)+1,OFFSET(G24,-1,0)))</f>
        <v>1</v>
      </c>
      <c r="H24" s="1" t="n">
        <f aca="true">IF(AND($C24&lt;=3,$C24&lt;&gt;0),0,IF($C24=4,OFFSET(H24,-1,0)+1,OFFSET(H24,-1,0)))</f>
        <v>0</v>
      </c>
      <c r="I24" s="1" t="n">
        <f aca="true">IF(AND($C24&lt;=4,$C24&lt;&gt;0),0,IF(AND($C24="S",$X24&gt;0),OFFSET(I24,-1,0)+1,OFFSET(I24,-1,0)))</f>
        <v>0</v>
      </c>
      <c r="J24" s="1" t="n">
        <f aca="true">IF(OR($C24="S",$C24=0),0,MATCH(0,OFFSET($D24,1,$C24,ROW($C$40)-ROW($C24)),0))</f>
        <v>16</v>
      </c>
      <c r="K24" s="1" t="n">
        <f aca="true">IF(OR($C24="S",$C24=0),0,MATCH(OFFSET($D24,0,$C24)+IF($C24&lt;&gt;1,1,COUNTIF(QCI!$A$13:$A$16,ORÇAMENTO!E24)),OFFSET($D24,1,$C24,ROW($C$40)-ROW($C24)),0))</f>
        <v>4</v>
      </c>
      <c r="L24" s="199" t="str">
        <f aca="false">IF(OR($X24&gt;0,$C24=1,$C24=2,$C24=3,$C24=4),"F","")</f>
        <v>F</v>
      </c>
      <c r="M24" s="200" t="s">
        <v>720</v>
      </c>
      <c r="N24" s="201" t="str">
        <f aca="false">CHOOSE(1+LOG(1+2*(C24=1)+4*(C24=2)+8*(C24=3)+16*(C24=4)+32*(C24="S"),2),"","Meta","Nível 2","Nível 3","Nível 4","Serviço")</f>
        <v>Nível 3</v>
      </c>
      <c r="O24" s="202" t="str">
        <f aca="false">IF(OR($C24=0,$L24=""),"-",CONCATENATE(E24&amp;".",IF(AND($A$5&gt;=2,$C24&gt;=2),F24&amp;".",""),IF(AND($A$5&gt;=3,$C24&gt;=3),G24&amp;".",""),IF(AND($A$5&gt;=4,$C24&gt;=4),H24&amp;".",""),IF($C24="S",I24&amp;".","")))</f>
        <v>1.3.1.</v>
      </c>
      <c r="P24" s="203" t="s">
        <v>767</v>
      </c>
      <c r="Q24" s="204"/>
      <c r="R24" s="205" t="s">
        <v>778</v>
      </c>
      <c r="S24" s="206" t="str">
        <f aca="true">REFERENCIA.Unidade</f>
        <v>-</v>
      </c>
      <c r="T24" s="207" t="n">
        <f aca="true">OFFSET(CÁLCULO!H$15,ROW($T24)-ROW(T$15),0)</f>
        <v>0</v>
      </c>
      <c r="U24" s="208"/>
      <c r="V24" s="209" t="s">
        <v>678</v>
      </c>
      <c r="W24" s="207" t="n">
        <f aca="false">IF($C24="S",ROUND(IF(TIPOORCAMENTO="Proposto",ORÇAMENTO.CustoUnitario*(1+$AH24),ORÇAMENTO.PrecoUnitarioLicitado),15-13*$AF$10),0)</f>
        <v>0</v>
      </c>
      <c r="X24" s="210" t="n">
        <f aca="true" t="array" ref="X24:X24">IF($C24="S",IF(OR(Import.TipoArredondamento&lt;&gt;"TransfereGOV",ACOMPANHAMENTO="BM"),VTOTAL1,SUM(OFFSET(CÁLCULO!$AA$15,ROW($X24)-ROW($X$15),1):OFFSET(CÁLCULO!$AL$15,ROW($X24)-ROW($X$15),-1))),IF($C24=0,0,ROUND(SomaAgrup,15-13*$AF$11)))</f>
        <v>0</v>
      </c>
      <c r="Y24" s="211" t="s">
        <v>768</v>
      </c>
      <c r="Z24" s="1" t="str">
        <f aca="false">IF(AND($C24="S",$X24&gt;0),IF(ISBLANK($Y24),"RA",LEFT($Y24,2)),"")</f>
        <v/>
      </c>
      <c r="AA24" s="212" t="n">
        <f aca="true">IF($C24="S",IF($Z24="CP",$X24,IF($Z24="RA",(($X24)*QCI!$AA$3),0)),SomaAgrup)</f>
        <v>0</v>
      </c>
      <c r="AB24" s="213" t="n">
        <f aca="true">IF($C24="S",IF($Z24="OU",ROUND($X24,2),0),SomaAgrup)</f>
        <v>0</v>
      </c>
      <c r="AC24" s="214" t="str">
        <f aca="false">IF($N24=""," ",
IF(AND($C24&lt;&gt;"S",OR($R24="",$R24="(digite a descrição aqui)")),"DESCRIÇÃO",
IF(AND($C24="S",OR($Q24&lt;&gt;0,$T24&gt;0,$U24&gt;0),$P24=0),"FONTE",
IF(AND($C24="S",$P24&lt;&gt;0,OR($T24&gt;0,$U24&gt;0),$Q24=0),"CÓDIGO",
IF(AND($C24="S",$P24&lt;&gt;0,$Q24&lt;&gt;0,$R24="(Código não identificado nas referências)"),"CÓDIGO N/ID",
IF(AND($C24="S",OR($R24="",$R24="(digite a descrição aqui)"),OR($Q24&lt;&gt;0,$T24&gt;0,$U24&gt;0)),"DESCRIÇÃO",
IF(AND($C24="S",$P24&lt;&gt;0,$Q24&lt;&gt;0,$S24=""),"UNIDADE",
IF(AND($C24="S",$P24&lt;&gt;0,$Q24&lt;&gt;0,$U24=0),"SEM CUSTO",
IF(AND(TIPOORCAMENTO="Licitado",$AL24=0,$AN24&gt;0),"SEM PREÇO",
IF(AND($C24="S",$P24&lt;&gt;0,$Q24&lt;&gt;0,$U24&gt;0,$V24=0),"BDI",
IF(OR(AND(TIPOORCAMENTO="Proposto",$AG24&lt;&gt;"",$AG24&gt;0,ORÇAMENTO.CustoUnitario&gt;$AG24),AND(TIPOORCAMENTO="LICITADO",ORÇAMENTO.PrecoUnitarioLicitado&gt;$AN24)),"ACIMA REF.",
IF(AND($C24="S",$P24&lt;&gt;0,$Q24&lt;&gt;0,$T24=0,$U24&gt;0),"QUANT.",
IF(AND(Import.TipoArredondamento="TransfereGOV",$L24="F",$C24="S",LEN($Q24)&gt;13),"Código &gt;13",
IF(AND(Import.TipoArredondamento="TransfereGOV",$L24="F",$C24&lt;&gt;"S",LEN($R24)&gt;100),"Descrição &gt;100",
IF(AND(Import.TipoArredondamento="TransfereGOV",$L24="F",$C24="S",LEN($R24)&gt;500),"Descrição &gt;500",
IF(AND(Import.TipoArredondamento="TransfereGOV",$L24="F",$C24="S",LEFT(TRIM(UPPER($P24)),6)&lt;&gt;"SINAPI",ISNA(VLOOKUP(TRIM(UPPER($S24)),ListaTgov.Unidades,1,FALSE()))),"Unid. Não Disp",
" "))))))))))))))))</f>
        <v> </v>
      </c>
      <c r="AD24" s="1" t="n">
        <f aca="true">IF(C24&lt;=CRONO.NivelExibicao,MAX($AD$15:OFFSET(AD24,-1,0))+IF($C24&lt;&gt;1,1,MAX(1,COUNTIF(QCI!$A$13:$A$16,OFFSET($E24,-1,0)))),"")</f>
        <v>7</v>
      </c>
      <c r="AE24" s="49" t="b">
        <f aca="false">IF(AND($C24="S",ORÇAMENTO.CodBarra&lt;&gt;""),IF(ORÇAMENTO.Fonte="",ORÇAMENTO.CodBarra,CONCATENATE(ORÇAMENTO.Fonte," ",ORÇAMENTO.CodBarra)))</f>
        <v>0</v>
      </c>
      <c r="AF24" s="64" t="str">
        <f aca="true">IF(ISERROR(INDIRECT(ORÇAMENTO.BancoRef)),"(abra o arquivo 'Referência "&amp;Excel_BuiltIn_Database&amp;".xlsm)",IF(OR($C24&lt;&gt;"S",ORÇAMENTO.CodBarra=""),"(Sem Código)",IF(ISERROR(MATCH($AE24,INDIRECT(ORÇAMENTO.BancoRef),0)),"(Código não identificado nas referências)",MATCH($AE24,INDIRECT(ORÇAMENTO.BancoRef),0))))</f>
        <v>(abra o arquivo 'Referência 09-2025.xlsm)</v>
      </c>
      <c r="AG24" s="215" t="n">
        <f aca="true">ROUND(IF(DESONERACAO="sim",REFERENCIA.Desonerado,REFERENCIA.NaoDesonerado),2)</f>
        <v>0</v>
      </c>
      <c r="AH24" s="216" t="n">
        <f aca="false">ROUND(IF(ISNUMBER(ORÇAMENTO.OpcaoBDI),ORÇAMENTO.OpcaoBDI,IF(LEFT(ORÇAMENTO.OpcaoBDI,3)="BDI",HLOOKUP(ORÇAMENTO.OpcaoBDI,$F$4:$H$5,2,FALSE()),0)),15-11*$AF$9)</f>
        <v>0.242</v>
      </c>
      <c r="AJ24" s="217"/>
      <c r="AL24" s="218"/>
      <c r="AM24" s="219" t="n">
        <f aca="false">$X24</f>
        <v>0</v>
      </c>
      <c r="AN24" s="220" t="n">
        <f aca="false">ROUND(ORÇAMENTO.CustoUnitario*(1+$AH24),2)</f>
        <v>0</v>
      </c>
    </row>
    <row r="25" s="1" customFormat="true" ht="25.5" hidden="false" customHeight="false" outlineLevel="0" collapsed="false">
      <c r="A25" s="1" t="str">
        <f aca="false">CHOOSE(1+LOG(1+2*(ORÇAMENTO.Nivel="Meta")+4*(ORÇAMENTO.Nivel="Nível 2")+8*(ORÇAMENTO.Nivel="Nível 3")+16*(ORÇAMENTO.Nivel="Nível 4")+32*(ORÇAMENTO.Nivel="Serviço"),2),0,1,2,3,4,"S")</f>
        <v>S</v>
      </c>
      <c r="B25" s="1" t="n">
        <f aca="true">IF(OR(C25="s",C25=0),OFFSET(B25,-1,0),C25)</f>
        <v>3</v>
      </c>
      <c r="C25" s="1" t="str">
        <f aca="true">IF(OFFSET(C25,-1,0)="L",1,IF(OFFSET(C25,-1,0)=1,2,IF(OR(A25="s",A25=0),"S",IF(AND(OFFSET(C25,-1,0)=2,A25=4),3,IF(AND(OR(OFFSET(C25,-1,0)="s",OFFSET(C25,-1,0)=0),A25&lt;&gt;"s",A25&gt;OFFSET(B25,-1,0)),OFFSET(B25,-1,0),A25)))))</f>
        <v>S</v>
      </c>
      <c r="D25" s="1" t="n">
        <f aca="false">IF(OR(C25="S",C25=0),0,IF(ISERROR(K25),J25,SMALL(J25:K25,1)))</f>
        <v>0</v>
      </c>
      <c r="E25" s="1" t="n">
        <f aca="true">IF($C25=1,OFFSET(E25,-1,0)+MAX(1,COUNTIF(QCI!$A$13:$A$16,OFFSET(ORÇAMENTO!E25,-1,0))),OFFSET(E25,-1,0))</f>
        <v>1</v>
      </c>
      <c r="F25" s="1" t="n">
        <f aca="true">IF($C25=1,0,IF($C25=2,OFFSET(F25,-1,0)+1,OFFSET(F25,-1,0)))</f>
        <v>3</v>
      </c>
      <c r="G25" s="1" t="n">
        <f aca="true">IF(AND($C25&lt;=2,$C25&lt;&gt;0),0,IF($C25=3,OFFSET(G25,-1,0)+1,OFFSET(G25,-1,0)))</f>
        <v>1</v>
      </c>
      <c r="H25" s="1" t="n">
        <f aca="true">IF(AND($C25&lt;=3,$C25&lt;&gt;0),0,IF($C25=4,OFFSET(H25,-1,0)+1,OFFSET(H25,-1,0)))</f>
        <v>0</v>
      </c>
      <c r="I25" s="1" t="n">
        <f aca="true">IF(AND($C25&lt;=4,$C25&lt;&gt;0),0,IF(AND($C25="S",$X25&gt;0),OFFSET(I25,-1,0)+1,OFFSET(I25,-1,0)))</f>
        <v>0</v>
      </c>
      <c r="J25" s="1" t="n">
        <f aca="true">IF(OR($C25="S",$C25=0),0,MATCH(0,OFFSET($D25,1,$C25,ROW($C$40)-ROW($C25)),0))</f>
        <v>0</v>
      </c>
      <c r="K25" s="1" t="n">
        <f aca="true">IF(OR($C25="S",$C25=0),0,MATCH(OFFSET($D25,0,$C25)+IF($C25&lt;&gt;1,1,COUNTIF(QCI!$A$13:$A$16,ORÇAMENTO!E25)),OFFSET($D25,1,$C25,ROW($C$40)-ROW($C25)),0))</f>
        <v>0</v>
      </c>
      <c r="L25" s="199" t="str">
        <f aca="false">IF(OR($X25&gt;0,$C25=1,$C25=2,$C25=3,$C25=4),"F","")</f>
        <v/>
      </c>
      <c r="M25" s="200" t="s">
        <v>722</v>
      </c>
      <c r="N25" s="201" t="str">
        <f aca="false">CHOOSE(1+LOG(1+2*(C25=1)+4*(C25=2)+8*(C25=3)+16*(C25=4)+32*(C25="S"),2),"","Meta","Nível 2","Nível 3","Nível 4","Serviço")</f>
        <v>Serviço</v>
      </c>
      <c r="O25" s="202" t="str">
        <f aca="false">IF(OR($C25=0,$L25=""),"-",CONCATENATE(E25&amp;".",IF(AND($A$5&gt;=2,$C25&gt;=2),F25&amp;".",""),IF(AND($A$5&gt;=3,$C25&gt;=3),G25&amp;".",""),IF(AND($A$5&gt;=4,$C25&gt;=4),H25&amp;".",""),IF($C25="S",I25&amp;".","")))</f>
        <v>-</v>
      </c>
      <c r="P25" s="203" t="s">
        <v>767</v>
      </c>
      <c r="Q25" s="238" t="s">
        <v>779</v>
      </c>
      <c r="R25" s="205" t="str">
        <f aca="true">IF($C25="S",REFERENCIA.Descricao,"(digite a descrição aqui)")</f>
        <v>(abra o arquivo 'Referência 09-2025.xlsm)</v>
      </c>
      <c r="S25" s="206" t="str">
        <f aca="true">REFERENCIA.Unidade</f>
        <v>-</v>
      </c>
      <c r="T25" s="207" t="n">
        <f aca="true">OFFSET(CÁLCULO!H$15,ROW($T25)-ROW(T$15),0)</f>
        <v>366.86</v>
      </c>
      <c r="U25" s="208" t="n">
        <f aca="false">AG25</f>
        <v>0</v>
      </c>
      <c r="V25" s="209" t="s">
        <v>678</v>
      </c>
      <c r="W25" s="207" t="n">
        <f aca="false">IF($C25="S",ROUND(IF(TIPOORCAMENTO="Proposto",ORÇAMENTO.CustoUnitario*(1+$AH25),ORÇAMENTO.PrecoUnitarioLicitado),15-13*$AF$10),0)</f>
        <v>0</v>
      </c>
      <c r="X25" s="210" t="n">
        <f aca="true" t="array" ref="X25:X25">IF($C25="S",IF(OR(Import.TipoArredondamento&lt;&gt;"TransfereGOV",ACOMPANHAMENTO="BM"),VTOTAL1,SUM(OFFSET(CÁLCULO!$AA$15,ROW($X25)-ROW($X$15),1):OFFSET(CÁLCULO!$AL$15,ROW($X25)-ROW($X$15),-1))),IF($C25=0,0,ROUND(SomaAgrup,15-13*$AF$11)))</f>
        <v>0</v>
      </c>
      <c r="Y25" s="211" t="s">
        <v>768</v>
      </c>
      <c r="Z25" s="1" t="str">
        <f aca="false">IF(AND($C25="S",$X25&gt;0),IF(ISBLANK($Y25),"RA",LEFT($Y25,2)),"")</f>
        <v/>
      </c>
      <c r="AA25" s="212" t="n">
        <f aca="true">IF($C25="S",IF($Z25="CP",$X25,IF($Z25="RA",(($X25)*QCI!$AA$3),0)),SomaAgrup)</f>
        <v>0</v>
      </c>
      <c r="AB25" s="213" t="n">
        <f aca="true">IF($C25="S",IF($Z25="OU",ROUND($X25,2),0),SomaAgrup)</f>
        <v>0</v>
      </c>
      <c r="AC25" s="214" t="str">
        <f aca="false">IF($N25=""," ",
IF(AND($C25&lt;&gt;"S",OR($R25="",$R25="(digite a descrição aqui)")),"DESCRIÇÃO",
IF(AND($C25="S",OR($Q25&lt;&gt;0,$T25&gt;0,$U25&gt;0),$P25=0),"FONTE",
IF(AND($C25="S",$P25&lt;&gt;0,OR($T25&gt;0,$U25&gt;0),$Q25=0),"CÓDIGO",
IF(AND($C25="S",$P25&lt;&gt;0,$Q25&lt;&gt;0,$R25="(Código não identificado nas referências)"),"CÓDIGO N/ID",
IF(AND($C25="S",OR($R25="",$R25="(digite a descrição aqui)"),OR($Q25&lt;&gt;0,$T25&gt;0,$U25&gt;0)),"DESCRIÇÃO",
IF(AND($C25="S",$P25&lt;&gt;0,$Q25&lt;&gt;0,$S25=""),"UNIDADE",
IF(AND($C25="S",$P25&lt;&gt;0,$Q25&lt;&gt;0,$U25=0),"SEM CUSTO",
IF(AND(TIPOORCAMENTO="Licitado",$AL25=0,$AN25&gt;0),"SEM PREÇO",
IF(AND($C25="S",$P25&lt;&gt;0,$Q25&lt;&gt;0,$U25&gt;0,$V25=0),"BDI",
IF(OR(AND(TIPOORCAMENTO="Proposto",$AG25&lt;&gt;"",$AG25&gt;0,ORÇAMENTO.CustoUnitario&gt;$AG25),AND(TIPOORCAMENTO="LICITADO",ORÇAMENTO.PrecoUnitarioLicitado&gt;$AN25)),"ACIMA REF.",
IF(AND($C25="S",$P25&lt;&gt;0,$Q25&lt;&gt;0,$T25=0,$U25&gt;0),"QUANT.",
IF(AND(Import.TipoArredondamento="TransfereGOV",$L25="F",$C25="S",LEN($Q25)&gt;13),"Código &gt;13",
IF(AND(Import.TipoArredondamento="TransfereGOV",$L25="F",$C25&lt;&gt;"S",LEN($R25)&gt;100),"Descrição &gt;100",
IF(AND(Import.TipoArredondamento="TransfereGOV",$L25="F",$C25="S",LEN($R25)&gt;500),"Descrição &gt;500",
IF(AND(Import.TipoArredondamento="TransfereGOV",$L25="F",$C25="S",LEFT(TRIM(UPPER($P25)),6)&lt;&gt;"SINAPI",ISNA(VLOOKUP(TRIM(UPPER($S25)),ListaTgov.Unidades,1,FALSE()))),"Unid. Não Disp",
" "))))))))))))))))</f>
        <v>SEM CUSTO</v>
      </c>
      <c r="AD25" s="1" t="str">
        <f aca="true">IF(C25&lt;=CRONO.NivelExibicao,MAX($AD$15:OFFSET(AD25,-1,0))+IF($C25&lt;&gt;1,1,MAX(1,COUNTIF(QCI!$A$13:$A$16,OFFSET($E25,-1,0)))),"")</f>
        <v/>
      </c>
      <c r="AE25" s="49" t="str">
        <f aca="false">IF(AND($C25="S",ORÇAMENTO.CodBarra&lt;&gt;""),IF(ORÇAMENTO.Fonte="",ORÇAMENTO.CodBarra,CONCATENATE(ORÇAMENTO.Fonte," ",ORÇAMENTO.CodBarra)))</f>
        <v>SINAPI 97647</v>
      </c>
      <c r="AF25" s="64" t="str">
        <f aca="true">IF(ISERROR(INDIRECT(ORÇAMENTO.BancoRef)),"(abra o arquivo 'Referência "&amp;Excel_BuiltIn_Database&amp;".xlsm)",IF(OR($C25&lt;&gt;"S",ORÇAMENTO.CodBarra=""),"(Sem Código)",IF(ISERROR(MATCH($AE25,INDIRECT(ORÇAMENTO.BancoRef),0)),"(Código não identificado nas referências)",MATCH($AE25,INDIRECT(ORÇAMENTO.BancoRef),0))))</f>
        <v>(abra o arquivo 'Referência 09-2025.xlsm)</v>
      </c>
      <c r="AG25" s="215" t="n">
        <f aca="true">ROUND(IF(DESONERACAO="sim",REFERENCIA.Desonerado,REFERENCIA.NaoDesonerado),2)</f>
        <v>0</v>
      </c>
      <c r="AH25" s="216" t="n">
        <f aca="false">ROUND(IF(ISNUMBER(ORÇAMENTO.OpcaoBDI),ORÇAMENTO.OpcaoBDI,IF(LEFT(ORÇAMENTO.OpcaoBDI,3)="BDI",HLOOKUP(ORÇAMENTO.OpcaoBDI,$F$4:$H$5,2,FALSE()),0)),15-11*$AF$9)</f>
        <v>0.242</v>
      </c>
      <c r="AJ25" s="217" t="n">
        <v>366.86</v>
      </c>
      <c r="AL25" s="218"/>
      <c r="AM25" s="219" t="n">
        <f aca="false">$X25</f>
        <v>0</v>
      </c>
      <c r="AN25" s="220" t="n">
        <f aca="false">ROUND(ORÇAMENTO.CustoUnitario*(1+$AH25),2)</f>
        <v>0</v>
      </c>
    </row>
    <row r="26" s="1" customFormat="true" ht="25.5" hidden="false" customHeight="false" outlineLevel="0" collapsed="false">
      <c r="A26" s="1" t="str">
        <f aca="false">CHOOSE(1+LOG(1+2*(ORÇAMENTO.Nivel="Meta")+4*(ORÇAMENTO.Nivel="Nível 2")+8*(ORÇAMENTO.Nivel="Nível 3")+16*(ORÇAMENTO.Nivel="Nível 4")+32*(ORÇAMENTO.Nivel="Serviço"),2),0,1,2,3,4,"S")</f>
        <v>S</v>
      </c>
      <c r="B26" s="1" t="n">
        <f aca="true">IF(OR(C26="s",C26=0),OFFSET(B26,-1,0),C26)</f>
        <v>3</v>
      </c>
      <c r="C26" s="1" t="str">
        <f aca="true">IF(OFFSET(C26,-1,0)="L",1,IF(OFFSET(C26,-1,0)=1,2,IF(OR(A26="s",A26=0),"S",IF(AND(OFFSET(C26,-1,0)=2,A26=4),3,IF(AND(OR(OFFSET(C26,-1,0)="s",OFFSET(C26,-1,0)=0),A26&lt;&gt;"s",A26&gt;OFFSET(B26,-1,0)),OFFSET(B26,-1,0),A26)))))</f>
        <v>S</v>
      </c>
      <c r="D26" s="1" t="n">
        <f aca="false">IF(OR(C26="S",C26=0),0,IF(ISERROR(K26),J26,SMALL(J26:K26,1)))</f>
        <v>0</v>
      </c>
      <c r="E26" s="1" t="n">
        <f aca="true">IF($C26=1,OFFSET(E26,-1,0)+MAX(1,COUNTIF(QCI!$A$13:$A$16,OFFSET(ORÇAMENTO!E26,-1,0))),OFFSET(E26,-1,0))</f>
        <v>1</v>
      </c>
      <c r="F26" s="1" t="n">
        <f aca="true">IF($C26=1,0,IF($C26=2,OFFSET(F26,-1,0)+1,OFFSET(F26,-1,0)))</f>
        <v>3</v>
      </c>
      <c r="G26" s="1" t="n">
        <f aca="true">IF(AND($C26&lt;=2,$C26&lt;&gt;0),0,IF($C26=3,OFFSET(G26,-1,0)+1,OFFSET(G26,-1,0)))</f>
        <v>1</v>
      </c>
      <c r="H26" s="1" t="n">
        <f aca="true">IF(AND($C26&lt;=3,$C26&lt;&gt;0),0,IF($C26=4,OFFSET(H26,-1,0)+1,OFFSET(H26,-1,0)))</f>
        <v>0</v>
      </c>
      <c r="I26" s="1" t="n">
        <f aca="true">IF(AND($C26&lt;=4,$C26&lt;&gt;0),0,IF(AND($C26="S",$X26&gt;0),OFFSET(I26,-1,0)+1,OFFSET(I26,-1,0)))</f>
        <v>0</v>
      </c>
      <c r="J26" s="1" t="n">
        <f aca="true">IF(OR($C26="S",$C26=0),0,MATCH(0,OFFSET($D26,1,$C26,ROW($C$40)-ROW($C26)),0))</f>
        <v>0</v>
      </c>
      <c r="K26" s="1" t="n">
        <f aca="true">IF(OR($C26="S",$C26=0),0,MATCH(OFFSET($D26,0,$C26)+IF($C26&lt;&gt;1,1,COUNTIF(QCI!$A$13:$A$16,ORÇAMENTO!E26)),OFFSET($D26,1,$C26,ROW($C$40)-ROW($C26)),0))</f>
        <v>0</v>
      </c>
      <c r="L26" s="199" t="str">
        <f aca="false">IF(OR($X26&gt;0,$C26=1,$C26=2,$C26=3,$C26=4),"F","")</f>
        <v/>
      </c>
      <c r="M26" s="200" t="s">
        <v>722</v>
      </c>
      <c r="N26" s="201" t="str">
        <f aca="false">CHOOSE(1+LOG(1+2*(C26=1)+4*(C26=2)+8*(C26=3)+16*(C26=4)+32*(C26="S"),2),"","Meta","Nível 2","Nível 3","Nível 4","Serviço")</f>
        <v>Serviço</v>
      </c>
      <c r="O26" s="202" t="str">
        <f aca="false">IF(OR($C26=0,$L26=""),"-",CONCATENATE(E26&amp;".",IF(AND($A$5&gt;=2,$C26&gt;=2),F26&amp;".",""),IF(AND($A$5&gt;=3,$C26&gt;=3),G26&amp;".",""),IF(AND($A$5&gt;=4,$C26&gt;=4),H26&amp;".",""),IF($C26="S",I26&amp;".","")))</f>
        <v>-</v>
      </c>
      <c r="P26" s="203" t="s">
        <v>767</v>
      </c>
      <c r="Q26" s="238" t="s">
        <v>780</v>
      </c>
      <c r="R26" s="205" t="str">
        <f aca="true">IF($C26="S",REFERENCIA.Descricao,"(digite a descrição aqui)")</f>
        <v>(abra o arquivo 'Referência 09-2025.xlsm)</v>
      </c>
      <c r="S26" s="206" t="str">
        <f aca="true">REFERENCIA.Unidade</f>
        <v>-</v>
      </c>
      <c r="T26" s="207" t="n">
        <f aca="true">OFFSET(CÁLCULO!H$15,ROW($T26)-ROW(T$15),0)</f>
        <v>88.5</v>
      </c>
      <c r="U26" s="208" t="n">
        <f aca="false">AG26</f>
        <v>0</v>
      </c>
      <c r="V26" s="209" t="s">
        <v>678</v>
      </c>
      <c r="W26" s="207" t="n">
        <f aca="false">IF($C26="S",ROUND(IF(TIPOORCAMENTO="Proposto",ORÇAMENTO.CustoUnitario*(1+$AH26),ORÇAMENTO.PrecoUnitarioLicitado),15-13*$AF$10),0)</f>
        <v>0</v>
      </c>
      <c r="X26" s="210" t="n">
        <f aca="true" t="array" ref="X26:X26">IF($C26="S",IF(OR(Import.TipoArredondamento&lt;&gt;"TransfereGOV",ACOMPANHAMENTO="BM"),VTOTAL1,SUM(OFFSET(CÁLCULO!$AA$15,ROW($X26)-ROW($X$15),1):OFFSET(CÁLCULO!$AL$15,ROW($X26)-ROW($X$15),-1))),IF($C26=0,0,ROUND(SomaAgrup,15-13*$AF$11)))</f>
        <v>0</v>
      </c>
      <c r="Y26" s="211" t="s">
        <v>768</v>
      </c>
      <c r="Z26" s="1" t="str">
        <f aca="false">IF(AND($C26="S",$X26&gt;0),IF(ISBLANK($Y26),"RA",LEFT($Y26,2)),"")</f>
        <v/>
      </c>
      <c r="AA26" s="212" t="n">
        <f aca="true">IF($C26="S",IF($Z26="CP",$X26,IF($Z26="RA",(($X26)*QCI!$AA$3),0)),SomaAgrup)</f>
        <v>0</v>
      </c>
      <c r="AB26" s="213" t="n">
        <f aca="true">IF($C26="S",IF($Z26="OU",ROUND($X26,2),0),SomaAgrup)</f>
        <v>0</v>
      </c>
      <c r="AC26" s="214" t="str">
        <f aca="false">IF($N26=""," ",
IF(AND($C26&lt;&gt;"S",OR($R26="",$R26="(digite a descrição aqui)")),"DESCRIÇÃO",
IF(AND($C26="S",OR($Q26&lt;&gt;0,$T26&gt;0,$U26&gt;0),$P26=0),"FONTE",
IF(AND($C26="S",$P26&lt;&gt;0,OR($T26&gt;0,$U26&gt;0),$Q26=0),"CÓDIGO",
IF(AND($C26="S",$P26&lt;&gt;0,$Q26&lt;&gt;0,$R26="(Código não identificado nas referências)"),"CÓDIGO N/ID",
IF(AND($C26="S",OR($R26="",$R26="(digite a descrição aqui)"),OR($Q26&lt;&gt;0,$T26&gt;0,$U26&gt;0)),"DESCRIÇÃO",
IF(AND($C26="S",$P26&lt;&gt;0,$Q26&lt;&gt;0,$S26=""),"UNIDADE",
IF(AND($C26="S",$P26&lt;&gt;0,$Q26&lt;&gt;0,$U26=0),"SEM CUSTO",
IF(AND(TIPOORCAMENTO="Licitado",$AL26=0,$AN26&gt;0),"SEM PREÇO",
IF(AND($C26="S",$P26&lt;&gt;0,$Q26&lt;&gt;0,$U26&gt;0,$V26=0),"BDI",
IF(OR(AND(TIPOORCAMENTO="Proposto",$AG26&lt;&gt;"",$AG26&gt;0,ORÇAMENTO.CustoUnitario&gt;$AG26),AND(TIPOORCAMENTO="LICITADO",ORÇAMENTO.PrecoUnitarioLicitado&gt;$AN26)),"ACIMA REF.",
IF(AND($C26="S",$P26&lt;&gt;0,$Q26&lt;&gt;0,$T26=0,$U26&gt;0),"QUANT.",
IF(AND(Import.TipoArredondamento="TransfereGOV",$L26="F",$C26="S",LEN($Q26)&gt;13),"Código &gt;13",
IF(AND(Import.TipoArredondamento="TransfereGOV",$L26="F",$C26&lt;&gt;"S",LEN($R26)&gt;100),"Descrição &gt;100",
IF(AND(Import.TipoArredondamento="TransfereGOV",$L26="F",$C26="S",LEN($R26)&gt;500),"Descrição &gt;500",
IF(AND(Import.TipoArredondamento="TransfereGOV",$L26="F",$C26="S",LEFT(TRIM(UPPER($P26)),6)&lt;&gt;"SINAPI",ISNA(VLOOKUP(TRIM(UPPER($S26)),ListaTgov.Unidades,1,FALSE()))),"Unid. Não Disp",
" "))))))))))))))))</f>
        <v>SEM CUSTO</v>
      </c>
      <c r="AD26" s="1" t="str">
        <f aca="true">IF(C26&lt;=CRONO.NivelExibicao,MAX($AD$15:OFFSET(AD26,-1,0))+IF($C26&lt;&gt;1,1,MAX(1,COUNTIF(QCI!$A$13:$A$16,OFFSET($E26,-1,0)))),"")</f>
        <v/>
      </c>
      <c r="AE26" s="49" t="str">
        <f aca="false">IF(AND($C26="S",ORÇAMENTO.CodBarra&lt;&gt;""),IF(ORÇAMENTO.Fonte="",ORÇAMENTO.CodBarra,CONCATENATE(ORÇAMENTO.Fonte," ",ORÇAMENTO.CodBarra)))</f>
        <v>SINAPI 104803</v>
      </c>
      <c r="AF26" s="64" t="str">
        <f aca="true">IF(ISERROR(INDIRECT(ORÇAMENTO.BancoRef)),"(abra o arquivo 'Referência "&amp;Excel_BuiltIn_Database&amp;".xlsm)",IF(OR($C26&lt;&gt;"S",ORÇAMENTO.CodBarra=""),"(Sem Código)",IF(ISERROR(MATCH($AE26,INDIRECT(ORÇAMENTO.BancoRef),0)),"(Código não identificado nas referências)",MATCH($AE26,INDIRECT(ORÇAMENTO.BancoRef),0))))</f>
        <v>(abra o arquivo 'Referência 09-2025.xlsm)</v>
      </c>
      <c r="AG26" s="215" t="n">
        <f aca="true">ROUND(IF(DESONERACAO="sim",REFERENCIA.Desonerado,REFERENCIA.NaoDesonerado),2)</f>
        <v>0</v>
      </c>
      <c r="AH26" s="216" t="n">
        <f aca="false">ROUND(IF(ISNUMBER(ORÇAMENTO.OpcaoBDI),ORÇAMENTO.OpcaoBDI,IF(LEFT(ORÇAMENTO.OpcaoBDI,3)="BDI",HLOOKUP(ORÇAMENTO.OpcaoBDI,$F$4:$H$5,2,FALSE()),0)),15-11*$AF$9)</f>
        <v>0.242</v>
      </c>
      <c r="AJ26" s="217" t="n">
        <f aca="false">33.2+33.2+11.05+11.05</f>
        <v>88.5</v>
      </c>
      <c r="AL26" s="218"/>
      <c r="AM26" s="219" t="n">
        <f aca="false">$X26</f>
        <v>0</v>
      </c>
      <c r="AN26" s="220" t="n">
        <f aca="false">ROUND(ORÇAMENTO.CustoUnitario*(1+$AH26),2)</f>
        <v>0</v>
      </c>
    </row>
    <row r="27" s="1" customFormat="true" ht="38.25" hidden="false" customHeight="false" outlineLevel="0" collapsed="false">
      <c r="A27" s="1" t="str">
        <f aca="false">CHOOSE(1+LOG(1+2*(ORÇAMENTO.Nivel="Meta")+4*(ORÇAMENTO.Nivel="Nível 2")+8*(ORÇAMENTO.Nivel="Nível 3")+16*(ORÇAMENTO.Nivel="Nível 4")+32*(ORÇAMENTO.Nivel="Serviço"),2),0,1,2,3,4,"S")</f>
        <v>S</v>
      </c>
      <c r="B27" s="1" t="n">
        <f aca="true">IF(OR(C27="s",C27=0),OFFSET(B27,-1,0),C27)</f>
        <v>3</v>
      </c>
      <c r="C27" s="1" t="str">
        <f aca="true">IF(OFFSET(C27,-1,0)="L",1,IF(OFFSET(C27,-1,0)=1,2,IF(OR(A27="s",A27=0),"S",IF(AND(OFFSET(C27,-1,0)=2,A27=4),3,IF(AND(OR(OFFSET(C27,-1,0)="s",OFFSET(C27,-1,0)=0),A27&lt;&gt;"s",A27&gt;OFFSET(B27,-1,0)),OFFSET(B27,-1,0),A27)))))</f>
        <v>S</v>
      </c>
      <c r="D27" s="1" t="n">
        <f aca="false">IF(OR(C27="S",C27=0),0,IF(ISERROR(K27),J27,SMALL(J27:K27,1)))</f>
        <v>0</v>
      </c>
      <c r="E27" s="1" t="n">
        <f aca="true">IF($C27=1,OFFSET(E27,-1,0)+MAX(1,COUNTIF(QCI!$A$13:$A$16,OFFSET(ORÇAMENTO!E27,-1,0))),OFFSET(E27,-1,0))</f>
        <v>1</v>
      </c>
      <c r="F27" s="1" t="n">
        <f aca="true">IF($C27=1,0,IF($C27=2,OFFSET(F27,-1,0)+1,OFFSET(F27,-1,0)))</f>
        <v>3</v>
      </c>
      <c r="G27" s="1" t="n">
        <f aca="true">IF(AND($C27&lt;=2,$C27&lt;&gt;0),0,IF($C27=3,OFFSET(G27,-1,0)+1,OFFSET(G27,-1,0)))</f>
        <v>1</v>
      </c>
      <c r="H27" s="1" t="n">
        <f aca="true">IF(AND($C27&lt;=3,$C27&lt;&gt;0),0,IF($C27=4,OFFSET(H27,-1,0)+1,OFFSET(H27,-1,0)))</f>
        <v>0</v>
      </c>
      <c r="I27" s="1" t="n">
        <f aca="true">IF(AND($C27&lt;=4,$C27&lt;&gt;0),0,IF(AND($C27="S",$X27&gt;0),OFFSET(I27,-1,0)+1,OFFSET(I27,-1,0)))</f>
        <v>0</v>
      </c>
      <c r="J27" s="1" t="n">
        <f aca="true">IF(OR($C27="S",$C27=0),0,MATCH(0,OFFSET($D27,1,$C27,ROW($C$40)-ROW($C27)),0))</f>
        <v>0</v>
      </c>
      <c r="K27" s="1" t="n">
        <f aca="true">IF(OR($C27="S",$C27=0),0,MATCH(OFFSET($D27,0,$C27)+IF($C27&lt;&gt;1,1,COUNTIF(QCI!$A$13:$A$16,ORÇAMENTO!E27)),OFFSET($D27,1,$C27,ROW($C$40)-ROW($C27)),0))</f>
        <v>0</v>
      </c>
      <c r="L27" s="199" t="str">
        <f aca="false">IF(OR($X27&gt;0,$C27=1,$C27=2,$C27=3,$C27=4),"F","")</f>
        <v/>
      </c>
      <c r="M27" s="200" t="s">
        <v>722</v>
      </c>
      <c r="N27" s="201" t="str">
        <f aca="false">CHOOSE(1+LOG(1+2*(C27=1)+4*(C27=2)+8*(C27=3)+16*(C27=4)+32*(C27="S"),2),"","Meta","Nível 2","Nível 3","Nível 4","Serviço")</f>
        <v>Serviço</v>
      </c>
      <c r="O27" s="202" t="str">
        <f aca="false">IF(OR($C27=0,$L27=""),"-",CONCATENATE(E27&amp;".",IF(AND($A$5&gt;=2,$C27&gt;=2),F27&amp;".",""),IF(AND($A$5&gt;=3,$C27&gt;=3),G27&amp;".",""),IF(AND($A$5&gt;=4,$C27&gt;=4),H27&amp;".",""),IF($C27="S",I27&amp;".","")))</f>
        <v>-</v>
      </c>
      <c r="P27" s="203" t="s">
        <v>767</v>
      </c>
      <c r="Q27" s="238" t="s">
        <v>781</v>
      </c>
      <c r="R27" s="205" t="str">
        <f aca="true">IF($C27="S",REFERENCIA.Descricao,"(digite a descrição aqui)")</f>
        <v>(abra o arquivo 'Referência 09-2025.xlsm)</v>
      </c>
      <c r="S27" s="206" t="str">
        <f aca="true">REFERENCIA.Unidade</f>
        <v>-</v>
      </c>
      <c r="T27" s="207" t="n">
        <f aca="true">OFFSET(CÁLCULO!H$15,ROW($T27)-ROW(T$15),0)</f>
        <v>146.744</v>
      </c>
      <c r="U27" s="208" t="n">
        <f aca="false">AG27</f>
        <v>0</v>
      </c>
      <c r="V27" s="209" t="s">
        <v>678</v>
      </c>
      <c r="W27" s="207" t="n">
        <f aca="false">IF($C27="S",ROUND(IF(TIPOORCAMENTO="Proposto",ORÇAMENTO.CustoUnitario*(1+$AH27),ORÇAMENTO.PrecoUnitarioLicitado),15-13*$AF$10),0)</f>
        <v>0</v>
      </c>
      <c r="X27" s="210" t="n">
        <f aca="true" t="array" ref="X27:X27">IF($C27="S",IF(OR(Import.TipoArredondamento&lt;&gt;"TransfereGOV",ACOMPANHAMENTO="BM"),VTOTAL1,SUM(OFFSET(CÁLCULO!$AA$15,ROW($X27)-ROW($X$15),1):OFFSET(CÁLCULO!$AL$15,ROW($X27)-ROW($X$15),-1))),IF($C27=0,0,ROUND(SomaAgrup,15-13*$AF$11)))</f>
        <v>0</v>
      </c>
      <c r="Y27" s="211" t="s">
        <v>768</v>
      </c>
      <c r="Z27" s="1" t="str">
        <f aca="false">IF(AND($C27="S",$X27&gt;0),IF(ISBLANK($Y27),"RA",LEFT($Y27,2)),"")</f>
        <v/>
      </c>
      <c r="AA27" s="212" t="n">
        <f aca="true">IF($C27="S",IF($Z27="CP",$X27,IF($Z27="RA",(($X27)*QCI!$AA$3),0)),SomaAgrup)</f>
        <v>0</v>
      </c>
      <c r="AB27" s="213" t="n">
        <f aca="true">IF($C27="S",IF($Z27="OU",ROUND($X27,2),0),SomaAgrup)</f>
        <v>0</v>
      </c>
      <c r="AC27" s="214" t="str">
        <f aca="false">IF($N27=""," ",
IF(AND($C27&lt;&gt;"S",OR($R27="",$R27="(digite a descrição aqui)")),"DESCRIÇÃO",
IF(AND($C27="S",OR($Q27&lt;&gt;0,$T27&gt;0,$U27&gt;0),$P27=0),"FONTE",
IF(AND($C27="S",$P27&lt;&gt;0,OR($T27&gt;0,$U27&gt;0),$Q27=0),"CÓDIGO",
IF(AND($C27="S",$P27&lt;&gt;0,$Q27&lt;&gt;0,$R27="(Código não identificado nas referências)"),"CÓDIGO N/ID",
IF(AND($C27="S",OR($R27="",$R27="(digite a descrição aqui)"),OR($Q27&lt;&gt;0,$T27&gt;0,$U27&gt;0)),"DESCRIÇÃO",
IF(AND($C27="S",$P27&lt;&gt;0,$Q27&lt;&gt;0,$S27=""),"UNIDADE",
IF(AND($C27="S",$P27&lt;&gt;0,$Q27&lt;&gt;0,$U27=0),"SEM CUSTO",
IF(AND(TIPOORCAMENTO="Licitado",$AL27=0,$AN27&gt;0),"SEM PREÇO",
IF(AND($C27="S",$P27&lt;&gt;0,$Q27&lt;&gt;0,$U27&gt;0,$V27=0),"BDI",
IF(OR(AND(TIPOORCAMENTO="Proposto",$AG27&lt;&gt;"",$AG27&gt;0,ORÇAMENTO.CustoUnitario&gt;$AG27),AND(TIPOORCAMENTO="LICITADO",ORÇAMENTO.PrecoUnitarioLicitado&gt;$AN27)),"ACIMA REF.",
IF(AND($C27="S",$P27&lt;&gt;0,$Q27&lt;&gt;0,$T27=0,$U27&gt;0),"QUANT.",
IF(AND(Import.TipoArredondamento="TransfereGOV",$L27="F",$C27="S",LEN($Q27)&gt;13),"Código &gt;13",
IF(AND(Import.TipoArredondamento="TransfereGOV",$L27="F",$C27&lt;&gt;"S",LEN($R27)&gt;100),"Descrição &gt;100",
IF(AND(Import.TipoArredondamento="TransfereGOV",$L27="F",$C27="S",LEN($R27)&gt;500),"Descrição &gt;500",
IF(AND(Import.TipoArredondamento="TransfereGOV",$L27="F",$C27="S",LEFT(TRIM(UPPER($P27)),6)&lt;&gt;"SINAPI",ISNA(VLOOKUP(TRIM(UPPER($S27)),ListaTgov.Unidades,1,FALSE()))),"Unid. Não Disp",
" "))))))))))))))))</f>
        <v>SEM CUSTO</v>
      </c>
      <c r="AD27" s="1" t="str">
        <f aca="true">IF(C27&lt;=CRONO.NivelExibicao,MAX($AD$15:OFFSET(AD27,-1,0))+IF($C27&lt;&gt;1,1,MAX(1,COUNTIF(QCI!$A$13:$A$16,OFFSET($E27,-1,0)))),"")</f>
        <v/>
      </c>
      <c r="AE27" s="49" t="str">
        <f aca="false">IF(AND($C27="S",ORÇAMENTO.CodBarra&lt;&gt;""),IF(ORÇAMENTO.Fonte="",ORÇAMENTO.CodBarra,CONCATENATE(ORÇAMENTO.Fonte," ",ORÇAMENTO.CodBarra)))</f>
        <v>SINAPI 100391</v>
      </c>
      <c r="AF27" s="64" t="str">
        <f aca="true">IF(ISERROR(INDIRECT(ORÇAMENTO.BancoRef)),"(abra o arquivo 'Referência "&amp;Excel_BuiltIn_Database&amp;".xlsm)",IF(OR($C27&lt;&gt;"S",ORÇAMENTO.CodBarra=""),"(Sem Código)",IF(ISERROR(MATCH($AE27,INDIRECT(ORÇAMENTO.BancoRef),0)),"(Código não identificado nas referências)",MATCH($AE27,INDIRECT(ORÇAMENTO.BancoRef),0))))</f>
        <v>(abra o arquivo 'Referência 09-2025.xlsm)</v>
      </c>
      <c r="AG27" s="215" t="n">
        <f aca="true">ROUND(IF(DESONERACAO="sim",REFERENCIA.Desonerado,REFERENCIA.NaoDesonerado),2)</f>
        <v>0</v>
      </c>
      <c r="AH27" s="216" t="n">
        <f aca="false">ROUND(IF(ISNUMBER(ORÇAMENTO.OpcaoBDI),ORÇAMENTO.OpcaoBDI,IF(LEFT(ORÇAMENTO.OpcaoBDI,3)="BDI",HLOOKUP(ORÇAMENTO.OpcaoBDI,$F$4:$H$5,2,FALSE()),0)),15-11*$AF$9)</f>
        <v>0.242</v>
      </c>
      <c r="AJ27" s="217" t="n">
        <f aca="false">366.86*40%</f>
        <v>146.744</v>
      </c>
      <c r="AL27" s="218"/>
      <c r="AM27" s="219" t="n">
        <f aca="false">$X27</f>
        <v>0</v>
      </c>
      <c r="AN27" s="220" t="n">
        <f aca="false">ROUND(ORÇAMENTO.CustoUnitario*(1+$AH27),2)</f>
        <v>0</v>
      </c>
    </row>
    <row r="28" s="1" customFormat="true" ht="12.75" hidden="false" customHeight="false" outlineLevel="0" collapsed="false">
      <c r="A28" s="1" t="n">
        <f aca="false">CHOOSE(1+LOG(1+2*(ORÇAMENTO.Nivel="Meta")+4*(ORÇAMENTO.Nivel="Nível 2")+8*(ORÇAMENTO.Nivel="Nível 3")+16*(ORÇAMENTO.Nivel="Nível 4")+32*(ORÇAMENTO.Nivel="Serviço"),2),0,1,2,3,4,"S")</f>
        <v>3</v>
      </c>
      <c r="B28" s="1" t="n">
        <f aca="true">IF(OR(C28="s",C28=0),OFFSET(B28,-1,0),C28)</f>
        <v>3</v>
      </c>
      <c r="C28" s="1" t="n">
        <f aca="true">IF(OFFSET(C28,-1,0)="L",1,IF(OFFSET(C28,-1,0)=1,2,IF(OR(A28="s",A28=0),"S",IF(AND(OFFSET(C28,-1,0)=2,A28=4),3,IF(AND(OR(OFFSET(C28,-1,0)="s",OFFSET(C28,-1,0)=0),A28&lt;&gt;"s",A28&gt;OFFSET(B28,-1,0)),OFFSET(B28,-1,0),A28)))))</f>
        <v>3</v>
      </c>
      <c r="D28" s="1" t="n">
        <f aca="false">IF(OR(C28="S",C28=0),0,IF(ISERROR(K28),J28,SMALL(J28:K28,1)))</f>
        <v>4</v>
      </c>
      <c r="E28" s="1" t="n">
        <f aca="true">IF($C28=1,OFFSET(E28,-1,0)+MAX(1,COUNTIF(QCI!$A$13:$A$16,OFFSET(ORÇAMENTO!E28,-1,0))),OFFSET(E28,-1,0))</f>
        <v>1</v>
      </c>
      <c r="F28" s="1" t="n">
        <f aca="true">IF($C28=1,0,IF($C28=2,OFFSET(F28,-1,0)+1,OFFSET(F28,-1,0)))</f>
        <v>3</v>
      </c>
      <c r="G28" s="1" t="n">
        <f aca="true">IF(AND($C28&lt;=2,$C28&lt;&gt;0),0,IF($C28=3,OFFSET(G28,-1,0)+1,OFFSET(G28,-1,0)))</f>
        <v>2</v>
      </c>
      <c r="H28" s="1" t="n">
        <f aca="true">IF(AND($C28&lt;=3,$C28&lt;&gt;0),0,IF($C28=4,OFFSET(H28,-1,0)+1,OFFSET(H28,-1,0)))</f>
        <v>0</v>
      </c>
      <c r="I28" s="1" t="n">
        <f aca="true">IF(AND($C28&lt;=4,$C28&lt;&gt;0),0,IF(AND($C28="S",$X28&gt;0),OFFSET(I28,-1,0)+1,OFFSET(I28,-1,0)))</f>
        <v>0</v>
      </c>
      <c r="J28" s="1" t="n">
        <f aca="true">IF(OR($C28="S",$C28=0),0,MATCH(0,OFFSET($D28,1,$C28,ROW($C$40)-ROW($C28)),0))</f>
        <v>12</v>
      </c>
      <c r="K28" s="1" t="n">
        <f aca="true">IF(OR($C28="S",$C28=0),0,MATCH(OFFSET($D28,0,$C28)+IF($C28&lt;&gt;1,1,COUNTIF(QCI!$A$13:$A$16,ORÇAMENTO!E28)),OFFSET($D28,1,$C28,ROW($C$40)-ROW($C28)),0))</f>
        <v>4</v>
      </c>
      <c r="L28" s="199" t="str">
        <f aca="false">IF(OR($X28&gt;0,$C28=1,$C28=2,$C28=3,$C28=4),"F","")</f>
        <v>F</v>
      </c>
      <c r="M28" s="200" t="s">
        <v>720</v>
      </c>
      <c r="N28" s="201" t="str">
        <f aca="false">CHOOSE(1+LOG(1+2*(C28=1)+4*(C28=2)+8*(C28=3)+16*(C28=4)+32*(C28="S"),2),"","Meta","Nível 2","Nível 3","Nível 4","Serviço")</f>
        <v>Nível 3</v>
      </c>
      <c r="O28" s="202" t="str">
        <f aca="false">IF(OR($C28=0,$L28=""),"-",CONCATENATE(E28&amp;".",IF(AND($A$5&gt;=2,$C28&gt;=2),F28&amp;".",""),IF(AND($A$5&gt;=3,$C28&gt;=3),G28&amp;".",""),IF(AND($A$5&gt;=4,$C28&gt;=4),H28&amp;".",""),IF($C28="S",I28&amp;".","")))</f>
        <v>1.3.2.</v>
      </c>
      <c r="P28" s="203" t="s">
        <v>767</v>
      </c>
      <c r="Q28" s="204"/>
      <c r="R28" s="205" t="s">
        <v>782</v>
      </c>
      <c r="S28" s="206" t="str">
        <f aca="true">REFERENCIA.Unidade</f>
        <v>-</v>
      </c>
      <c r="T28" s="207" t="n">
        <f aca="true">OFFSET(CÁLCULO!H$15,ROW($T28)-ROW(T$15),0)</f>
        <v>0</v>
      </c>
      <c r="U28" s="208"/>
      <c r="V28" s="209" t="s">
        <v>678</v>
      </c>
      <c r="W28" s="207" t="n">
        <f aca="false">IF($C28="S",ROUND(IF(TIPOORCAMENTO="Proposto",ORÇAMENTO.CustoUnitario*(1+$AH28),ORÇAMENTO.PrecoUnitarioLicitado),15-13*$AF$10),0)</f>
        <v>0</v>
      </c>
      <c r="X28" s="210" t="n">
        <f aca="true" t="array" ref="X28:X28">IF($C28="S",IF(OR(Import.TipoArredondamento&lt;&gt;"TransfereGOV",ACOMPANHAMENTO="BM"),VTOTAL1,SUM(OFFSET(CÁLCULO!$AA$15,ROW($X28)-ROW($X$15),1):OFFSET(CÁLCULO!$AL$15,ROW($X28)-ROW($X$15),-1))),IF($C28=0,0,ROUND(SomaAgrup,15-13*$AF$11)))</f>
        <v>4413.98727</v>
      </c>
      <c r="Y28" s="211" t="s">
        <v>768</v>
      </c>
      <c r="Z28" s="1" t="str">
        <f aca="false">IF(AND($C28="S",$X28&gt;0),IF(ISBLANK($Y28),"RA",LEFT($Y28,2)),"")</f>
        <v/>
      </c>
      <c r="AA28" s="212" t="n">
        <f aca="true">IF($C28="S",IF($Z28="CP",$X28,IF($Z28="RA",(($X28)*QCI!$AA$3),0)),SomaAgrup)</f>
        <v>0</v>
      </c>
      <c r="AB28" s="213" t="n">
        <f aca="true">IF($C28="S",IF($Z28="OU",ROUND($X28,2),0),SomaAgrup)</f>
        <v>0</v>
      </c>
      <c r="AC28" s="214" t="str">
        <f aca="false">IF($N28=""," ",
IF(AND($C28&lt;&gt;"S",OR($R28="",$R28="(digite a descrição aqui)")),"DESCRIÇÃO",
IF(AND($C28="S",OR($Q28&lt;&gt;0,$T28&gt;0,$U28&gt;0),$P28=0),"FONTE",
IF(AND($C28="S",$P28&lt;&gt;0,OR($T28&gt;0,$U28&gt;0),$Q28=0),"CÓDIGO",
IF(AND($C28="S",$P28&lt;&gt;0,$Q28&lt;&gt;0,$R28="(Código não identificado nas referências)"),"CÓDIGO N/ID",
IF(AND($C28="S",OR($R28="",$R28="(digite a descrição aqui)"),OR($Q28&lt;&gt;0,$T28&gt;0,$U28&gt;0)),"DESCRIÇÃO",
IF(AND($C28="S",$P28&lt;&gt;0,$Q28&lt;&gt;0,$S28=""),"UNIDADE",
IF(AND($C28="S",$P28&lt;&gt;0,$Q28&lt;&gt;0,$U28=0),"SEM CUSTO",
IF(AND(TIPOORCAMENTO="Licitado",$AL28=0,$AN28&gt;0),"SEM PREÇO",
IF(AND($C28="S",$P28&lt;&gt;0,$Q28&lt;&gt;0,$U28&gt;0,$V28=0),"BDI",
IF(OR(AND(TIPOORCAMENTO="Proposto",$AG28&lt;&gt;"",$AG28&gt;0,ORÇAMENTO.CustoUnitario&gt;$AG28),AND(TIPOORCAMENTO="LICITADO",ORÇAMENTO.PrecoUnitarioLicitado&gt;$AN28)),"ACIMA REF.",
IF(AND($C28="S",$P28&lt;&gt;0,$Q28&lt;&gt;0,$T28=0,$U28&gt;0),"QUANT.",
IF(AND(Import.TipoArredondamento="TransfereGOV",$L28="F",$C28="S",LEN($Q28)&gt;13),"Código &gt;13",
IF(AND(Import.TipoArredondamento="TransfereGOV",$L28="F",$C28&lt;&gt;"S",LEN($R28)&gt;100),"Descrição &gt;100",
IF(AND(Import.TipoArredondamento="TransfereGOV",$L28="F",$C28="S",LEN($R28)&gt;500),"Descrição &gt;500",
IF(AND(Import.TipoArredondamento="TransfereGOV",$L28="F",$C28="S",LEFT(TRIM(UPPER($P28)),6)&lt;&gt;"SINAPI",ISNA(VLOOKUP(TRIM(UPPER($S28)),ListaTgov.Unidades,1,FALSE()))),"Unid. Não Disp",
" "))))))))))))))))</f>
        <v> </v>
      </c>
      <c r="AD28" s="1" t="n">
        <f aca="true">IF(C28&lt;=CRONO.NivelExibicao,MAX($AD$15:OFFSET(AD28,-1,0))+IF($C28&lt;&gt;1,1,MAX(1,COUNTIF(QCI!$A$13:$A$16,OFFSET($E28,-1,0)))),"")</f>
        <v>8</v>
      </c>
      <c r="AE28" s="49" t="b">
        <f aca="false">IF(AND($C28="S",ORÇAMENTO.CodBarra&lt;&gt;""),IF(ORÇAMENTO.Fonte="",ORÇAMENTO.CodBarra,CONCATENATE(ORÇAMENTO.Fonte," ",ORÇAMENTO.CodBarra)))</f>
        <v>0</v>
      </c>
      <c r="AF28" s="64" t="str">
        <f aca="true">IF(ISERROR(INDIRECT(ORÇAMENTO.BancoRef)),"(abra o arquivo 'Referência "&amp;Excel_BuiltIn_Database&amp;".xlsm)",IF(OR($C28&lt;&gt;"S",ORÇAMENTO.CodBarra=""),"(Sem Código)",IF(ISERROR(MATCH($AE28,INDIRECT(ORÇAMENTO.BancoRef),0)),"(Código não identificado nas referências)",MATCH($AE28,INDIRECT(ORÇAMENTO.BancoRef),0))))</f>
        <v>(abra o arquivo 'Referência 09-2025.xlsm)</v>
      </c>
      <c r="AG28" s="215" t="n">
        <f aca="true">ROUND(IF(DESONERACAO="sim",REFERENCIA.Desonerado,REFERENCIA.NaoDesonerado),2)</f>
        <v>0</v>
      </c>
      <c r="AH28" s="216" t="n">
        <f aca="false">ROUND(IF(ISNUMBER(ORÇAMENTO.OpcaoBDI),ORÇAMENTO.OpcaoBDI,IF(LEFT(ORÇAMENTO.OpcaoBDI,3)="BDI",HLOOKUP(ORÇAMENTO.OpcaoBDI,$F$4:$H$5,2,FALSE()),0)),15-11*$AF$9)</f>
        <v>0.242</v>
      </c>
      <c r="AJ28" s="217"/>
      <c r="AL28" s="218"/>
      <c r="AM28" s="219" t="n">
        <f aca="false">$X28</f>
        <v>4413.98727</v>
      </c>
      <c r="AN28" s="220" t="n">
        <f aca="false">ROUND(ORÇAMENTO.CustoUnitario*(1+$AH28),2)</f>
        <v>0</v>
      </c>
    </row>
    <row r="29" s="1" customFormat="true" ht="51" hidden="false" customHeight="false" outlineLevel="0" collapsed="false">
      <c r="A29" s="1" t="str">
        <f aca="false">CHOOSE(1+LOG(1+2*(ORÇAMENTO.Nivel="Meta")+4*(ORÇAMENTO.Nivel="Nível 2")+8*(ORÇAMENTO.Nivel="Nível 3")+16*(ORÇAMENTO.Nivel="Nível 4")+32*(ORÇAMENTO.Nivel="Serviço"),2),0,1,2,3,4,"S")</f>
        <v>S</v>
      </c>
      <c r="B29" s="1" t="n">
        <f aca="true">IF(OR(C29="s",C29=0),OFFSET(B29,-1,0),C29)</f>
        <v>3</v>
      </c>
      <c r="C29" s="1" t="str">
        <f aca="true">IF(OFFSET(C29,-1,0)="L",1,IF(OFFSET(C29,-1,0)=1,2,IF(OR(A29="s",A29=0),"S",IF(AND(OFFSET(C29,-1,0)=2,A29=4),3,IF(AND(OR(OFFSET(C29,-1,0)="s",OFFSET(C29,-1,0)=0),A29&lt;&gt;"s",A29&gt;OFFSET(B29,-1,0)),OFFSET(B29,-1,0),A29)))))</f>
        <v>S</v>
      </c>
      <c r="D29" s="1" t="n">
        <f aca="false">IF(OR(C29="S",C29=0),0,IF(ISERROR(K29),J29,SMALL(J29:K29,1)))</f>
        <v>0</v>
      </c>
      <c r="E29" s="1" t="n">
        <f aca="true">IF($C29=1,OFFSET(E29,-1,0)+MAX(1,COUNTIF(QCI!$A$13:$A$16,OFFSET(ORÇAMENTO!E29,-1,0))),OFFSET(E29,-1,0))</f>
        <v>1</v>
      </c>
      <c r="F29" s="1" t="n">
        <f aca="true">IF($C29=1,0,IF($C29=2,OFFSET(F29,-1,0)+1,OFFSET(F29,-1,0)))</f>
        <v>3</v>
      </c>
      <c r="G29" s="1" t="n">
        <f aca="true">IF(AND($C29&lt;=2,$C29&lt;&gt;0),0,IF($C29=3,OFFSET(G29,-1,0)+1,OFFSET(G29,-1,0)))</f>
        <v>2</v>
      </c>
      <c r="H29" s="1" t="n">
        <f aca="true">IF(AND($C29&lt;=3,$C29&lt;&gt;0),0,IF($C29=4,OFFSET(H29,-1,0)+1,OFFSET(H29,-1,0)))</f>
        <v>0</v>
      </c>
      <c r="I29" s="1" t="n">
        <f aca="true">IF(AND($C29&lt;=4,$C29&lt;&gt;0),0,IF(AND($C29="S",$X29&gt;0),OFFSET(I29,-1,0)+1,OFFSET(I29,-1,0)))</f>
        <v>0</v>
      </c>
      <c r="J29" s="1" t="n">
        <f aca="true">IF(OR($C29="S",$C29=0),0,MATCH(0,OFFSET($D29,1,$C29,ROW($C$40)-ROW($C29)),0))</f>
        <v>0</v>
      </c>
      <c r="K29" s="1" t="n">
        <f aca="true">IF(OR($C29="S",$C29=0),0,MATCH(OFFSET($D29,0,$C29)+IF($C29&lt;&gt;1,1,COUNTIF(QCI!$A$13:$A$16,ORÇAMENTO!E29)),OFFSET($D29,1,$C29,ROW($C$40)-ROW($C29)),0))</f>
        <v>0</v>
      </c>
      <c r="L29" s="199" t="str">
        <f aca="false">IF(OR($X29&gt;0,$C29=1,$C29=2,$C29=3,$C29=4),"F","")</f>
        <v/>
      </c>
      <c r="M29" s="200" t="s">
        <v>722</v>
      </c>
      <c r="N29" s="236" t="str">
        <f aca="false">CHOOSE(1+LOG(1+2*(C29=1)+4*(C29=2)+8*(C29=3)+16*(C29=4)+32*(C29="S"),2),"","Meta","Nível 2","Nível 3","Nível 4","Serviço")</f>
        <v>Serviço</v>
      </c>
      <c r="O29" s="202" t="str">
        <f aca="false">IF(OR($C29=0,$L29=""),"-",CONCATENATE(E29&amp;".",IF(AND($A$5&gt;=2,$C29&gt;=2),F29&amp;".",""),IF(AND($A$5&gt;=3,$C29&gt;=3),G29&amp;".",""),IF(AND($A$5&gt;=4,$C29&gt;=4),H29&amp;".",""),IF($C29="S",I29&amp;".","")))</f>
        <v>-</v>
      </c>
      <c r="P29" s="203" t="s">
        <v>767</v>
      </c>
      <c r="Q29" s="238" t="s">
        <v>783</v>
      </c>
      <c r="R29" s="205" t="str">
        <f aca="true">IF($C29="S",REFERENCIA.Descricao,"(digite a descrição aqui)")</f>
        <v>(abra o arquivo 'Referência 09-2025.xlsm)</v>
      </c>
      <c r="S29" s="206" t="str">
        <f aca="true">REFERENCIA.Unidade</f>
        <v>-</v>
      </c>
      <c r="T29" s="207" t="n">
        <f aca="true">OFFSET(CÁLCULO!H$15,ROW($T29)-ROW(T$15),0)</f>
        <v>366.86</v>
      </c>
      <c r="U29" s="208" t="n">
        <f aca="false">AG29</f>
        <v>0</v>
      </c>
      <c r="V29" s="209" t="s">
        <v>678</v>
      </c>
      <c r="W29" s="207" t="n">
        <f aca="false">IF($C29="S",ROUND(IF(TIPOORCAMENTO="Proposto",ORÇAMENTO.CustoUnitario*(1+$AH29),ORÇAMENTO.PrecoUnitarioLicitado),15-13*$AF$10),0)</f>
        <v>0</v>
      </c>
      <c r="X29" s="210" t="n">
        <f aca="true" t="array" ref="X29:X29">IF($C29="S",IF(OR(Import.TipoArredondamento&lt;&gt;"TransfereGOV",ACOMPANHAMENTO="BM"),VTOTAL1,SUM(OFFSET(CÁLCULO!$AA$15,ROW($X29)-ROW($X$15),1):OFFSET(CÁLCULO!$AL$15,ROW($X29)-ROW($X$15),-1))),IF($C29=0,0,ROUND(SomaAgrup,15-13*$AF$11)))</f>
        <v>0</v>
      </c>
      <c r="Y29" s="211" t="s">
        <v>768</v>
      </c>
      <c r="Z29" s="1" t="str">
        <f aca="false">IF(AND($C29="S",$X29&gt;0),IF(ISBLANK($Y29),"RA",LEFT($Y29,2)),"")</f>
        <v/>
      </c>
      <c r="AA29" s="212" t="n">
        <f aca="true">IF($C29="S",IF($Z29="CP",$X29,IF($Z29="RA",(($X29)*QCI!$AA$3),0)),SomaAgrup)</f>
        <v>0</v>
      </c>
      <c r="AB29" s="213" t="n">
        <f aca="true">IF($C29="S",IF($Z29="OU",ROUND($X29,2),0),SomaAgrup)</f>
        <v>0</v>
      </c>
      <c r="AC29" s="214" t="str">
        <f aca="false">IF($N29=""," ",
IF(AND($C29&lt;&gt;"S",OR($R29="",$R29="(digite a descrição aqui)")),"DESCRIÇÃO",
IF(AND($C29="S",OR($Q29&lt;&gt;0,$T29&gt;0,$U29&gt;0),$P29=0),"FONTE",
IF(AND($C29="S",$P29&lt;&gt;0,OR($T29&gt;0,$U29&gt;0),$Q29=0),"CÓDIGO",
IF(AND($C29="S",$P29&lt;&gt;0,$Q29&lt;&gt;0,$R29="(Código não identificado nas referências)"),"CÓDIGO N/ID",
IF(AND($C29="S",OR($R29="",$R29="(digite a descrição aqui)"),OR($Q29&lt;&gt;0,$T29&gt;0,$U29&gt;0)),"DESCRIÇÃO",
IF(AND($C29="S",$P29&lt;&gt;0,$Q29&lt;&gt;0,$S29=""),"UNIDADE",
IF(AND($C29="S",$P29&lt;&gt;0,$Q29&lt;&gt;0,$U29=0),"SEM CUSTO",
IF(AND(TIPOORCAMENTO="Licitado",$AL29=0,$AN29&gt;0),"SEM PREÇO",
IF(AND($C29="S",$P29&lt;&gt;0,$Q29&lt;&gt;0,$U29&gt;0,$V29=0),"BDI",
IF(OR(AND(TIPOORCAMENTO="Proposto",$AG29&lt;&gt;"",$AG29&gt;0,ORÇAMENTO.CustoUnitario&gt;$AG29),AND(TIPOORCAMENTO="LICITADO",ORÇAMENTO.PrecoUnitarioLicitado&gt;$AN29)),"ACIMA REF.",
IF(AND($C29="S",$P29&lt;&gt;0,$Q29&lt;&gt;0,$T29=0,$U29&gt;0),"QUANT.",
IF(AND(Import.TipoArredondamento="TransfereGOV",$L29="F",$C29="S",LEN($Q29)&gt;13),"Código &gt;13",
IF(AND(Import.TipoArredondamento="TransfereGOV",$L29="F",$C29&lt;&gt;"S",LEN($R29)&gt;100),"Descrição &gt;100",
IF(AND(Import.TipoArredondamento="TransfereGOV",$L29="F",$C29="S",LEN($R29)&gt;500),"Descrição &gt;500",
IF(AND(Import.TipoArredondamento="TransfereGOV",$L29="F",$C29="S",LEFT(TRIM(UPPER($P29)),6)&lt;&gt;"SINAPI",ISNA(VLOOKUP(TRIM(UPPER($S29)),ListaTgov.Unidades,1,FALSE()))),"Unid. Não Disp",
" "))))))))))))))))</f>
        <v>SEM CUSTO</v>
      </c>
      <c r="AD29" s="1" t="str">
        <f aca="true">IF(C29&lt;=CRONO.NivelExibicao,MAX($AD$15:OFFSET(AD29,-1,0))+IF($C29&lt;&gt;1,1,MAX(1,COUNTIF(QCI!$A$13:$A$16,OFFSET($E29,-1,0)))),"")</f>
        <v/>
      </c>
      <c r="AE29" s="49" t="str">
        <f aca="false">IF(AND($C29="S",ORÇAMENTO.CodBarra&lt;&gt;""),IF(ORÇAMENTO.Fonte="",ORÇAMENTO.CodBarra,CONCATENATE(ORÇAMENTO.Fonte," ",ORÇAMENTO.CodBarra)))</f>
        <v>SINAPI 92543</v>
      </c>
      <c r="AF29" s="64" t="str">
        <f aca="true">IF(ISERROR(INDIRECT(ORÇAMENTO.BancoRef)),"(abra o arquivo 'Referência "&amp;Excel_BuiltIn_Database&amp;".xlsm)",IF(OR($C29&lt;&gt;"S",ORÇAMENTO.CodBarra=""),"(Sem Código)",IF(ISERROR(MATCH($AE29,INDIRECT(ORÇAMENTO.BancoRef),0)),"(Código não identificado nas referências)",MATCH($AE29,INDIRECT(ORÇAMENTO.BancoRef),0))))</f>
        <v>(abra o arquivo 'Referência 09-2025.xlsm)</v>
      </c>
      <c r="AG29" s="215" t="n">
        <f aca="true">ROUND(IF(DESONERACAO="sim",REFERENCIA.Desonerado,REFERENCIA.NaoDesonerado),2)</f>
        <v>0</v>
      </c>
      <c r="AH29" s="216" t="n">
        <f aca="false">ROUND(IF(ISNUMBER(ORÇAMENTO.OpcaoBDI),ORÇAMENTO.OpcaoBDI,IF(LEFT(ORÇAMENTO.OpcaoBDI,3)="BDI",HLOOKUP(ORÇAMENTO.OpcaoBDI,$F$4:$H$5,2,FALSE()),0)),15-11*$AF$9)</f>
        <v>0.242</v>
      </c>
      <c r="AJ29" s="217" t="n">
        <v>366.86</v>
      </c>
      <c r="AL29" s="218"/>
      <c r="AM29" s="219" t="n">
        <f aca="false">$X29</f>
        <v>0</v>
      </c>
      <c r="AN29" s="220" t="n">
        <f aca="false">ROUND(ORÇAMENTO.CustoUnitario*(1+$AH29),2)</f>
        <v>0</v>
      </c>
    </row>
    <row r="30" s="1" customFormat="true" ht="25.5" hidden="false" customHeight="false" outlineLevel="0" collapsed="false">
      <c r="A30" s="1" t="str">
        <f aca="false">CHOOSE(1+LOG(1+2*(ORÇAMENTO.Nivel="Meta")+4*(ORÇAMENTO.Nivel="Nível 2")+8*(ORÇAMENTO.Nivel="Nível 3")+16*(ORÇAMENTO.Nivel="Nível 4")+32*(ORÇAMENTO.Nivel="Serviço"),2),0,1,2,3,4,"S")</f>
        <v>S</v>
      </c>
      <c r="B30" s="1" t="n">
        <f aca="true">IF(OR(C30="s",C30=0),OFFSET(B30,-1,0),C30)</f>
        <v>3</v>
      </c>
      <c r="C30" s="1" t="str">
        <f aca="true">IF(OFFSET(C30,-1,0)="L",1,IF(OFFSET(C30,-1,0)=1,2,IF(OR(A30="s",A30=0),"S",IF(AND(OFFSET(C30,-1,0)=2,A30=4),3,IF(AND(OR(OFFSET(C30,-1,0)="s",OFFSET(C30,-1,0)=0),A30&lt;&gt;"s",A30&gt;OFFSET(B30,-1,0)),OFFSET(B30,-1,0),A30)))))</f>
        <v>S</v>
      </c>
      <c r="D30" s="1" t="n">
        <f aca="false">IF(OR(C30="S",C30=0),0,IF(ISERROR(K30),J30,SMALL(J30:K30,1)))</f>
        <v>0</v>
      </c>
      <c r="E30" s="1" t="n">
        <f aca="true">IF($C30=1,OFFSET(E30,-1,0)+MAX(1,COUNTIF(QCI!$A$13:$A$16,OFFSET(ORÇAMENTO!E30,-1,0))),OFFSET(E30,-1,0))</f>
        <v>1</v>
      </c>
      <c r="F30" s="1" t="n">
        <f aca="true">IF($C30=1,0,IF($C30=2,OFFSET(F30,-1,0)+1,OFFSET(F30,-1,0)))</f>
        <v>3</v>
      </c>
      <c r="G30" s="1" t="n">
        <f aca="true">IF(AND($C30&lt;=2,$C30&lt;&gt;0),0,IF($C30=3,OFFSET(G30,-1,0)+1,OFFSET(G30,-1,0)))</f>
        <v>2</v>
      </c>
      <c r="H30" s="1" t="n">
        <f aca="true">IF(AND($C30&lt;=3,$C30&lt;&gt;0),0,IF($C30=4,OFFSET(H30,-1,0)+1,OFFSET(H30,-1,0)))</f>
        <v>0</v>
      </c>
      <c r="I30" s="1" t="n">
        <f aca="true">IF(AND($C30&lt;=4,$C30&lt;&gt;0),0,IF(AND($C30="S",$X30&gt;0),OFFSET(I30,-1,0)+1,OFFSET(I30,-1,0)))</f>
        <v>0</v>
      </c>
      <c r="J30" s="1" t="n">
        <f aca="true">IF(OR($C30="S",$C30=0),0,MATCH(0,OFFSET($D30,1,$C30,ROW($C$40)-ROW($C30)),0))</f>
        <v>0</v>
      </c>
      <c r="K30" s="1" t="n">
        <f aca="true">IF(OR($C30="S",$C30=0),0,MATCH(OFFSET($D30,0,$C30)+IF($C30&lt;&gt;1,1,COUNTIF(QCI!$A$13:$A$16,ORÇAMENTO!E30)),OFFSET($D30,1,$C30,ROW($C$40)-ROW($C30)),0))</f>
        <v>0</v>
      </c>
      <c r="L30" s="199" t="str">
        <f aca="false">IF(OR($X30&gt;0,$C30=1,$C30=2,$C30=3,$C30=4),"F","")</f>
        <v/>
      </c>
      <c r="M30" s="200" t="s">
        <v>722</v>
      </c>
      <c r="N30" s="201" t="str">
        <f aca="false">CHOOSE(1+LOG(1+2*(C30=1)+4*(C30=2)+8*(C30=3)+16*(C30=4)+32*(C30="S"),2),"","Meta","Nível 2","Nível 3","Nível 4","Serviço")</f>
        <v>Serviço</v>
      </c>
      <c r="O30" s="202" t="str">
        <f aca="false">IF(OR($C30=0,$L30=""),"-",CONCATENATE(E30&amp;".",IF(AND($A$5&gt;=2,$C30&gt;=2),F30&amp;".",""),IF(AND($A$5&gt;=3,$C30&gt;=3),G30&amp;".",""),IF(AND($A$5&gt;=4,$C30&gt;=4),H30&amp;".",""),IF($C30="S",I30&amp;".","")))</f>
        <v>-</v>
      </c>
      <c r="P30" s="203" t="s">
        <v>767</v>
      </c>
      <c r="Q30" s="238" t="s">
        <v>784</v>
      </c>
      <c r="R30" s="205" t="str">
        <f aca="true">IF($C30="S",REFERENCIA.Descricao,"(digite a descrição aqui)")</f>
        <v>(abra o arquivo 'Referência 09-2025.xlsm)</v>
      </c>
      <c r="S30" s="206" t="str">
        <f aca="true">REFERENCIA.Unidade</f>
        <v>-</v>
      </c>
      <c r="T30" s="207" t="n">
        <f aca="true">OFFSET(CÁLCULO!H$15,ROW($T30)-ROW(T$15),0)</f>
        <v>366.86</v>
      </c>
      <c r="U30" s="208" t="n">
        <f aca="false">AG30</f>
        <v>0</v>
      </c>
      <c r="V30" s="209" t="s">
        <v>678</v>
      </c>
      <c r="W30" s="207" t="n">
        <f aca="false">IF($C30="S",ROUND(IF(TIPOORCAMENTO="Proposto",ORÇAMENTO.CustoUnitario*(1+$AH30),ORÇAMENTO.PrecoUnitarioLicitado),15-13*$AF$10),0)</f>
        <v>0</v>
      </c>
      <c r="X30" s="210" t="n">
        <f aca="true" t="array" ref="X30:X30">IF($C30="S",IF(OR(Import.TipoArredondamento&lt;&gt;"TransfereGOV",ACOMPANHAMENTO="BM"),VTOTAL1,SUM(OFFSET(CÁLCULO!$AA$15,ROW($X30)-ROW($X$15),1):OFFSET(CÁLCULO!$AL$15,ROW($X30)-ROW($X$15),-1))),IF($C30=0,0,ROUND(SomaAgrup,15-13*$AF$11)))</f>
        <v>0</v>
      </c>
      <c r="Y30" s="211" t="s">
        <v>768</v>
      </c>
      <c r="Z30" s="1" t="str">
        <f aca="false">IF(AND($C30="S",$X30&gt;0),IF(ISBLANK($Y30),"RA",LEFT($Y30,2)),"")</f>
        <v/>
      </c>
      <c r="AA30" s="212" t="n">
        <f aca="true">IF($C30="S",IF($Z30="CP",$X30,IF($Z30="RA",(($X30)*QCI!$AA$3),0)),SomaAgrup)</f>
        <v>0</v>
      </c>
      <c r="AB30" s="213" t="n">
        <f aca="true">IF($C30="S",IF($Z30="OU",ROUND($X30,2),0),SomaAgrup)</f>
        <v>0</v>
      </c>
      <c r="AC30" s="214" t="str">
        <f aca="false">IF($N30=""," ",
IF(AND($C30&lt;&gt;"S",OR($R30="",$R30="(digite a descrição aqui)")),"DESCRIÇÃO",
IF(AND($C30="S",OR($Q30&lt;&gt;0,$T30&gt;0,$U30&gt;0),$P30=0),"FONTE",
IF(AND($C30="S",$P30&lt;&gt;0,OR($T30&gt;0,$U30&gt;0),$Q30=0),"CÓDIGO",
IF(AND($C30="S",$P30&lt;&gt;0,$Q30&lt;&gt;0,$R30="(Código não identificado nas referências)"),"CÓDIGO N/ID",
IF(AND($C30="S",OR($R30="",$R30="(digite a descrição aqui)"),OR($Q30&lt;&gt;0,$T30&gt;0,$U30&gt;0)),"DESCRIÇÃO",
IF(AND($C30="S",$P30&lt;&gt;0,$Q30&lt;&gt;0,$S30=""),"UNIDADE",
IF(AND($C30="S",$P30&lt;&gt;0,$Q30&lt;&gt;0,$U30=0),"SEM CUSTO",
IF(AND(TIPOORCAMENTO="Licitado",$AL30=0,$AN30&gt;0),"SEM PREÇO",
IF(AND($C30="S",$P30&lt;&gt;0,$Q30&lt;&gt;0,$U30&gt;0,$V30=0),"BDI",
IF(OR(AND(TIPOORCAMENTO="Proposto",$AG30&lt;&gt;"",$AG30&gt;0,ORÇAMENTO.CustoUnitario&gt;$AG30),AND(TIPOORCAMENTO="LICITADO",ORÇAMENTO.PrecoUnitarioLicitado&gt;$AN30)),"ACIMA REF.",
IF(AND($C30="S",$P30&lt;&gt;0,$Q30&lt;&gt;0,$T30=0,$U30&gt;0),"QUANT.",
IF(AND(Import.TipoArredondamento="TransfereGOV",$L30="F",$C30="S",LEN($Q30)&gt;13),"Código &gt;13",
IF(AND(Import.TipoArredondamento="TransfereGOV",$L30="F",$C30&lt;&gt;"S",LEN($R30)&gt;100),"Descrição &gt;100",
IF(AND(Import.TipoArredondamento="TransfereGOV",$L30="F",$C30="S",LEN($R30)&gt;500),"Descrição &gt;500",
IF(AND(Import.TipoArredondamento="TransfereGOV",$L30="F",$C30="S",LEFT(TRIM(UPPER($P30)),6)&lt;&gt;"SINAPI",ISNA(VLOOKUP(TRIM(UPPER($S30)),ListaTgov.Unidades,1,FALSE()))),"Unid. Não Disp",
" "))))))))))))))))</f>
        <v>SEM CUSTO</v>
      </c>
      <c r="AD30" s="1" t="str">
        <f aca="true">IF(C30&lt;=CRONO.NivelExibicao,MAX($AD$15:OFFSET(AD30,-1,0))+IF($C30&lt;&gt;1,1,MAX(1,COUNTIF(QCI!$A$13:$A$16,OFFSET($E30,-1,0)))),"")</f>
        <v/>
      </c>
      <c r="AE30" s="49" t="str">
        <f aca="false">IF(AND($C30="S",ORÇAMENTO.CodBarra&lt;&gt;""),IF(ORÇAMENTO.Fonte="",ORÇAMENTO.CodBarra,CONCATENATE(ORÇAMENTO.Fonte," ",ORÇAMENTO.CodBarra)))</f>
        <v>SINAPI 94213</v>
      </c>
      <c r="AF30" s="64" t="str">
        <f aca="true">IF(ISERROR(INDIRECT(ORÇAMENTO.BancoRef)),"(abra o arquivo 'Referência "&amp;Excel_BuiltIn_Database&amp;".xlsm)",IF(OR($C30&lt;&gt;"S",ORÇAMENTO.CodBarra=""),"(Sem Código)",IF(ISERROR(MATCH($AE30,INDIRECT(ORÇAMENTO.BancoRef),0)),"(Código não identificado nas referências)",MATCH($AE30,INDIRECT(ORÇAMENTO.BancoRef),0))))</f>
        <v>(abra o arquivo 'Referência 09-2025.xlsm)</v>
      </c>
      <c r="AG30" s="215" t="n">
        <f aca="true">ROUND(IF(DESONERACAO="sim",REFERENCIA.Desonerado,REFERENCIA.NaoDesonerado),2)</f>
        <v>0</v>
      </c>
      <c r="AH30" s="216" t="n">
        <f aca="false">ROUND(IF(ISNUMBER(ORÇAMENTO.OpcaoBDI),ORÇAMENTO.OpcaoBDI,IF(LEFT(ORÇAMENTO.OpcaoBDI,3)="BDI",HLOOKUP(ORÇAMENTO.OpcaoBDI,$F$4:$H$5,2,FALSE()),0)),15-11*$AF$9)</f>
        <v>0.242</v>
      </c>
      <c r="AJ30" s="217" t="n">
        <f aca="false">33.2*11.05</f>
        <v>366.86</v>
      </c>
      <c r="AL30" s="218"/>
      <c r="AM30" s="219" t="n">
        <f aca="false">$X30</f>
        <v>0</v>
      </c>
      <c r="AN30" s="220" t="n">
        <f aca="false">ROUND(ORÇAMENTO.CustoUnitario*(1+$AH30),2)</f>
        <v>0</v>
      </c>
    </row>
    <row r="31" s="1" customFormat="true" ht="25.5" hidden="false" customHeight="false" outlineLevel="0" collapsed="false">
      <c r="A31" s="1" t="str">
        <f aca="false">CHOOSE(1+LOG(1+2*(ORÇAMENTO.Nivel="Meta")+4*(ORÇAMENTO.Nivel="Nível 2")+8*(ORÇAMENTO.Nivel="Nível 3")+16*(ORÇAMENTO.Nivel="Nível 4")+32*(ORÇAMENTO.Nivel="Serviço"),2),0,1,2,3,4,"S")</f>
        <v>S</v>
      </c>
      <c r="B31" s="1" t="n">
        <f aca="true">IF(OR(C31="s",C31=0),OFFSET(B31,-1,0),C31)</f>
        <v>3</v>
      </c>
      <c r="C31" s="1" t="str">
        <f aca="true">IF(OFFSET(C31,-1,0)="L",1,IF(OFFSET(C31,-1,0)=1,2,IF(OR(A31="s",A31=0),"S",IF(AND(OFFSET(C31,-1,0)=2,A31=4),3,IF(AND(OR(OFFSET(C31,-1,0)="s",OFFSET(C31,-1,0)=0),A31&lt;&gt;"s",A31&gt;OFFSET(B31,-1,0)),OFFSET(B31,-1,0),A31)))))</f>
        <v>S</v>
      </c>
      <c r="D31" s="1" t="n">
        <f aca="false">IF(OR(C31="S",C31=0),0,IF(ISERROR(K31),J31,SMALL(J31:K31,1)))</f>
        <v>0</v>
      </c>
      <c r="E31" s="1" t="n">
        <f aca="true">IF($C31=1,OFFSET(E31,-1,0)+MAX(1,COUNTIF(QCI!$A$13:$A$16,OFFSET(ORÇAMENTO!E31,-1,0))),OFFSET(E31,-1,0))</f>
        <v>1</v>
      </c>
      <c r="F31" s="1" t="n">
        <f aca="true">IF($C31=1,0,IF($C31=2,OFFSET(F31,-1,0)+1,OFFSET(F31,-1,0)))</f>
        <v>3</v>
      </c>
      <c r="G31" s="1" t="n">
        <f aca="true">IF(AND($C31&lt;=2,$C31&lt;&gt;0),0,IF($C31=3,OFFSET(G31,-1,0)+1,OFFSET(G31,-1,0)))</f>
        <v>2</v>
      </c>
      <c r="H31" s="1" t="n">
        <f aca="true">IF(AND($C31&lt;=3,$C31&lt;&gt;0),0,IF($C31=4,OFFSET(H31,-1,0)+1,OFFSET(H31,-1,0)))</f>
        <v>0</v>
      </c>
      <c r="I31" s="1" t="n">
        <f aca="true">IF(AND($C31&lt;=4,$C31&lt;&gt;0),0,IF(AND($C31="S",$X31&gt;0),OFFSET(I31,-1,0)+1,OFFSET(I31,-1,0)))</f>
        <v>1</v>
      </c>
      <c r="J31" s="1" t="n">
        <f aca="true">IF(OR($C31="S",$C31=0),0,MATCH(0,OFFSET($D31,1,$C31,ROW($C$40)-ROW($C31)),0))</f>
        <v>0</v>
      </c>
      <c r="K31" s="1" t="n">
        <f aca="true">IF(OR($C31="S",$C31=0),0,MATCH(OFFSET($D31,0,$C31)+IF($C31&lt;&gt;1,1,COUNTIF(QCI!$A$13:$A$16,ORÇAMENTO!E31)),OFFSET($D31,1,$C31,ROW($C$40)-ROW($C31)),0))</f>
        <v>0</v>
      </c>
      <c r="L31" s="199" t="str">
        <f aca="false">IF(OR($X31&gt;0,$C31=1,$C31=2,$C31=3,$C31=4),"F","")</f>
        <v>F</v>
      </c>
      <c r="M31" s="200" t="s">
        <v>722</v>
      </c>
      <c r="N31" s="201" t="str">
        <f aca="false">CHOOSE(1+LOG(1+2*(C31=1)+4*(C31=2)+8*(C31=3)+16*(C31=4)+32*(C31="S"),2),"","Meta","Nível 2","Nível 3","Nível 4","Serviço")</f>
        <v>Serviço</v>
      </c>
      <c r="O31" s="202" t="str">
        <f aca="false">IF(OR($C31=0,$L31=""),"-",CONCATENATE(E31&amp;".",IF(AND($A$5&gt;=2,$C31&gt;=2),F31&amp;".",""),IF(AND($A$5&gt;=3,$C31&gt;=3),G31&amp;".",""),IF(AND($A$5&gt;=4,$C31&gt;=4),H31&amp;".",""),IF($C31="S",I31&amp;".","")))</f>
        <v>1.3.2.1.</v>
      </c>
      <c r="P31" s="203" t="s">
        <v>767</v>
      </c>
      <c r="Q31" s="238" t="s">
        <v>785</v>
      </c>
      <c r="R31" s="205" t="str">
        <f aca="true">IF($C31="S",REFERENCIA.Descricao,"(digite a descrição aqui)")</f>
        <v>(abra o arquivo 'Referência 09-2025.xlsm)</v>
      </c>
      <c r="S31" s="206" t="str">
        <f aca="true">REFERENCIA.Unidade</f>
        <v>-</v>
      </c>
      <c r="T31" s="207" t="n">
        <f aca="true">OFFSET(CÁLCULO!H$15,ROW($T31)-ROW(T$15),0)</f>
        <v>184.62</v>
      </c>
      <c r="U31" s="208" t="n">
        <v>19.25</v>
      </c>
      <c r="V31" s="209" t="s">
        <v>678</v>
      </c>
      <c r="W31" s="207" t="n">
        <f aca="false">IF($C31="S",ROUND(IF(TIPOORCAMENTO="Proposto",ORÇAMENTO.CustoUnitario*(1+$AH31),ORÇAMENTO.PrecoUnitarioLicitado),15-13*$AF$10),0)</f>
        <v>23.9085</v>
      </c>
      <c r="X31" s="210" t="n">
        <f aca="true" t="array" ref="X31:X31">IF($C31="S",IF(OR(Import.TipoArredondamento&lt;&gt;"TransfereGOV",ACOMPANHAMENTO="BM"),VTOTAL1,SUM(OFFSET(CÁLCULO!$AA$15,ROW($X31)-ROW($X$15),1):OFFSET(CÁLCULO!$AL$15,ROW($X31)-ROW($X$15),-1))),IF($C31=0,0,ROUND(SomaAgrup,15-13*$AF$11)))</f>
        <v>4413.98727</v>
      </c>
      <c r="Y31" s="211" t="s">
        <v>768</v>
      </c>
      <c r="Z31" s="1" t="str">
        <f aca="false">IF(AND($C31="S",$X31&gt;0),IF(ISBLANK($Y31),"RA",LEFT($Y31,2)),"")</f>
        <v>RA</v>
      </c>
      <c r="AA31" s="212" t="n">
        <f aca="true">IF($C31="S",IF($Z31="CP",$X31,IF($Z31="RA",(($X31)*QCI!$AA$3),0)),SomaAgrup)</f>
        <v>0</v>
      </c>
      <c r="AB31" s="213" t="n">
        <f aca="true">IF($C31="S",IF($Z31="OU",ROUND($X31,2),0),SomaAgrup)</f>
        <v>0</v>
      </c>
      <c r="AC31" s="214" t="str">
        <f aca="false">IF($N31=""," ",
IF(AND($C31&lt;&gt;"S",OR($R31="",$R31="(digite a descrição aqui)")),"DESCRIÇÃO",
IF(AND($C31="S",OR($Q31&lt;&gt;0,$T31&gt;0,$U31&gt;0),$P31=0),"FONTE",
IF(AND($C31="S",$P31&lt;&gt;0,OR($T31&gt;0,$U31&gt;0),$Q31=0),"CÓDIGO",
IF(AND($C31="S",$P31&lt;&gt;0,$Q31&lt;&gt;0,$R31="(Código não identificado nas referências)"),"CÓDIGO N/ID",
IF(AND($C31="S",OR($R31="",$R31="(digite a descrição aqui)"),OR($Q31&lt;&gt;0,$T31&gt;0,$U31&gt;0)),"DESCRIÇÃO",
IF(AND($C31="S",$P31&lt;&gt;0,$Q31&lt;&gt;0,$S31=""),"UNIDADE",
IF(AND($C31="S",$P31&lt;&gt;0,$Q31&lt;&gt;0,$U31=0),"SEM CUSTO",
IF(AND(TIPOORCAMENTO="Licitado",$AL31=0,$AN31&gt;0),"SEM PREÇO",
IF(AND($C31="S",$P31&lt;&gt;0,$Q31&lt;&gt;0,$U31&gt;0,$V31=0),"BDI",
IF(OR(AND(TIPOORCAMENTO="Proposto",$AG31&lt;&gt;"",$AG31&gt;0,ORÇAMENTO.CustoUnitario&gt;$AG31),AND(TIPOORCAMENTO="LICITADO",ORÇAMENTO.PrecoUnitarioLicitado&gt;$AN31)),"ACIMA REF.",
IF(AND($C31="S",$P31&lt;&gt;0,$Q31&lt;&gt;0,$T31=0,$U31&gt;0),"QUANT.",
IF(AND(Import.TipoArredondamento="TransfereGOV",$L31="F",$C31="S",LEN($Q31)&gt;13),"Código &gt;13",
IF(AND(Import.TipoArredondamento="TransfereGOV",$L31="F",$C31&lt;&gt;"S",LEN($R31)&gt;100),"Descrição &gt;100",
IF(AND(Import.TipoArredondamento="TransfereGOV",$L31="F",$C31="S",LEN($R31)&gt;500),"Descrição &gt;500",
IF(AND(Import.TipoArredondamento="TransfereGOV",$L31="F",$C31="S",LEFT(TRIM(UPPER($P31)),6)&lt;&gt;"SINAPI",ISNA(VLOOKUP(TRIM(UPPER($S31)),ListaTgov.Unidades,1,FALSE()))),"Unid. Não Disp",
" "))))))))))))))))</f>
        <v> </v>
      </c>
      <c r="AD31" s="1" t="str">
        <f aca="true">IF(C31&lt;=CRONO.NivelExibicao,MAX($AD$15:OFFSET(AD31,-1,0))+IF($C31&lt;&gt;1,1,MAX(1,COUNTIF(QCI!$A$13:$A$16,OFFSET($E31,-1,0)))),"")</f>
        <v/>
      </c>
      <c r="AE31" s="49" t="str">
        <f aca="false">IF(AND($C31="S",ORÇAMENTO.CodBarra&lt;&gt;""),IF(ORÇAMENTO.Fonte="",ORÇAMENTO.CodBarra,CONCATENATE(ORÇAMENTO.Fonte," ",ORÇAMENTO.CodBarra)))</f>
        <v>SINAPI 100326</v>
      </c>
      <c r="AF31" s="64" t="str">
        <f aca="true">IF(ISERROR(INDIRECT(ORÇAMENTO.BancoRef)),"(abra o arquivo 'Referência "&amp;Excel_BuiltIn_Database&amp;".xlsm)",IF(OR($C31&lt;&gt;"S",ORÇAMENTO.CodBarra=""),"(Sem Código)",IF(ISERROR(MATCH($AE31,INDIRECT(ORÇAMENTO.BancoRef),0)),"(Código não identificado nas referências)",MATCH($AE31,INDIRECT(ORÇAMENTO.BancoRef),0))))</f>
        <v>(abra o arquivo 'Referência 09-2025.xlsm)</v>
      </c>
      <c r="AG31" s="215" t="n">
        <f aca="true">ROUND(IF(DESONERACAO="sim",REFERENCIA.Desonerado,REFERENCIA.NaoDesonerado),2)</f>
        <v>0</v>
      </c>
      <c r="AH31" s="216" t="n">
        <f aca="false">ROUND(IF(ISNUMBER(ORÇAMENTO.OpcaoBDI),ORÇAMENTO.OpcaoBDI,IF(LEFT(ORÇAMENTO.OpcaoBDI,3)="BDI",HLOOKUP(ORÇAMENTO.OpcaoBDI,$F$4:$H$5,2,FALSE()),0)),15-11*$AF$9)</f>
        <v>0.242</v>
      </c>
      <c r="AJ31" s="217" t="n">
        <f aca="false">22.26+14.68+147.68</f>
        <v>184.62</v>
      </c>
      <c r="AL31" s="218"/>
      <c r="AM31" s="219" t="n">
        <f aca="false">$X31</f>
        <v>4413.98727</v>
      </c>
      <c r="AN31" s="220" t="n">
        <f aca="false">ROUND(ORÇAMENTO.CustoUnitario*(1+$AH31),2)</f>
        <v>23.91</v>
      </c>
    </row>
    <row r="32" s="1" customFormat="true" ht="12.75" hidden="false" customHeight="false" outlineLevel="0" collapsed="false">
      <c r="A32" s="1" t="n">
        <f aca="false">CHOOSE(1+LOG(1+2*(ORÇAMENTO.Nivel="Meta")+4*(ORÇAMENTO.Nivel="Nível 2")+8*(ORÇAMENTO.Nivel="Nível 3")+16*(ORÇAMENTO.Nivel="Nível 4")+32*(ORÇAMENTO.Nivel="Serviço"),2),0,1,2,3,4,"S")</f>
        <v>3</v>
      </c>
      <c r="B32" s="1" t="n">
        <f aca="true">IF(OR(C32="s",C32=0),OFFSET(B32,-1,0),C32)</f>
        <v>3</v>
      </c>
      <c r="C32" s="1" t="n">
        <f aca="true">IF(OFFSET(C32,-1,0)="L",1,IF(OFFSET(C32,-1,0)=1,2,IF(OR(A32="s",A32=0),"S",IF(AND(OFFSET(C32,-1,0)=2,A32=4),3,IF(AND(OR(OFFSET(C32,-1,0)="s",OFFSET(C32,-1,0)=0),A32&lt;&gt;"s",A32&gt;OFFSET(B32,-1,0)),OFFSET(B32,-1,0),A32)))))</f>
        <v>3</v>
      </c>
      <c r="D32" s="1" t="n">
        <f aca="false">IF(OR(C32="S",C32=0),0,IF(ISERROR(K32),J32,SMALL(J32:K32,1)))</f>
        <v>5</v>
      </c>
      <c r="E32" s="1" t="n">
        <f aca="true">IF($C32=1,OFFSET(E32,-1,0)+MAX(1,COUNTIF(QCI!$A$13:$A$16,OFFSET(ORÇAMENTO!E32,-1,0))),OFFSET(E32,-1,0))</f>
        <v>1</v>
      </c>
      <c r="F32" s="1" t="n">
        <f aca="true">IF($C32=1,0,IF($C32=2,OFFSET(F32,-1,0)+1,OFFSET(F32,-1,0)))</f>
        <v>3</v>
      </c>
      <c r="G32" s="1" t="n">
        <f aca="true">IF(AND($C32&lt;=2,$C32&lt;&gt;0),0,IF($C32=3,OFFSET(G32,-1,0)+1,OFFSET(G32,-1,0)))</f>
        <v>3</v>
      </c>
      <c r="H32" s="1" t="n">
        <f aca="true">IF(AND($C32&lt;=3,$C32&lt;&gt;0),0,IF($C32=4,OFFSET(H32,-1,0)+1,OFFSET(H32,-1,0)))</f>
        <v>0</v>
      </c>
      <c r="I32" s="1" t="n">
        <f aca="true">IF(AND($C32&lt;=4,$C32&lt;&gt;0),0,IF(AND($C32="S",$X32&gt;0),OFFSET(I32,-1,0)+1,OFFSET(I32,-1,0)))</f>
        <v>0</v>
      </c>
      <c r="J32" s="1" t="n">
        <f aca="true">IF(OR($C32="S",$C32=0),0,MATCH(0,OFFSET($D32,1,$C32,ROW($C$40)-ROW($C32)),0))</f>
        <v>8</v>
      </c>
      <c r="K32" s="1" t="n">
        <f aca="true">IF(OR($C32="S",$C32=0),0,MATCH(OFFSET($D32,0,$C32)+IF($C32&lt;&gt;1,1,COUNTIF(QCI!$A$13:$A$16,ORÇAMENTO!E32)),OFFSET($D32,1,$C32,ROW($C$40)-ROW($C32)),0))</f>
        <v>5</v>
      </c>
      <c r="L32" s="199" t="str">
        <f aca="false">IF(OR($X32&gt;0,$C32=1,$C32=2,$C32=3,$C32=4),"F","")</f>
        <v>F</v>
      </c>
      <c r="M32" s="200" t="s">
        <v>720</v>
      </c>
      <c r="N32" s="201" t="str">
        <f aca="false">CHOOSE(1+LOG(1+2*(C32=1)+4*(C32=2)+8*(C32=3)+16*(C32=4)+32*(C32="S"),2),"","Meta","Nível 2","Nível 3","Nível 4","Serviço")</f>
        <v>Nível 3</v>
      </c>
      <c r="O32" s="202" t="str">
        <f aca="false">IF(OR($C32=0,$L32=""),"-",CONCATENATE(E32&amp;".",IF(AND($A$5&gt;=2,$C32&gt;=2),F32&amp;".",""),IF(AND($A$5&gt;=3,$C32&gt;=3),G32&amp;".",""),IF(AND($A$5&gt;=4,$C32&gt;=4),H32&amp;".",""),IF($C32="S",I32&amp;".","")))</f>
        <v>1.3.3.</v>
      </c>
      <c r="P32" s="203" t="s">
        <v>767</v>
      </c>
      <c r="Q32" s="204"/>
      <c r="R32" s="237" t="s">
        <v>786</v>
      </c>
      <c r="S32" s="206" t="str">
        <f aca="true">REFERENCIA.Unidade</f>
        <v>-</v>
      </c>
      <c r="T32" s="207" t="n">
        <f aca="true">OFFSET(CÁLCULO!H$15,ROW($T32)-ROW(T$15),0)</f>
        <v>0</v>
      </c>
      <c r="U32" s="208"/>
      <c r="V32" s="209" t="s">
        <v>678</v>
      </c>
      <c r="W32" s="207" t="n">
        <f aca="false">IF($C32="S",ROUND(IF(TIPOORCAMENTO="Proposto",ORÇAMENTO.CustoUnitario*(1+$AH32),ORÇAMENTO.PrecoUnitarioLicitado),15-13*$AF$10),0)</f>
        <v>0</v>
      </c>
      <c r="X32" s="210" t="n">
        <f aca="true" t="array" ref="X32:X32">IF($C32="S",IF(OR(Import.TipoArredondamento&lt;&gt;"TransfereGOV",ACOMPANHAMENTO="BM"),VTOTAL1,SUM(OFFSET(CÁLCULO!$AA$15,ROW($X32)-ROW($X$15),1):OFFSET(CÁLCULO!$AL$15,ROW($X32)-ROW($X$15),-1))),IF($C32=0,0,ROUND(SomaAgrup,15-13*$AF$11)))</f>
        <v>0</v>
      </c>
      <c r="Y32" s="211" t="s">
        <v>768</v>
      </c>
      <c r="Z32" s="1" t="str">
        <f aca="false">IF(AND($C32="S",$X32&gt;0),IF(ISBLANK($Y32),"RA",LEFT($Y32,2)),"")</f>
        <v/>
      </c>
      <c r="AA32" s="212" t="n">
        <f aca="true">IF($C32="S",IF($Z32="CP",$X32,IF($Z32="RA",(($X32)*QCI!$AA$3),0)),SomaAgrup)</f>
        <v>0</v>
      </c>
      <c r="AB32" s="213" t="n">
        <f aca="true">IF($C32="S",IF($Z32="OU",ROUND($X32,2),0),SomaAgrup)</f>
        <v>0</v>
      </c>
      <c r="AC32" s="214" t="str">
        <f aca="false">IF($N32=""," ",
IF(AND($C32&lt;&gt;"S",OR($R32="",$R32="(digite a descrição aqui)")),"DESCRIÇÃO",
IF(AND($C32="S",OR($Q32&lt;&gt;0,$T32&gt;0,$U32&gt;0),$P32=0),"FONTE",
IF(AND($C32="S",$P32&lt;&gt;0,OR($T32&gt;0,$U32&gt;0),$Q32=0),"CÓDIGO",
IF(AND($C32="S",$P32&lt;&gt;0,$Q32&lt;&gt;0,$R32="(Código não identificado nas referências)"),"CÓDIGO N/ID",
IF(AND($C32="S",OR($R32="",$R32="(digite a descrição aqui)"),OR($Q32&lt;&gt;0,$T32&gt;0,$U32&gt;0)),"DESCRIÇÃO",
IF(AND($C32="S",$P32&lt;&gt;0,$Q32&lt;&gt;0,$S32=""),"UNIDADE",
IF(AND($C32="S",$P32&lt;&gt;0,$Q32&lt;&gt;0,$U32=0),"SEM CUSTO",
IF(AND(TIPOORCAMENTO="Licitado",$AL32=0,$AN32&gt;0),"SEM PREÇO",
IF(AND($C32="S",$P32&lt;&gt;0,$Q32&lt;&gt;0,$U32&gt;0,$V32=0),"BDI",
IF(OR(AND(TIPOORCAMENTO="Proposto",$AG32&lt;&gt;"",$AG32&gt;0,ORÇAMENTO.CustoUnitario&gt;$AG32),AND(TIPOORCAMENTO="LICITADO",ORÇAMENTO.PrecoUnitarioLicitado&gt;$AN32)),"ACIMA REF.",
IF(AND($C32="S",$P32&lt;&gt;0,$Q32&lt;&gt;0,$T32=0,$U32&gt;0),"QUANT.",
IF(AND(Import.TipoArredondamento="TransfereGOV",$L32="F",$C32="S",LEN($Q32)&gt;13),"Código &gt;13",
IF(AND(Import.TipoArredondamento="TransfereGOV",$L32="F",$C32&lt;&gt;"S",LEN($R32)&gt;100),"Descrição &gt;100",
IF(AND(Import.TipoArredondamento="TransfereGOV",$L32="F",$C32="S",LEN($R32)&gt;500),"Descrição &gt;500",
IF(AND(Import.TipoArredondamento="TransfereGOV",$L32="F",$C32="S",LEFT(TRIM(UPPER($P32)),6)&lt;&gt;"SINAPI",ISNA(VLOOKUP(TRIM(UPPER($S32)),ListaTgov.Unidades,1,FALSE()))),"Unid. Não Disp",
" "))))))))))))))))</f>
        <v> </v>
      </c>
      <c r="AD32" s="1" t="n">
        <f aca="true">IF(C32&lt;=CRONO.NivelExibicao,MAX($AD$15:OFFSET(AD32,-1,0))+IF($C32&lt;&gt;1,1,MAX(1,COUNTIF(QCI!$A$13:$A$16,OFFSET($E32,-1,0)))),"")</f>
        <v>9</v>
      </c>
      <c r="AE32" s="49" t="b">
        <f aca="false">IF(AND($C32="S",ORÇAMENTO.CodBarra&lt;&gt;""),IF(ORÇAMENTO.Fonte="",ORÇAMENTO.CodBarra,CONCATENATE(ORÇAMENTO.Fonte," ",ORÇAMENTO.CodBarra)))</f>
        <v>0</v>
      </c>
      <c r="AF32" s="64" t="str">
        <f aca="true">IF(ISERROR(INDIRECT(ORÇAMENTO.BancoRef)),"(abra o arquivo 'Referência "&amp;Excel_BuiltIn_Database&amp;".xlsm)",IF(OR($C32&lt;&gt;"S",ORÇAMENTO.CodBarra=""),"(Sem Código)",IF(ISERROR(MATCH($AE32,INDIRECT(ORÇAMENTO.BancoRef),0)),"(Código não identificado nas referências)",MATCH($AE32,INDIRECT(ORÇAMENTO.BancoRef),0))))</f>
        <v>(abra o arquivo 'Referência 09-2025.xlsm)</v>
      </c>
      <c r="AG32" s="215" t="n">
        <f aca="true">ROUND(IF(DESONERACAO="sim",REFERENCIA.Desonerado,REFERENCIA.NaoDesonerado),2)</f>
        <v>0</v>
      </c>
      <c r="AH32" s="216" t="n">
        <f aca="false">ROUND(IF(ISNUMBER(ORÇAMENTO.OpcaoBDI),ORÇAMENTO.OpcaoBDI,IF(LEFT(ORÇAMENTO.OpcaoBDI,3)="BDI",HLOOKUP(ORÇAMENTO.OpcaoBDI,$F$4:$H$5,2,FALSE()),0)),15-11*$AF$9)</f>
        <v>0.242</v>
      </c>
      <c r="AJ32" s="217"/>
      <c r="AL32" s="218"/>
      <c r="AM32" s="219" t="n">
        <f aca="false">$X32</f>
        <v>0</v>
      </c>
      <c r="AN32" s="220" t="n">
        <f aca="false">ROUND(ORÇAMENTO.CustoUnitario*(1+$AH32),2)</f>
        <v>0</v>
      </c>
    </row>
    <row r="33" s="1" customFormat="true" ht="38.25" hidden="false" customHeight="false" outlineLevel="0" collapsed="false">
      <c r="A33" s="1" t="str">
        <f aca="false">CHOOSE(1+LOG(1+2*(ORÇAMENTO.Nivel="Meta")+4*(ORÇAMENTO.Nivel="Nível 2")+8*(ORÇAMENTO.Nivel="Nível 3")+16*(ORÇAMENTO.Nivel="Nível 4")+32*(ORÇAMENTO.Nivel="Serviço"),2),0,1,2,3,4,"S")</f>
        <v>S</v>
      </c>
      <c r="B33" s="1" t="n">
        <f aca="true">IF(OR(C33="s",C33=0),OFFSET(B33,-1,0),C33)</f>
        <v>3</v>
      </c>
      <c r="C33" s="1" t="str">
        <f aca="true">IF(OFFSET(C33,-1,0)="L",1,IF(OFFSET(C33,-1,0)=1,2,IF(OR(A33="s",A33=0),"S",IF(AND(OFFSET(C33,-1,0)=2,A33=4),3,IF(AND(OR(OFFSET(C33,-1,0)="s",OFFSET(C33,-1,0)=0),A33&lt;&gt;"s",A33&gt;OFFSET(B33,-1,0)),OFFSET(B33,-1,0),A33)))))</f>
        <v>S</v>
      </c>
      <c r="D33" s="1" t="n">
        <f aca="false">IF(OR(C33="S",C33=0),0,IF(ISERROR(K33),J33,SMALL(J33:K33,1)))</f>
        <v>0</v>
      </c>
      <c r="E33" s="1" t="n">
        <f aca="true">IF($C33=1,OFFSET(E33,-1,0)+MAX(1,COUNTIF(QCI!$A$13:$A$16,OFFSET(ORÇAMENTO!E33,-1,0))),OFFSET(E33,-1,0))</f>
        <v>1</v>
      </c>
      <c r="F33" s="1" t="n">
        <f aca="true">IF($C33=1,0,IF($C33=2,OFFSET(F33,-1,0)+1,OFFSET(F33,-1,0)))</f>
        <v>3</v>
      </c>
      <c r="G33" s="1" t="n">
        <f aca="true">IF(AND($C33&lt;=2,$C33&lt;&gt;0),0,IF($C33=3,OFFSET(G33,-1,0)+1,OFFSET(G33,-1,0)))</f>
        <v>3</v>
      </c>
      <c r="H33" s="1" t="n">
        <f aca="true">IF(AND($C33&lt;=3,$C33&lt;&gt;0),0,IF($C33=4,OFFSET(H33,-1,0)+1,OFFSET(H33,-1,0)))</f>
        <v>0</v>
      </c>
      <c r="I33" s="1" t="n">
        <f aca="true">IF(AND($C33&lt;=4,$C33&lt;&gt;0),0,IF(AND($C33="S",$X33&gt;0),OFFSET(I33,-1,0)+1,OFFSET(I33,-1,0)))</f>
        <v>0</v>
      </c>
      <c r="J33" s="1" t="n">
        <f aca="true">IF(OR($C33="S",$C33=0),0,MATCH(0,OFFSET($D33,1,$C33,ROW($C$40)-ROW($C33)),0))</f>
        <v>0</v>
      </c>
      <c r="K33" s="1" t="n">
        <f aca="true">IF(OR($C33="S",$C33=0),0,MATCH(OFFSET($D33,0,$C33)+IF($C33&lt;&gt;1,1,COUNTIF(QCI!$A$13:$A$16,ORÇAMENTO!E33)),OFFSET($D33,1,$C33,ROW($C$40)-ROW($C33)),0))</f>
        <v>0</v>
      </c>
      <c r="L33" s="199" t="str">
        <f aca="false">IF(OR($X33&gt;0,$C33=1,$C33=2,$C33=3,$C33=4),"F","")</f>
        <v/>
      </c>
      <c r="M33" s="200" t="s">
        <v>722</v>
      </c>
      <c r="N33" s="201" t="str">
        <f aca="false">CHOOSE(1+LOG(1+2*(C33=1)+4*(C33=2)+8*(C33=3)+16*(C33=4)+32*(C33="S"),2),"","Meta","Nível 2","Nível 3","Nível 4","Serviço")</f>
        <v>Serviço</v>
      </c>
      <c r="O33" s="202" t="str">
        <f aca="false">IF(OR($C33=0,$L33=""),"-",CONCATENATE(E33&amp;".",IF(AND($A$5&gt;=2,$C33&gt;=2),F33&amp;".",""),IF(AND($A$5&gt;=3,$C33&gt;=3),G33&amp;".",""),IF(AND($A$5&gt;=4,$C33&gt;=4),H33&amp;".",""),IF($C33="S",I33&amp;".","")))</f>
        <v>-</v>
      </c>
      <c r="P33" s="203" t="s">
        <v>767</v>
      </c>
      <c r="Q33" s="238" t="s">
        <v>787</v>
      </c>
      <c r="R33" s="205" t="str">
        <f aca="true">IF($C33="S",REFERENCIA.Descricao,"(digite a descrição aqui)")</f>
        <v>(abra o arquivo 'Referência 09-2025.xlsm)</v>
      </c>
      <c r="S33" s="206" t="str">
        <f aca="true">REFERENCIA.Unidade</f>
        <v>-</v>
      </c>
      <c r="T33" s="207" t="n">
        <f aca="true">OFFSET(CÁLCULO!H$15,ROW($T33)-ROW(T$15),0)</f>
        <v>88.5</v>
      </c>
      <c r="U33" s="208" t="n">
        <f aca="false">AG33</f>
        <v>0</v>
      </c>
      <c r="V33" s="209" t="s">
        <v>678</v>
      </c>
      <c r="W33" s="207" t="n">
        <f aca="false">IF($C33="S",ROUND(IF(TIPOORCAMENTO="Proposto",ORÇAMENTO.CustoUnitario*(1+$AH33),ORÇAMENTO.PrecoUnitarioLicitado),15-13*$AF$10),0)</f>
        <v>0</v>
      </c>
      <c r="X33" s="210" t="n">
        <f aca="true" t="array" ref="X33:X33">IF($C33="S",IF(OR(Import.TipoArredondamento&lt;&gt;"TransfereGOV",ACOMPANHAMENTO="BM"),VTOTAL1,SUM(OFFSET(CÁLCULO!$AA$15,ROW($X33)-ROW($X$15),1):OFFSET(CÁLCULO!$AL$15,ROW($X33)-ROW($X$15),-1))),IF($C33=0,0,ROUND(SomaAgrup,15-13*$AF$11)))</f>
        <v>0</v>
      </c>
      <c r="Y33" s="211" t="s">
        <v>768</v>
      </c>
      <c r="Z33" s="1" t="str">
        <f aca="false">IF(AND($C33="S",$X33&gt;0),IF(ISBLANK($Y33),"RA",LEFT($Y33,2)),"")</f>
        <v/>
      </c>
      <c r="AA33" s="212" t="n">
        <f aca="true">IF($C33="S",IF($Z33="CP",$X33,IF($Z33="RA",(($X33)*QCI!$AA$3),0)),SomaAgrup)</f>
        <v>0</v>
      </c>
      <c r="AB33" s="213" t="n">
        <f aca="true">IF($C33="S",IF($Z33="OU",ROUND($X33,2),0),SomaAgrup)</f>
        <v>0</v>
      </c>
      <c r="AC33" s="214" t="str">
        <f aca="false">IF($N33=""," ",
IF(AND($C33&lt;&gt;"S",OR($R33="",$R33="(digite a descrição aqui)")),"DESCRIÇÃO",
IF(AND($C33="S",OR($Q33&lt;&gt;0,$T33&gt;0,$U33&gt;0),$P33=0),"FONTE",
IF(AND($C33="S",$P33&lt;&gt;0,OR($T33&gt;0,$U33&gt;0),$Q33=0),"CÓDIGO",
IF(AND($C33="S",$P33&lt;&gt;0,$Q33&lt;&gt;0,$R33="(Código não identificado nas referências)"),"CÓDIGO N/ID",
IF(AND($C33="S",OR($R33="",$R33="(digite a descrição aqui)"),OR($Q33&lt;&gt;0,$T33&gt;0,$U33&gt;0)),"DESCRIÇÃO",
IF(AND($C33="S",$P33&lt;&gt;0,$Q33&lt;&gt;0,$S33=""),"UNIDADE",
IF(AND($C33="S",$P33&lt;&gt;0,$Q33&lt;&gt;0,$U33=0),"SEM CUSTO",
IF(AND(TIPOORCAMENTO="Licitado",$AL33=0,$AN33&gt;0),"SEM PREÇO",
IF(AND($C33="S",$P33&lt;&gt;0,$Q33&lt;&gt;0,$U33&gt;0,$V33=0),"BDI",
IF(OR(AND(TIPOORCAMENTO="Proposto",$AG33&lt;&gt;"",$AG33&gt;0,ORÇAMENTO.CustoUnitario&gt;$AG33),AND(TIPOORCAMENTO="LICITADO",ORÇAMENTO.PrecoUnitarioLicitado&gt;$AN33)),"ACIMA REF.",
IF(AND($C33="S",$P33&lt;&gt;0,$Q33&lt;&gt;0,$T33=0,$U33&gt;0),"QUANT.",
IF(AND(Import.TipoArredondamento="TransfereGOV",$L33="F",$C33="S",LEN($Q33)&gt;13),"Código &gt;13",
IF(AND(Import.TipoArredondamento="TransfereGOV",$L33="F",$C33&lt;&gt;"S",LEN($R33)&gt;100),"Descrição &gt;100",
IF(AND(Import.TipoArredondamento="TransfereGOV",$L33="F",$C33="S",LEN($R33)&gt;500),"Descrição &gt;500",
IF(AND(Import.TipoArredondamento="TransfereGOV",$L33="F",$C33="S",LEFT(TRIM(UPPER($P33)),6)&lt;&gt;"SINAPI",ISNA(VLOOKUP(TRIM(UPPER($S33)),ListaTgov.Unidades,1,FALSE()))),"Unid. Não Disp",
" "))))))))))))))))</f>
        <v>SEM CUSTO</v>
      </c>
      <c r="AD33" s="1" t="str">
        <f aca="true">IF(C33&lt;=CRONO.NivelExibicao,MAX($AD$15:OFFSET(AD33,-1,0))+IF($C33&lt;&gt;1,1,MAX(1,COUNTIF(QCI!$A$13:$A$16,OFFSET($E33,-1,0)))),"")</f>
        <v/>
      </c>
      <c r="AE33" s="49" t="str">
        <f aca="false">IF(AND($C33="S",ORÇAMENTO.CodBarra&lt;&gt;""),IF(ORÇAMENTO.Fonte="",ORÇAMENTO.CodBarra,CONCATENATE(ORÇAMENTO.Fonte," ",ORÇAMENTO.CodBarra)))</f>
        <v>SINAPI 94228</v>
      </c>
      <c r="AF33" s="64" t="str">
        <f aca="true">IF(ISERROR(INDIRECT(ORÇAMENTO.BancoRef)),"(abra o arquivo 'Referência "&amp;Excel_BuiltIn_Database&amp;".xlsm)",IF(OR($C33&lt;&gt;"S",ORÇAMENTO.CodBarra=""),"(Sem Código)",IF(ISERROR(MATCH($AE33,INDIRECT(ORÇAMENTO.BancoRef),0)),"(Código não identificado nas referências)",MATCH($AE33,INDIRECT(ORÇAMENTO.BancoRef),0))))</f>
        <v>(abra o arquivo 'Referência 09-2025.xlsm)</v>
      </c>
      <c r="AG33" s="215" t="n">
        <f aca="true">ROUND(IF(DESONERACAO="sim",REFERENCIA.Desonerado,REFERENCIA.NaoDesonerado),2)</f>
        <v>0</v>
      </c>
      <c r="AH33" s="216" t="n">
        <f aca="false">ROUND(IF(ISNUMBER(ORÇAMENTO.OpcaoBDI),ORÇAMENTO.OpcaoBDI,IF(LEFT(ORÇAMENTO.OpcaoBDI,3)="BDI",HLOOKUP(ORÇAMENTO.OpcaoBDI,$F$4:$H$5,2,FALSE()),0)),15-11*$AF$9)</f>
        <v>0.242</v>
      </c>
      <c r="AJ33" s="217" t="n">
        <v>88.5</v>
      </c>
      <c r="AL33" s="218"/>
      <c r="AM33" s="219" t="n">
        <f aca="false">$X33</f>
        <v>0</v>
      </c>
      <c r="AN33" s="220" t="n">
        <f aca="false">ROUND(ORÇAMENTO.CustoUnitario*(1+$AH33),2)</f>
        <v>0</v>
      </c>
    </row>
    <row r="34" s="1" customFormat="true" ht="38.25" hidden="false" customHeight="false" outlineLevel="0" collapsed="false">
      <c r="A34" s="1" t="str">
        <f aca="false">CHOOSE(1+LOG(1+2*(ORÇAMENTO.Nivel="Meta")+4*(ORÇAMENTO.Nivel="Nível 2")+8*(ORÇAMENTO.Nivel="Nível 3")+16*(ORÇAMENTO.Nivel="Nível 4")+32*(ORÇAMENTO.Nivel="Serviço"),2),0,1,2,3,4,"S")</f>
        <v>S</v>
      </c>
      <c r="B34" s="1" t="n">
        <f aca="true">IF(OR(C34="s",C34=0),OFFSET(B34,-1,0),C34)</f>
        <v>3</v>
      </c>
      <c r="C34" s="1" t="str">
        <f aca="true">IF(OFFSET(C34,-1,0)="L",1,IF(OFFSET(C34,-1,0)=1,2,IF(OR(A34="s",A34=0),"S",IF(AND(OFFSET(C34,-1,0)=2,A34=4),3,IF(AND(OR(OFFSET(C34,-1,0)="s",OFFSET(C34,-1,0)=0),A34&lt;&gt;"s",A34&gt;OFFSET(B34,-1,0)),OFFSET(B34,-1,0),A34)))))</f>
        <v>S</v>
      </c>
      <c r="D34" s="1" t="n">
        <f aca="false">IF(OR(C34="S",C34=0),0,IF(ISERROR(K34),J34,SMALL(J34:K34,1)))</f>
        <v>0</v>
      </c>
      <c r="E34" s="1" t="n">
        <f aca="true">IF($C34=1,OFFSET(E34,-1,0)+MAX(1,COUNTIF(QCI!$A$13:$A$16,OFFSET(ORÇAMENTO!E34,-1,0))),OFFSET(E34,-1,0))</f>
        <v>1</v>
      </c>
      <c r="F34" s="1" t="n">
        <f aca="true">IF($C34=1,0,IF($C34=2,OFFSET(F34,-1,0)+1,OFFSET(F34,-1,0)))</f>
        <v>3</v>
      </c>
      <c r="G34" s="1" t="n">
        <f aca="true">IF(AND($C34&lt;=2,$C34&lt;&gt;0),0,IF($C34=3,OFFSET(G34,-1,0)+1,OFFSET(G34,-1,0)))</f>
        <v>3</v>
      </c>
      <c r="H34" s="1" t="n">
        <f aca="true">IF(AND($C34&lt;=3,$C34&lt;&gt;0),0,IF($C34=4,OFFSET(H34,-1,0)+1,OFFSET(H34,-1,0)))</f>
        <v>0</v>
      </c>
      <c r="I34" s="1" t="n">
        <f aca="true">IF(AND($C34&lt;=4,$C34&lt;&gt;0),0,IF(AND($C34="S",$X34&gt;0),OFFSET(I34,-1,0)+1,OFFSET(I34,-1,0)))</f>
        <v>0</v>
      </c>
      <c r="J34" s="1" t="n">
        <f aca="true">IF(OR($C34="S",$C34=0),0,MATCH(0,OFFSET($D34,1,$C34,ROW($C$40)-ROW($C34)),0))</f>
        <v>0</v>
      </c>
      <c r="K34" s="1" t="n">
        <f aca="true">IF(OR($C34="S",$C34=0),0,MATCH(OFFSET($D34,0,$C34)+IF($C34&lt;&gt;1,1,COUNTIF(QCI!$A$13:$A$16,ORÇAMENTO!E34)),OFFSET($D34,1,$C34,ROW($C$40)-ROW($C34)),0))</f>
        <v>0</v>
      </c>
      <c r="L34" s="199" t="str">
        <f aca="false">IF(OR($X34&gt;0,$C34=1,$C34=2,$C34=3,$C34=4),"F","")</f>
        <v/>
      </c>
      <c r="M34" s="200" t="s">
        <v>722</v>
      </c>
      <c r="N34" s="201" t="str">
        <f aca="false">CHOOSE(1+LOG(1+2*(C34=1)+4*(C34=2)+8*(C34=3)+16*(C34=4)+32*(C34="S"),2),"","Meta","Nível 2","Nível 3","Nível 4","Serviço")</f>
        <v>Serviço</v>
      </c>
      <c r="O34" s="202" t="str">
        <f aca="false">IF(OR($C34=0,$L34=""),"-",CONCATENATE(E34&amp;".",IF(AND($A$5&gt;=2,$C34&gt;=2),F34&amp;".",""),IF(AND($A$5&gt;=3,$C34&gt;=3),G34&amp;".",""),IF(AND($A$5&gt;=4,$C34&gt;=4),H34&amp;".",""),IF($C34="S",I34&amp;".","")))</f>
        <v>-</v>
      </c>
      <c r="P34" s="203" t="s">
        <v>767</v>
      </c>
      <c r="Q34" s="238" t="s">
        <v>788</v>
      </c>
      <c r="R34" s="205" t="str">
        <f aca="true">IF($C34="S",REFERENCIA.Descricao,"(digite a descrição aqui)")</f>
        <v>(abra o arquivo 'Referência 09-2025.xlsm)</v>
      </c>
      <c r="S34" s="206" t="str">
        <f aca="true">REFERENCIA.Unidade</f>
        <v>-</v>
      </c>
      <c r="T34" s="207" t="n">
        <f aca="true">OFFSET(CÁLCULO!H$15,ROW($T34)-ROW(T$15),0)</f>
        <v>22.125</v>
      </c>
      <c r="U34" s="208" t="n">
        <f aca="false">AG34</f>
        <v>0</v>
      </c>
      <c r="V34" s="209" t="s">
        <v>678</v>
      </c>
      <c r="W34" s="207" t="n">
        <f aca="false">IF($C34="S",ROUND(IF(TIPOORCAMENTO="Proposto",ORÇAMENTO.CustoUnitario*(1+$AH34),ORÇAMENTO.PrecoUnitarioLicitado),15-13*$AF$10),0)</f>
        <v>0</v>
      </c>
      <c r="X34" s="210" t="n">
        <f aca="true" t="array" ref="X34:X34">IF($C34="S",IF(OR(Import.TipoArredondamento&lt;&gt;"TransfereGOV",ACOMPANHAMENTO="BM"),VTOTAL1,SUM(OFFSET(CÁLCULO!$AA$15,ROW($X34)-ROW($X$15),1):OFFSET(CÁLCULO!$AL$15,ROW($X34)-ROW($X$15),-1))),IF($C34=0,0,ROUND(SomaAgrup,15-13*$AF$11)))</f>
        <v>0</v>
      </c>
      <c r="Y34" s="211" t="s">
        <v>768</v>
      </c>
      <c r="Z34" s="1" t="str">
        <f aca="false">IF(AND($C34="S",$X34&gt;0),IF(ISBLANK($Y34),"RA",LEFT($Y34,2)),"")</f>
        <v/>
      </c>
      <c r="AA34" s="212" t="n">
        <f aca="true">IF($C34="S",IF($Z34="CP",$X34,IF($Z34="RA",(($X34)*QCI!$AA$3),0)),SomaAgrup)</f>
        <v>0</v>
      </c>
      <c r="AB34" s="213" t="n">
        <f aca="true">IF($C34="S",IF($Z34="OU",ROUND($X34,2),0),SomaAgrup)</f>
        <v>0</v>
      </c>
      <c r="AC34" s="214" t="str">
        <f aca="false">IF($N34=""," ",
IF(AND($C34&lt;&gt;"S",OR($R34="",$R34="(digite a descrição aqui)")),"DESCRIÇÃO",
IF(AND($C34="S",OR($Q34&lt;&gt;0,$T34&gt;0,$U34&gt;0),$P34=0),"FONTE",
IF(AND($C34="S",$P34&lt;&gt;0,OR($T34&gt;0,$U34&gt;0),$Q34=0),"CÓDIGO",
IF(AND($C34="S",$P34&lt;&gt;0,$Q34&lt;&gt;0,$R34="(Código não identificado nas referências)"),"CÓDIGO N/ID",
IF(AND($C34="S",OR($R34="",$R34="(digite a descrição aqui)"),OR($Q34&lt;&gt;0,$T34&gt;0,$U34&gt;0)),"DESCRIÇÃO",
IF(AND($C34="S",$P34&lt;&gt;0,$Q34&lt;&gt;0,$S34=""),"UNIDADE",
IF(AND($C34="S",$P34&lt;&gt;0,$Q34&lt;&gt;0,$U34=0),"SEM CUSTO",
IF(AND(TIPOORCAMENTO="Licitado",$AL34=0,$AN34&gt;0),"SEM PREÇO",
IF(AND($C34="S",$P34&lt;&gt;0,$Q34&lt;&gt;0,$U34&gt;0,$V34=0),"BDI",
IF(OR(AND(TIPOORCAMENTO="Proposto",$AG34&lt;&gt;"",$AG34&gt;0,ORÇAMENTO.CustoUnitario&gt;$AG34),AND(TIPOORCAMENTO="LICITADO",ORÇAMENTO.PrecoUnitarioLicitado&gt;$AN34)),"ACIMA REF.",
IF(AND($C34="S",$P34&lt;&gt;0,$Q34&lt;&gt;0,$T34=0,$U34&gt;0),"QUANT.",
IF(AND(Import.TipoArredondamento="TransfereGOV",$L34="F",$C34="S",LEN($Q34)&gt;13),"Código &gt;13",
IF(AND(Import.TipoArredondamento="TransfereGOV",$L34="F",$C34&lt;&gt;"S",LEN($R34)&gt;100),"Descrição &gt;100",
IF(AND(Import.TipoArredondamento="TransfereGOV",$L34="F",$C34="S",LEN($R34)&gt;500),"Descrição &gt;500",
IF(AND(Import.TipoArredondamento="TransfereGOV",$L34="F",$C34="S",LEFT(TRIM(UPPER($P34)),6)&lt;&gt;"SINAPI",ISNA(VLOOKUP(TRIM(UPPER($S34)),ListaTgov.Unidades,1,FALSE()))),"Unid. Não Disp",
" "))))))))))))))))</f>
        <v>SEM CUSTO</v>
      </c>
      <c r="AD34" s="1" t="str">
        <f aca="true">IF(C34&lt;=CRONO.NivelExibicao,MAX($AD$15:OFFSET(AD34,-1,0))+IF($C34&lt;&gt;1,1,MAX(1,COUNTIF(QCI!$A$13:$A$16,OFFSET($E34,-1,0)))),"")</f>
        <v/>
      </c>
      <c r="AE34" s="49" t="str">
        <f aca="false">IF(AND($C34="S",ORÇAMENTO.CodBarra&lt;&gt;""),IF(ORÇAMENTO.Fonte="",ORÇAMENTO.CodBarra,CONCATENATE(ORÇAMENTO.Fonte," ",ORÇAMENTO.CodBarra)))</f>
        <v>SINAPI 98546</v>
      </c>
      <c r="AF34" s="64" t="str">
        <f aca="true">IF(ISERROR(INDIRECT(ORÇAMENTO.BancoRef)),"(abra o arquivo 'Referência "&amp;Excel_BuiltIn_Database&amp;".xlsm)",IF(OR($C34&lt;&gt;"S",ORÇAMENTO.CodBarra=""),"(Sem Código)",IF(ISERROR(MATCH($AE34,INDIRECT(ORÇAMENTO.BancoRef),0)),"(Código não identificado nas referências)",MATCH($AE34,INDIRECT(ORÇAMENTO.BancoRef),0))))</f>
        <v>(abra o arquivo 'Referência 09-2025.xlsm)</v>
      </c>
      <c r="AG34" s="215" t="n">
        <f aca="true">ROUND(IF(DESONERACAO="sim",REFERENCIA.Desonerado,REFERENCIA.NaoDesonerado),2)</f>
        <v>0</v>
      </c>
      <c r="AH34" s="216" t="n">
        <f aca="false">ROUND(IF(ISNUMBER(ORÇAMENTO.OpcaoBDI),ORÇAMENTO.OpcaoBDI,IF(LEFT(ORÇAMENTO.OpcaoBDI,3)="BDI",HLOOKUP(ORÇAMENTO.OpcaoBDI,$F$4:$H$5,2,FALSE()),0)),15-11*$AF$9)</f>
        <v>0.242</v>
      </c>
      <c r="AJ34" s="217" t="n">
        <f aca="false">AJ33*0.25</f>
        <v>22.125</v>
      </c>
      <c r="AL34" s="218"/>
      <c r="AM34" s="219" t="n">
        <f aca="false">$X34</f>
        <v>0</v>
      </c>
      <c r="AN34" s="220" t="n">
        <f aca="false">ROUND(ORÇAMENTO.CustoUnitario*(1+$AH34),2)</f>
        <v>0</v>
      </c>
    </row>
    <row r="35" s="1" customFormat="true" ht="51" hidden="false" customHeight="false" outlineLevel="0" collapsed="false">
      <c r="A35" s="1" t="str">
        <f aca="false">CHOOSE(1+LOG(1+2*(ORÇAMENTO.Nivel="Meta")+4*(ORÇAMENTO.Nivel="Nível 2")+8*(ORÇAMENTO.Nivel="Nível 3")+16*(ORÇAMENTO.Nivel="Nível 4")+32*(ORÇAMENTO.Nivel="Serviço"),2),0,1,2,3,4,"S")</f>
        <v>S</v>
      </c>
      <c r="B35" s="1" t="n">
        <f aca="true">IF(OR(C35="s",C35=0),OFFSET(B35,-1,0),C35)</f>
        <v>3</v>
      </c>
      <c r="C35" s="1" t="str">
        <f aca="true">IF(OFFSET(C35,-1,0)="L",1,IF(OFFSET(C35,-1,0)=1,2,IF(OR(A35="s",A35=0),"S",IF(AND(OFFSET(C35,-1,0)=2,A35=4),3,IF(AND(OR(OFFSET(C35,-1,0)="s",OFFSET(C35,-1,0)=0),A35&lt;&gt;"s",A35&gt;OFFSET(B35,-1,0)),OFFSET(B35,-1,0),A35)))))</f>
        <v>S</v>
      </c>
      <c r="D35" s="1" t="n">
        <f aca="false">IF(OR(C35="S",C35=0),0,IF(ISERROR(K35),J35,SMALL(J35:K35,1)))</f>
        <v>0</v>
      </c>
      <c r="E35" s="1" t="n">
        <f aca="true">IF($C35=1,OFFSET(E35,-1,0)+MAX(1,COUNTIF(QCI!$A$13:$A$16,OFFSET(ORÇAMENTO!E35,-1,0))),OFFSET(E35,-1,0))</f>
        <v>1</v>
      </c>
      <c r="F35" s="1" t="n">
        <f aca="true">IF($C35=1,0,IF($C35=2,OFFSET(F35,-1,0)+1,OFFSET(F35,-1,0)))</f>
        <v>3</v>
      </c>
      <c r="G35" s="1" t="n">
        <f aca="true">IF(AND($C35&lt;=2,$C35&lt;&gt;0),0,IF($C35=3,OFFSET(G35,-1,0)+1,OFFSET(G35,-1,0)))</f>
        <v>3</v>
      </c>
      <c r="H35" s="1" t="n">
        <f aca="true">IF(AND($C35&lt;=3,$C35&lt;&gt;0),0,IF($C35=4,OFFSET(H35,-1,0)+1,OFFSET(H35,-1,0)))</f>
        <v>0</v>
      </c>
      <c r="I35" s="1" t="n">
        <f aca="true">IF(AND($C35&lt;=4,$C35&lt;&gt;0),0,IF(AND($C35="S",$X35&gt;0),OFFSET(I35,-1,0)+1,OFFSET(I35,-1,0)))</f>
        <v>0</v>
      </c>
      <c r="J35" s="1" t="n">
        <f aca="true">IF(OR($C35="S",$C35=0),0,MATCH(0,OFFSET($D35,1,$C35,ROW($C$40)-ROW($C35)),0))</f>
        <v>0</v>
      </c>
      <c r="K35" s="1" t="n">
        <f aca="true">IF(OR($C35="S",$C35=0),0,MATCH(OFFSET($D35,0,$C35)+IF($C35&lt;&gt;1,1,COUNTIF(QCI!$A$13:$A$16,ORÇAMENTO!E35)),OFFSET($D35,1,$C35,ROW($C$40)-ROW($C35)),0))</f>
        <v>0</v>
      </c>
      <c r="L35" s="199" t="str">
        <f aca="false">IF(OR($X35&gt;0,$C35=1,$C35=2,$C35=3,$C35=4),"F","")</f>
        <v/>
      </c>
      <c r="M35" s="200" t="s">
        <v>722</v>
      </c>
      <c r="N35" s="236" t="str">
        <f aca="false">CHOOSE(1+LOG(1+2*(C35=1)+4*(C35=2)+8*(C35=3)+16*(C35=4)+32*(C35="S"),2),"","Meta","Nível 2","Nível 3","Nível 4","Serviço")</f>
        <v>Serviço</v>
      </c>
      <c r="O35" s="202" t="str">
        <f aca="false">IF(OR($C35=0,$L35=""),"-",CONCATENATE(E35&amp;".",IF(AND($A$5&gt;=2,$C35&gt;=2),F35&amp;".",""),IF(AND($A$5&gt;=3,$C35&gt;=3),G35&amp;".",""),IF(AND($A$5&gt;=4,$C35&gt;=4),H35&amp;".",""),IF($C35="S",I35&amp;".","")))</f>
        <v>-</v>
      </c>
      <c r="P35" s="203" t="s">
        <v>767</v>
      </c>
      <c r="Q35" s="238" t="s">
        <v>789</v>
      </c>
      <c r="R35" s="205" t="str">
        <f aca="true">IF($C35="S",REFERENCIA.Descricao,"(digite a descrição aqui)")</f>
        <v>(abra o arquivo 'Referência 09-2025.xlsm)</v>
      </c>
      <c r="S35" s="206" t="str">
        <f aca="true">REFERENCIA.Unidade</f>
        <v>-</v>
      </c>
      <c r="T35" s="207" t="n">
        <f aca="true">OFFSET(CÁLCULO!H$15,ROW($T35)-ROW(T$15),0)</f>
        <v>88.5</v>
      </c>
      <c r="U35" s="208" t="n">
        <f aca="false">AG35</f>
        <v>0</v>
      </c>
      <c r="V35" s="209" t="s">
        <v>678</v>
      </c>
      <c r="W35" s="207" t="n">
        <f aca="false">IF($C35="S",ROUND(IF(TIPOORCAMENTO="Proposto",ORÇAMENTO.CustoUnitario*(1+$AH35),ORÇAMENTO.PrecoUnitarioLicitado),15-13*$AF$10),0)</f>
        <v>0</v>
      </c>
      <c r="X35" s="210" t="n">
        <f aca="true" t="array" ref="X35:X35">IF($C35="S",IF(OR(Import.TipoArredondamento&lt;&gt;"TransfereGOV",ACOMPANHAMENTO="BM"),VTOTAL1,SUM(OFFSET(CÁLCULO!$AA$15,ROW($X35)-ROW($X$15),1):OFFSET(CÁLCULO!$AL$15,ROW($X35)-ROW($X$15),-1))),IF($C35=0,0,ROUND(SomaAgrup,15-13*$AF$11)))</f>
        <v>0</v>
      </c>
      <c r="Y35" s="211" t="s">
        <v>768</v>
      </c>
      <c r="Z35" s="1" t="str">
        <f aca="false">IF(AND($C35="S",$X35&gt;0),IF(ISBLANK($Y35),"RA",LEFT($Y35,2)),"")</f>
        <v/>
      </c>
      <c r="AA35" s="212" t="n">
        <f aca="true">IF($C35="S",IF($Z35="CP",$X35,IF($Z35="RA",(($X35)*QCI!$AA$3),0)),SomaAgrup)</f>
        <v>0</v>
      </c>
      <c r="AB35" s="213" t="n">
        <f aca="true">IF($C35="S",IF($Z35="OU",ROUND($X35,2),0),SomaAgrup)</f>
        <v>0</v>
      </c>
      <c r="AC35" s="214" t="str">
        <f aca="false">IF($N35=""," ",
IF(AND($C35&lt;&gt;"S",OR($R35="",$R35="(digite a descrição aqui)")),"DESCRIÇÃO",
IF(AND($C35="S",OR($Q35&lt;&gt;0,$T35&gt;0,$U35&gt;0),$P35=0),"FONTE",
IF(AND($C35="S",$P35&lt;&gt;0,OR($T35&gt;0,$U35&gt;0),$Q35=0),"CÓDIGO",
IF(AND($C35="S",$P35&lt;&gt;0,$Q35&lt;&gt;0,$R35="(Código não identificado nas referências)"),"CÓDIGO N/ID",
IF(AND($C35="S",OR($R35="",$R35="(digite a descrição aqui)"),OR($Q35&lt;&gt;0,$T35&gt;0,$U35&gt;0)),"DESCRIÇÃO",
IF(AND($C35="S",$P35&lt;&gt;0,$Q35&lt;&gt;0,$S35=""),"UNIDADE",
IF(AND($C35="S",$P35&lt;&gt;0,$Q35&lt;&gt;0,$U35=0),"SEM CUSTO",
IF(AND(TIPOORCAMENTO="Licitado",$AL35=0,$AN35&gt;0),"SEM PREÇO",
IF(AND($C35="S",$P35&lt;&gt;0,$Q35&lt;&gt;0,$U35&gt;0,$V35=0),"BDI",
IF(OR(AND(TIPOORCAMENTO="Proposto",$AG35&lt;&gt;"",$AG35&gt;0,ORÇAMENTO.CustoUnitario&gt;$AG35),AND(TIPOORCAMENTO="LICITADO",ORÇAMENTO.PrecoUnitarioLicitado&gt;$AN35)),"ACIMA REF.",
IF(AND($C35="S",$P35&lt;&gt;0,$Q35&lt;&gt;0,$T35=0,$U35&gt;0),"QUANT.",
IF(AND(Import.TipoArredondamento="TransfereGOV",$L35="F",$C35="S",LEN($Q35)&gt;13),"Código &gt;13",
IF(AND(Import.TipoArredondamento="TransfereGOV",$L35="F",$C35&lt;&gt;"S",LEN($R35)&gt;100),"Descrição &gt;100",
IF(AND(Import.TipoArredondamento="TransfereGOV",$L35="F",$C35="S",LEN($R35)&gt;500),"Descrição &gt;500",
IF(AND(Import.TipoArredondamento="TransfereGOV",$L35="F",$C35="S",LEFT(TRIM(UPPER($P35)),6)&lt;&gt;"SINAPI",ISNA(VLOOKUP(TRIM(UPPER($S35)),ListaTgov.Unidades,1,FALSE()))),"Unid. Não Disp",
" "))))))))))))))))</f>
        <v>SEM CUSTO</v>
      </c>
      <c r="AD35" s="1" t="str">
        <f aca="true">IF(C35&lt;=CRONO.NivelExibicao,MAX($AD$15:OFFSET(AD35,-1,0))+IF($C35&lt;&gt;1,1,MAX(1,COUNTIF(QCI!$A$13:$A$16,OFFSET($E35,-1,0)))),"")</f>
        <v/>
      </c>
      <c r="AE35" s="49" t="str">
        <f aca="false">IF(AND($C35="S",ORÇAMENTO.CodBarra&lt;&gt;""),IF(ORÇAMENTO.Fonte="",ORÇAMENTO.CodBarra,CONCATENATE(ORÇAMENTO.Fonte," ",ORÇAMENTO.CodBarra)))</f>
        <v>SINAPI 90470</v>
      </c>
      <c r="AF35" s="64" t="str">
        <f aca="true">IF(ISERROR(INDIRECT(ORÇAMENTO.BancoRef)),"(abra o arquivo 'Referência "&amp;Excel_BuiltIn_Database&amp;".xlsm)",IF(OR($C35&lt;&gt;"S",ORÇAMENTO.CodBarra=""),"(Sem Código)",IF(ISERROR(MATCH($AE35,INDIRECT(ORÇAMENTO.BancoRef),0)),"(Código não identificado nas referências)",MATCH($AE35,INDIRECT(ORÇAMENTO.BancoRef),0))))</f>
        <v>(abra o arquivo 'Referência 09-2025.xlsm)</v>
      </c>
      <c r="AG35" s="215" t="n">
        <f aca="true">ROUND(IF(DESONERACAO="sim",REFERENCIA.Desonerado,REFERENCIA.NaoDesonerado),2)</f>
        <v>0</v>
      </c>
      <c r="AH35" s="216" t="n">
        <f aca="false">ROUND(IF(ISNUMBER(ORÇAMENTO.OpcaoBDI),ORÇAMENTO.OpcaoBDI,IF(LEFT(ORÇAMENTO.OpcaoBDI,3)="BDI",HLOOKUP(ORÇAMENTO.OpcaoBDI,$F$4:$H$5,2,FALSE()),0)),15-11*$AF$9)</f>
        <v>0.242</v>
      </c>
      <c r="AJ35" s="217" t="n">
        <f aca="false">AJ33</f>
        <v>88.5</v>
      </c>
      <c r="AL35" s="218"/>
      <c r="AM35" s="219" t="n">
        <f aca="false">$X35</f>
        <v>0</v>
      </c>
      <c r="AN35" s="220" t="n">
        <f aca="false">ROUND(ORÇAMENTO.CustoUnitario*(1+$AH35),2)</f>
        <v>0</v>
      </c>
    </row>
    <row r="36" s="1" customFormat="true" ht="38.25" hidden="false" customHeight="false" outlineLevel="0" collapsed="false">
      <c r="A36" s="1" t="str">
        <f aca="false">CHOOSE(1+LOG(1+2*(ORÇAMENTO.Nivel="Meta")+4*(ORÇAMENTO.Nivel="Nível 2")+8*(ORÇAMENTO.Nivel="Nível 3")+16*(ORÇAMENTO.Nivel="Nível 4")+32*(ORÇAMENTO.Nivel="Serviço"),2),0,1,2,3,4,"S")</f>
        <v>S</v>
      </c>
      <c r="B36" s="1" t="n">
        <f aca="true">IF(OR(C36="s",C36=0),OFFSET(B36,-1,0),C36)</f>
        <v>3</v>
      </c>
      <c r="C36" s="1" t="str">
        <f aca="true">IF(OFFSET(C36,-1,0)="L",1,IF(OFFSET(C36,-1,0)=1,2,IF(OR(A36="s",A36=0),"S",IF(AND(OFFSET(C36,-1,0)=2,A36=4),3,IF(AND(OR(OFFSET(C36,-1,0)="s",OFFSET(C36,-1,0)=0),A36&lt;&gt;"s",A36&gt;OFFSET(B36,-1,0)),OFFSET(B36,-1,0),A36)))))</f>
        <v>S</v>
      </c>
      <c r="D36" s="1" t="n">
        <f aca="false">IF(OR(C36="S",C36=0),0,IF(ISERROR(K36),J36,SMALL(J36:K36,1)))</f>
        <v>0</v>
      </c>
      <c r="E36" s="1" t="n">
        <f aca="true">IF($C36=1,OFFSET(E36,-1,0)+MAX(1,COUNTIF(QCI!$A$13:$A$16,OFFSET(ORÇAMENTO!E36,-1,0))),OFFSET(E36,-1,0))</f>
        <v>1</v>
      </c>
      <c r="F36" s="1" t="n">
        <f aca="true">IF($C36=1,0,IF($C36=2,OFFSET(F36,-1,0)+1,OFFSET(F36,-1,0)))</f>
        <v>3</v>
      </c>
      <c r="G36" s="1" t="n">
        <f aca="true">IF(AND($C36&lt;=2,$C36&lt;&gt;0),0,IF($C36=3,OFFSET(G36,-1,0)+1,OFFSET(G36,-1,0)))</f>
        <v>3</v>
      </c>
      <c r="H36" s="1" t="n">
        <f aca="true">IF(AND($C36&lt;=3,$C36&lt;&gt;0),0,IF($C36=4,OFFSET(H36,-1,0)+1,OFFSET(H36,-1,0)))</f>
        <v>0</v>
      </c>
      <c r="I36" s="1" t="n">
        <f aca="true">IF(AND($C36&lt;=4,$C36&lt;&gt;0),0,IF(AND($C36="S",$X36&gt;0),OFFSET(I36,-1,0)+1,OFFSET(I36,-1,0)))</f>
        <v>0</v>
      </c>
      <c r="J36" s="1" t="n">
        <f aca="true">IF(OR($C36="S",$C36=0),0,MATCH(0,OFFSET($D36,1,$C36,ROW($C$40)-ROW($C36)),0))</f>
        <v>0</v>
      </c>
      <c r="K36" s="1" t="n">
        <f aca="true">IF(OR($C36="S",$C36=0),0,MATCH(OFFSET($D36,0,$C36)+IF($C36&lt;&gt;1,1,COUNTIF(QCI!$A$13:$A$16,ORÇAMENTO!E36)),OFFSET($D36,1,$C36,ROW($C$40)-ROW($C36)),0))</f>
        <v>0</v>
      </c>
      <c r="L36" s="199" t="str">
        <f aca="false">IF(OR($X36&gt;0,$C36=1,$C36=2,$C36=3,$C36=4),"F","")</f>
        <v/>
      </c>
      <c r="M36" s="200" t="s">
        <v>722</v>
      </c>
      <c r="N36" s="236" t="str">
        <f aca="false">CHOOSE(1+LOG(1+2*(C36=1)+4*(C36=2)+8*(C36=3)+16*(C36=4)+32*(C36="S"),2),"","Meta","Nível 2","Nível 3","Nível 4","Serviço")</f>
        <v>Serviço</v>
      </c>
      <c r="O36" s="202" t="str">
        <f aca="false">IF(OR($C36=0,$L36=""),"-",CONCATENATE(E36&amp;".",IF(AND($A$5&gt;=2,$C36&gt;=2),F36&amp;".",""),IF(AND($A$5&gt;=3,$C36&gt;=3),G36&amp;".",""),IF(AND($A$5&gt;=4,$C36&gt;=4),H36&amp;".",""),IF($C36="S",I36&amp;".","")))</f>
        <v>-</v>
      </c>
      <c r="P36" s="203" t="s">
        <v>767</v>
      </c>
      <c r="Q36" s="238" t="s">
        <v>790</v>
      </c>
      <c r="R36" s="205" t="str">
        <f aca="true">IF($C36="S",REFERENCIA.Descricao,"(digite a descrição aqui)")</f>
        <v>(abra o arquivo 'Referência 09-2025.xlsm)</v>
      </c>
      <c r="S36" s="206" t="str">
        <f aca="true">REFERENCIA.Unidade</f>
        <v>-</v>
      </c>
      <c r="T36" s="207" t="n">
        <f aca="true">OFFSET(CÁLCULO!H$15,ROW($T36)-ROW(T$15),0)</f>
        <v>28</v>
      </c>
      <c r="U36" s="208" t="n">
        <f aca="false">AG36</f>
        <v>0</v>
      </c>
      <c r="V36" s="209" t="s">
        <v>678</v>
      </c>
      <c r="W36" s="207" t="n">
        <f aca="false">IF($C36="S",ROUND(IF(TIPOORCAMENTO="Proposto",ORÇAMENTO.CustoUnitario*(1+$AH36),ORÇAMENTO.PrecoUnitarioLicitado),15-13*$AF$10),0)</f>
        <v>0</v>
      </c>
      <c r="X36" s="210" t="n">
        <f aca="true" t="array" ref="X36:X36">IF($C36="S",IF(OR(Import.TipoArredondamento&lt;&gt;"TransfereGOV",ACOMPANHAMENTO="BM"),VTOTAL1,SUM(OFFSET(CÁLCULO!$AA$15,ROW($X36)-ROW($X$15),1):OFFSET(CÁLCULO!$AL$15,ROW($X36)-ROW($X$15),-1))),IF($C36=0,0,ROUND(SomaAgrup,15-13*$AF$11)))</f>
        <v>0</v>
      </c>
      <c r="Y36" s="211" t="s">
        <v>768</v>
      </c>
      <c r="Z36" s="1" t="str">
        <f aca="false">IF(AND($C36="S",$X36&gt;0),IF(ISBLANK($Y36),"RA",LEFT($Y36,2)),"")</f>
        <v/>
      </c>
      <c r="AA36" s="212" t="n">
        <f aca="true">IF($C36="S",IF($Z36="CP",$X36,IF($Z36="RA",(($X36)*QCI!$AA$3),0)),SomaAgrup)</f>
        <v>0</v>
      </c>
      <c r="AB36" s="213" t="n">
        <f aca="true">IF($C36="S",IF($Z36="OU",ROUND($X36,2),0),SomaAgrup)</f>
        <v>0</v>
      </c>
      <c r="AC36" s="214" t="str">
        <f aca="false">IF($N36=""," ",
IF(AND($C36&lt;&gt;"S",OR($R36="",$R36="(digite a descrição aqui)")),"DESCRIÇÃO",
IF(AND($C36="S",OR($Q36&lt;&gt;0,$T36&gt;0,$U36&gt;0),$P36=0),"FONTE",
IF(AND($C36="S",$P36&lt;&gt;0,OR($T36&gt;0,$U36&gt;0),$Q36=0),"CÓDIGO",
IF(AND($C36="S",$P36&lt;&gt;0,$Q36&lt;&gt;0,$R36="(Código não identificado nas referências)"),"CÓDIGO N/ID",
IF(AND($C36="S",OR($R36="",$R36="(digite a descrição aqui)"),OR($Q36&lt;&gt;0,$T36&gt;0,$U36&gt;0)),"DESCRIÇÃO",
IF(AND($C36="S",$P36&lt;&gt;0,$Q36&lt;&gt;0,$S36=""),"UNIDADE",
IF(AND($C36="S",$P36&lt;&gt;0,$Q36&lt;&gt;0,$U36=0),"SEM CUSTO",
IF(AND(TIPOORCAMENTO="Licitado",$AL36=0,$AN36&gt;0),"SEM PREÇO",
IF(AND($C36="S",$P36&lt;&gt;0,$Q36&lt;&gt;0,$U36&gt;0,$V36=0),"BDI",
IF(OR(AND(TIPOORCAMENTO="Proposto",$AG36&lt;&gt;"",$AG36&gt;0,ORÇAMENTO.CustoUnitario&gt;$AG36),AND(TIPOORCAMENTO="LICITADO",ORÇAMENTO.PrecoUnitarioLicitado&gt;$AN36)),"ACIMA REF.",
IF(AND($C36="S",$P36&lt;&gt;0,$Q36&lt;&gt;0,$T36=0,$U36&gt;0),"QUANT.",
IF(AND(Import.TipoArredondamento="TransfereGOV",$L36="F",$C36="S",LEN($Q36)&gt;13),"Código &gt;13",
IF(AND(Import.TipoArredondamento="TransfereGOV",$L36="F",$C36&lt;&gt;"S",LEN($R36)&gt;100),"Descrição &gt;100",
IF(AND(Import.TipoArredondamento="TransfereGOV",$L36="F",$C36="S",LEN($R36)&gt;500),"Descrição &gt;500",
IF(AND(Import.TipoArredondamento="TransfereGOV",$L36="F",$C36="S",LEFT(TRIM(UPPER($P36)),6)&lt;&gt;"SINAPI",ISNA(VLOOKUP(TRIM(UPPER($S36)),ListaTgov.Unidades,1,FALSE()))),"Unid. Não Disp",
" "))))))))))))))))</f>
        <v>SEM CUSTO</v>
      </c>
      <c r="AD36" s="1" t="str">
        <f aca="true">IF(C36&lt;=CRONO.NivelExibicao,MAX($AD$15:OFFSET(AD36,-1,0))+IF($C36&lt;&gt;1,1,MAX(1,COUNTIF(QCI!$A$13:$A$16,OFFSET($E36,-1,0)))),"")</f>
        <v/>
      </c>
      <c r="AE36" s="49" t="str">
        <f aca="false">IF(AND($C36="S",ORÇAMENTO.CodBarra&lt;&gt;""),IF(ORÇAMENTO.Fonte="",ORÇAMENTO.CodBarra,CONCATENATE(ORÇAMENTO.Fonte," ",ORÇAMENTO.CodBarra)))</f>
        <v>SINAPI 89578</v>
      </c>
      <c r="AF36" s="64" t="str">
        <f aca="true">IF(ISERROR(INDIRECT(ORÇAMENTO.BancoRef)),"(abra o arquivo 'Referência "&amp;Excel_BuiltIn_Database&amp;".xlsm)",IF(OR($C36&lt;&gt;"S",ORÇAMENTO.CodBarra=""),"(Sem Código)",IF(ISERROR(MATCH($AE36,INDIRECT(ORÇAMENTO.BancoRef),0)),"(Código não identificado nas referências)",MATCH($AE36,INDIRECT(ORÇAMENTO.BancoRef),0))))</f>
        <v>(abra o arquivo 'Referência 09-2025.xlsm)</v>
      </c>
      <c r="AG36" s="215" t="n">
        <f aca="true">ROUND(IF(DESONERACAO="sim",REFERENCIA.Desonerado,REFERENCIA.NaoDesonerado),2)</f>
        <v>0</v>
      </c>
      <c r="AH36" s="216" t="n">
        <f aca="false">ROUND(IF(ISNUMBER(ORÇAMENTO.OpcaoBDI),ORÇAMENTO.OpcaoBDI,IF(LEFT(ORÇAMENTO.OpcaoBDI,3)="BDI",HLOOKUP(ORÇAMENTO.OpcaoBDI,$F$4:$H$5,2,FALSE()),0)),15-11*$AF$9)</f>
        <v>0.242</v>
      </c>
      <c r="AJ36" s="217" t="n">
        <f aca="false">4*7</f>
        <v>28</v>
      </c>
      <c r="AL36" s="218"/>
      <c r="AM36" s="219" t="n">
        <f aca="false">$X36</f>
        <v>0</v>
      </c>
      <c r="AN36" s="220" t="n">
        <f aca="false">ROUND(ORÇAMENTO.CustoUnitario*(1+$AH36),2)</f>
        <v>0</v>
      </c>
    </row>
    <row r="37" s="1" customFormat="true" ht="12.75" hidden="false" customHeight="false" outlineLevel="0" collapsed="false">
      <c r="A37" s="1" t="n">
        <f aca="false">CHOOSE(1+LOG(1+2*(ORÇAMENTO.Nivel="Meta")+4*(ORÇAMENTO.Nivel="Nível 2")+8*(ORÇAMENTO.Nivel="Nível 3")+16*(ORÇAMENTO.Nivel="Nível 4")+32*(ORÇAMENTO.Nivel="Serviço"),2),0,1,2,3,4,"S")</f>
        <v>3</v>
      </c>
      <c r="B37" s="1" t="n">
        <f aca="true">IF(OR(C37="s",C37=0),OFFSET(B37,-1,0),C37)</f>
        <v>3</v>
      </c>
      <c r="C37" s="1" t="n">
        <f aca="true">IF(OFFSET(C37,-1,0)="L",1,IF(OFFSET(C37,-1,0)=1,2,IF(OR(A37="s",A37=0),"S",IF(AND(OFFSET(C37,-1,0)=2,A37=4),3,IF(AND(OR(OFFSET(C37,-1,0)="s",OFFSET(C37,-1,0)=0),A37&lt;&gt;"s",A37&gt;OFFSET(B37,-1,0)),OFFSET(B37,-1,0),A37)))))</f>
        <v>3</v>
      </c>
      <c r="D37" s="1" t="n">
        <f aca="false">IF(OR(C37="S",C37=0),0,IF(ISERROR(K37),J37,SMALL(J37:K37,1)))</f>
        <v>3</v>
      </c>
      <c r="E37" s="1" t="n">
        <f aca="true">IF($C37=1,OFFSET(E37,-1,0)+MAX(1,COUNTIF(QCI!$A$13:$A$16,OFFSET(ORÇAMENTO!E37,-1,0))),OFFSET(E37,-1,0))</f>
        <v>1</v>
      </c>
      <c r="F37" s="1" t="n">
        <f aca="true">IF($C37=1,0,IF($C37=2,OFFSET(F37,-1,0)+1,OFFSET(F37,-1,0)))</f>
        <v>3</v>
      </c>
      <c r="G37" s="1" t="n">
        <f aca="true">IF(AND($C37&lt;=2,$C37&lt;&gt;0),0,IF($C37=3,OFFSET(G37,-1,0)+1,OFFSET(G37,-1,0)))</f>
        <v>4</v>
      </c>
      <c r="H37" s="1" t="n">
        <f aca="true">IF(AND($C37&lt;=3,$C37&lt;&gt;0),0,IF($C37=4,OFFSET(H37,-1,0)+1,OFFSET(H37,-1,0)))</f>
        <v>0</v>
      </c>
      <c r="I37" s="1" t="n">
        <f aca="true">IF(AND($C37&lt;=4,$C37&lt;&gt;0),0,IF(AND($C37="S",$X37&gt;0),OFFSET(I37,-1,0)+1,OFFSET(I37,-1,0)))</f>
        <v>0</v>
      </c>
      <c r="J37" s="1" t="n">
        <f aca="true">IF(OR($C37="S",$C37=0),0,MATCH(0,OFFSET($D37,1,$C37,ROW($C$40)-ROW($C37)),0))</f>
        <v>3</v>
      </c>
      <c r="K37" s="1" t="e">
        <f aca="true">IF(OR($C37="S",$C37=0),0,MATCH(OFFSET($D37,0,$C37)+IF($C37&lt;&gt;1,1,COUNTIF(QCI!$A$13:$A$16,ORÇAMENTO!E37)),OFFSET($D37,1,$C37,ROW($C$40)-ROW($C37)),0))</f>
        <v>#N/A</v>
      </c>
      <c r="L37" s="199" t="str">
        <f aca="false">IF(OR($X37&gt;0,$C37=1,$C37=2,$C37=3,$C37=4),"F","")</f>
        <v>F</v>
      </c>
      <c r="M37" s="200" t="s">
        <v>720</v>
      </c>
      <c r="N37" s="236" t="str">
        <f aca="false">CHOOSE(1+LOG(1+2*(C37=1)+4*(C37=2)+8*(C37=3)+16*(C37=4)+32*(C37="S"),2),"","Meta","Nível 2","Nível 3","Nível 4","Serviço")</f>
        <v>Nível 3</v>
      </c>
      <c r="O37" s="202" t="str">
        <f aca="false">IF(OR($C37=0,$L37=""),"-",CONCATENATE(E37&amp;".",IF(AND($A$5&gt;=2,$C37&gt;=2),F37&amp;".",""),IF(AND($A$5&gt;=3,$C37&gt;=3),G37&amp;".",""),IF(AND($A$5&gt;=4,$C37&gt;=4),H37&amp;".",""),IF($C37="S",I37&amp;".","")))</f>
        <v>1.3.4.</v>
      </c>
      <c r="P37" s="203" t="s">
        <v>767</v>
      </c>
      <c r="Q37" s="204"/>
      <c r="R37" s="237" t="s">
        <v>791</v>
      </c>
      <c r="S37" s="206" t="str">
        <f aca="true">REFERENCIA.Unidade</f>
        <v>-</v>
      </c>
      <c r="T37" s="207" t="n">
        <f aca="true">OFFSET(CÁLCULO!H$15,ROW($T37)-ROW(T$15),0)</f>
        <v>0</v>
      </c>
      <c r="U37" s="208"/>
      <c r="V37" s="209" t="s">
        <v>678</v>
      </c>
      <c r="W37" s="207" t="n">
        <f aca="false">IF($C37="S",ROUND(IF(TIPOORCAMENTO="Proposto",ORÇAMENTO.CustoUnitario*(1+$AH37),ORÇAMENTO.PrecoUnitarioLicitado),15-13*$AF$10),0)</f>
        <v>0</v>
      </c>
      <c r="X37" s="210" t="n">
        <f aca="true" t="array" ref="X37:X37">IF($C37="S",IF(OR(Import.TipoArredondamento&lt;&gt;"TransfereGOV",ACOMPANHAMENTO="BM"),VTOTAL1,SUM(OFFSET(CÁLCULO!$AA$15,ROW($X37)-ROW($X$15),1):OFFSET(CÁLCULO!$AL$15,ROW($X37)-ROW($X$15),-1))),IF($C37=0,0,ROUND(SomaAgrup,15-13*$AF$11)))</f>
        <v>0</v>
      </c>
      <c r="Y37" s="211" t="s">
        <v>768</v>
      </c>
      <c r="Z37" s="1" t="str">
        <f aca="false">IF(AND($C37="S",$X37&gt;0),IF(ISBLANK($Y37),"RA",LEFT($Y37,2)),"")</f>
        <v/>
      </c>
      <c r="AA37" s="212" t="n">
        <f aca="true">IF($C37="S",IF($Z37="CP",$X37,IF($Z37="RA",(($X37)*QCI!$AA$3),0)),SomaAgrup)</f>
        <v>0</v>
      </c>
      <c r="AB37" s="213" t="n">
        <f aca="true">IF($C37="S",IF($Z37="OU",ROUND($X37,2),0),SomaAgrup)</f>
        <v>0</v>
      </c>
      <c r="AC37" s="214" t="str">
        <f aca="false">IF($N37=""," ",
IF(AND($C37&lt;&gt;"S",OR($R37="",$R37="(digite a descrição aqui)")),"DESCRIÇÃO",
IF(AND($C37="S",OR($Q37&lt;&gt;0,$T37&gt;0,$U37&gt;0),$P37=0),"FONTE",
IF(AND($C37="S",$P37&lt;&gt;0,OR($T37&gt;0,$U37&gt;0),$Q37=0),"CÓDIGO",
IF(AND($C37="S",$P37&lt;&gt;0,$Q37&lt;&gt;0,$R37="(Código não identificado nas referências)"),"CÓDIGO N/ID",
IF(AND($C37="S",OR($R37="",$R37="(digite a descrição aqui)"),OR($Q37&lt;&gt;0,$T37&gt;0,$U37&gt;0)),"DESCRIÇÃO",
IF(AND($C37="S",$P37&lt;&gt;0,$Q37&lt;&gt;0,$S37=""),"UNIDADE",
IF(AND($C37="S",$P37&lt;&gt;0,$Q37&lt;&gt;0,$U37=0),"SEM CUSTO",
IF(AND(TIPOORCAMENTO="Licitado",$AL37=0,$AN37&gt;0),"SEM PREÇO",
IF(AND($C37="S",$P37&lt;&gt;0,$Q37&lt;&gt;0,$U37&gt;0,$V37=0),"BDI",
IF(OR(AND(TIPOORCAMENTO="Proposto",$AG37&lt;&gt;"",$AG37&gt;0,ORÇAMENTO.CustoUnitario&gt;$AG37),AND(TIPOORCAMENTO="LICITADO",ORÇAMENTO.PrecoUnitarioLicitado&gt;$AN37)),"ACIMA REF.",
IF(AND($C37="S",$P37&lt;&gt;0,$Q37&lt;&gt;0,$T37=0,$U37&gt;0),"QUANT.",
IF(AND(Import.TipoArredondamento="TransfereGOV",$L37="F",$C37="S",LEN($Q37)&gt;13),"Código &gt;13",
IF(AND(Import.TipoArredondamento="TransfereGOV",$L37="F",$C37&lt;&gt;"S",LEN($R37)&gt;100),"Descrição &gt;100",
IF(AND(Import.TipoArredondamento="TransfereGOV",$L37="F",$C37="S",LEN($R37)&gt;500),"Descrição &gt;500",
IF(AND(Import.TipoArredondamento="TransfereGOV",$L37="F",$C37="S",LEFT(TRIM(UPPER($P37)),6)&lt;&gt;"SINAPI",ISNA(VLOOKUP(TRIM(UPPER($S37)),ListaTgov.Unidades,1,FALSE()))),"Unid. Não Disp",
" "))))))))))))))))</f>
        <v> </v>
      </c>
      <c r="AD37" s="1" t="n">
        <f aca="true">IF(C37&lt;=CRONO.NivelExibicao,MAX($AD$15:OFFSET(AD37,-1,0))+IF($C37&lt;&gt;1,1,MAX(1,COUNTIF(QCI!$A$13:$A$16,OFFSET($E37,-1,0)))),"")</f>
        <v>10</v>
      </c>
      <c r="AE37" s="49" t="b">
        <f aca="false">IF(AND($C37="S",ORÇAMENTO.CodBarra&lt;&gt;""),IF(ORÇAMENTO.Fonte="",ORÇAMENTO.CodBarra,CONCATENATE(ORÇAMENTO.Fonte," ",ORÇAMENTO.CodBarra)))</f>
        <v>0</v>
      </c>
      <c r="AF37" s="64" t="str">
        <f aca="true">IF(ISERROR(INDIRECT(ORÇAMENTO.BancoRef)),"(abra o arquivo 'Referência "&amp;Excel_BuiltIn_Database&amp;".xlsm)",IF(OR($C37&lt;&gt;"S",ORÇAMENTO.CodBarra=""),"(Sem Código)",IF(ISERROR(MATCH($AE37,INDIRECT(ORÇAMENTO.BancoRef),0)),"(Código não identificado nas referências)",MATCH($AE37,INDIRECT(ORÇAMENTO.BancoRef),0))))</f>
        <v>(abra o arquivo 'Referência 09-2025.xlsm)</v>
      </c>
      <c r="AG37" s="215" t="n">
        <f aca="true">ROUND(IF(DESONERACAO="sim",REFERENCIA.Desonerado,REFERENCIA.NaoDesonerado),2)</f>
        <v>0</v>
      </c>
      <c r="AH37" s="216" t="n">
        <f aca="false">ROUND(IF(ISNUMBER(ORÇAMENTO.OpcaoBDI),ORÇAMENTO.OpcaoBDI,IF(LEFT(ORÇAMENTO.OpcaoBDI,3)="BDI",HLOOKUP(ORÇAMENTO.OpcaoBDI,$F$4:$H$5,2,FALSE()),0)),15-11*$AF$9)</f>
        <v>0.242</v>
      </c>
      <c r="AJ37" s="217"/>
      <c r="AL37" s="218"/>
      <c r="AM37" s="219" t="n">
        <f aca="false">$X37</f>
        <v>0</v>
      </c>
      <c r="AN37" s="220" t="n">
        <f aca="false">ROUND(ORÇAMENTO.CustoUnitario*(1+$AH37),2)</f>
        <v>0</v>
      </c>
    </row>
    <row r="38" s="1" customFormat="true" ht="25.5" hidden="false" customHeight="false" outlineLevel="0" collapsed="false">
      <c r="A38" s="1" t="str">
        <f aca="false">CHOOSE(1+LOG(1+2*(ORÇAMENTO.Nivel="Meta")+4*(ORÇAMENTO.Nivel="Nível 2")+8*(ORÇAMENTO.Nivel="Nível 3")+16*(ORÇAMENTO.Nivel="Nível 4")+32*(ORÇAMENTO.Nivel="Serviço"),2),0,1,2,3,4,"S")</f>
        <v>S</v>
      </c>
      <c r="B38" s="1" t="n">
        <f aca="true">IF(OR(C38="s",C38=0),OFFSET(B38,-1,0),C38)</f>
        <v>3</v>
      </c>
      <c r="C38" s="1" t="str">
        <f aca="true">IF(OFFSET(C38,-1,0)="L",1,IF(OFFSET(C38,-1,0)=1,2,IF(OR(A38="s",A38=0),"S",IF(AND(OFFSET(C38,-1,0)=2,A38=4),3,IF(AND(OR(OFFSET(C38,-1,0)="s",OFFSET(C38,-1,0)=0),A38&lt;&gt;"s",A38&gt;OFFSET(B38,-1,0)),OFFSET(B38,-1,0),A38)))))</f>
        <v>S</v>
      </c>
      <c r="D38" s="1" t="n">
        <f aca="false">IF(OR(C38="S",C38=0),0,IF(ISERROR(K38),J38,SMALL(J38:K38,1)))</f>
        <v>0</v>
      </c>
      <c r="E38" s="1" t="n">
        <f aca="true">IF($C38=1,OFFSET(E38,-1,0)+MAX(1,COUNTIF(QCI!$A$13:$A$16,OFFSET(ORÇAMENTO!E38,-1,0))),OFFSET(E38,-1,0))</f>
        <v>1</v>
      </c>
      <c r="F38" s="1" t="n">
        <f aca="true">IF($C38=1,0,IF($C38=2,OFFSET(F38,-1,0)+1,OFFSET(F38,-1,0)))</f>
        <v>3</v>
      </c>
      <c r="G38" s="1" t="n">
        <f aca="true">IF(AND($C38&lt;=2,$C38&lt;&gt;0),0,IF($C38=3,OFFSET(G38,-1,0)+1,OFFSET(G38,-1,0)))</f>
        <v>4</v>
      </c>
      <c r="H38" s="1" t="n">
        <f aca="true">IF(AND($C38&lt;=3,$C38&lt;&gt;0),0,IF($C38=4,OFFSET(H38,-1,0)+1,OFFSET(H38,-1,0)))</f>
        <v>0</v>
      </c>
      <c r="I38" s="1" t="n">
        <f aca="true">IF(AND($C38&lt;=4,$C38&lt;&gt;0),0,IF(AND($C38="S",$X38&gt;0),OFFSET(I38,-1,0)+1,OFFSET(I38,-1,0)))</f>
        <v>0</v>
      </c>
      <c r="J38" s="1" t="n">
        <f aca="true">IF(OR($C38="S",$C38=0),0,MATCH(0,OFFSET($D38,1,$C38,ROW($C$40)-ROW($C38)),0))</f>
        <v>0</v>
      </c>
      <c r="K38" s="1" t="n">
        <f aca="true">IF(OR($C38="S",$C38=0),0,MATCH(OFFSET($D38,0,$C38)+IF($C38&lt;&gt;1,1,COUNTIF(QCI!$A$13:$A$16,ORÇAMENTO!E38)),OFFSET($D38,1,$C38,ROW($C$40)-ROW($C38)),0))</f>
        <v>0</v>
      </c>
      <c r="L38" s="199" t="str">
        <f aca="false">IF(OR($X38&gt;0,$C38=1,$C38=2,$C38=3,$C38=4),"F","")</f>
        <v/>
      </c>
      <c r="M38" s="200" t="s">
        <v>722</v>
      </c>
      <c r="N38" s="201" t="str">
        <f aca="false">CHOOSE(1+LOG(1+2*(C38=1)+4*(C38=2)+8*(C38=3)+16*(C38=4)+32*(C38="S"),2),"","Meta","Nível 2","Nível 3","Nível 4","Serviço")</f>
        <v>Serviço</v>
      </c>
      <c r="O38" s="202" t="str">
        <f aca="false">IF(OR($C38=0,$L38=""),"-",CONCATENATE(E38&amp;".",IF(AND($A$5&gt;=2,$C38&gt;=2),F38&amp;".",""),IF(AND($A$5&gt;=3,$C38&gt;=3),G38&amp;".",""),IF(AND($A$5&gt;=4,$C38&gt;=4),H38&amp;".",""),IF($C38="S",I38&amp;".","")))</f>
        <v>-</v>
      </c>
      <c r="P38" s="203" t="s">
        <v>792</v>
      </c>
      <c r="Q38" s="238" t="s">
        <v>793</v>
      </c>
      <c r="R38" s="205" t="str">
        <f aca="true">IF($C38="S",REFERENCIA.Descricao,"(digite a descrição aqui)")</f>
        <v>(abra o arquivo 'Referência 09-2025.xlsm)</v>
      </c>
      <c r="S38" s="206" t="str">
        <f aca="true">REFERENCIA.Unidade</f>
        <v>-</v>
      </c>
      <c r="T38" s="207" t="n">
        <f aca="true">OFFSET(CÁLCULO!H$15,ROW($T38)-ROW(T$15),0)</f>
        <v>215</v>
      </c>
      <c r="U38" s="208" t="n">
        <f aca="false">AG38</f>
        <v>0</v>
      </c>
      <c r="V38" s="209" t="s">
        <v>678</v>
      </c>
      <c r="W38" s="207" t="n">
        <f aca="false">IF($C38="S",ROUND(IF(TIPOORCAMENTO="Proposto",ORÇAMENTO.CustoUnitario*(1+$AH38),ORÇAMENTO.PrecoUnitarioLicitado),15-13*$AF$10),0)</f>
        <v>0</v>
      </c>
      <c r="X38" s="210" t="n">
        <f aca="true" t="array" ref="X38:X38">IF($C38="S",IF(OR(Import.TipoArredondamento&lt;&gt;"TransfereGOV",ACOMPANHAMENTO="BM"),VTOTAL1,SUM(OFFSET(CÁLCULO!$AA$15,ROW($X38)-ROW($X$15),1):OFFSET(CÁLCULO!$AL$15,ROW($X38)-ROW($X$15),-1))),IF($C38=0,0,ROUND(SomaAgrup,15-13*$AF$11)))</f>
        <v>0</v>
      </c>
      <c r="Y38" s="211" t="s">
        <v>768</v>
      </c>
      <c r="Z38" s="1" t="str">
        <f aca="false">IF(AND($C38="S",$X38&gt;0),IF(ISBLANK($Y38),"RA",LEFT($Y38,2)),"")</f>
        <v/>
      </c>
      <c r="AA38" s="212" t="n">
        <f aca="true">IF($C38="S",IF($Z38="CP",$X38,IF($Z38="RA",(($X38)*QCI!$AA$3),0)),SomaAgrup)</f>
        <v>0</v>
      </c>
      <c r="AB38" s="213" t="n">
        <f aca="true">IF($C38="S",IF($Z38="OU",ROUND($X38,2),0),SomaAgrup)</f>
        <v>0</v>
      </c>
      <c r="AC38" s="214" t="str">
        <f aca="false">IF($N38=""," ",
IF(AND($C38&lt;&gt;"S",OR($R38="",$R38="(digite a descrição aqui)")),"DESCRIÇÃO",
IF(AND($C38="S",OR($Q38&lt;&gt;0,$T38&gt;0,$U38&gt;0),$P38=0),"FONTE",
IF(AND($C38="S",$P38&lt;&gt;0,OR($T38&gt;0,$U38&gt;0),$Q38=0),"CÓDIGO",
IF(AND($C38="S",$P38&lt;&gt;0,$Q38&lt;&gt;0,$R38="(Código não identificado nas referências)"),"CÓDIGO N/ID",
IF(AND($C38="S",OR($R38="",$R38="(digite a descrição aqui)"),OR($Q38&lt;&gt;0,$T38&gt;0,$U38&gt;0)),"DESCRIÇÃO",
IF(AND($C38="S",$P38&lt;&gt;0,$Q38&lt;&gt;0,$S38=""),"UNIDADE",
IF(AND($C38="S",$P38&lt;&gt;0,$Q38&lt;&gt;0,$U38=0),"SEM CUSTO",
IF(AND(TIPOORCAMENTO="Licitado",$AL38=0,$AN38&gt;0),"SEM PREÇO",
IF(AND($C38="S",$P38&lt;&gt;0,$Q38&lt;&gt;0,$U38&gt;0,$V38=0),"BDI",
IF(OR(AND(TIPOORCAMENTO="Proposto",$AG38&lt;&gt;"",$AG38&gt;0,ORÇAMENTO.CustoUnitario&gt;$AG38),AND(TIPOORCAMENTO="LICITADO",ORÇAMENTO.PrecoUnitarioLicitado&gt;$AN38)),"ACIMA REF.",
IF(AND($C38="S",$P38&lt;&gt;0,$Q38&lt;&gt;0,$T38=0,$U38&gt;0),"QUANT.",
IF(AND(Import.TipoArredondamento="TransfereGOV",$L38="F",$C38="S",LEN($Q38)&gt;13),"Código &gt;13",
IF(AND(Import.TipoArredondamento="TransfereGOV",$L38="F",$C38&lt;&gt;"S",LEN($R38)&gt;100),"Descrição &gt;100",
IF(AND(Import.TipoArredondamento="TransfereGOV",$L38="F",$C38="S",LEN($R38)&gt;500),"Descrição &gt;500",
IF(AND(Import.TipoArredondamento="TransfereGOV",$L38="F",$C38="S",LEFT(TRIM(UPPER($P38)),6)&lt;&gt;"SINAPI",ISNA(VLOOKUP(TRIM(UPPER($S38)),ListaTgov.Unidades,1,FALSE()))),"Unid. Não Disp",
" "))))))))))))))))</f>
        <v>SEM CUSTO</v>
      </c>
      <c r="AD38" s="1" t="str">
        <f aca="true">IF(C38&lt;=CRONO.NivelExibicao,MAX($AD$15:OFFSET(AD38,-1,0))+IF($C38&lt;&gt;1,1,MAX(1,COUNTIF(QCI!$A$13:$A$16,OFFSET($E38,-1,0)))),"")</f>
        <v/>
      </c>
      <c r="AE38" s="49" t="str">
        <f aca="false">IF(AND($C38="S",ORÇAMENTO.CodBarra&lt;&gt;""),IF(ORÇAMENTO.Fonte="",ORÇAMENTO.CodBarra,CONCATENATE(ORÇAMENTO.Fonte," ",ORÇAMENTO.CodBarra)))</f>
        <v>SINAPI-I 36246</v>
      </c>
      <c r="AF38" s="64" t="str">
        <f aca="true">IF(ISERROR(INDIRECT(ORÇAMENTO.BancoRef)),"(abra o arquivo 'Referência "&amp;Excel_BuiltIn_Database&amp;".xlsm)",IF(OR($C38&lt;&gt;"S",ORÇAMENTO.CodBarra=""),"(Sem Código)",IF(ISERROR(MATCH($AE38,INDIRECT(ORÇAMENTO.BancoRef),0)),"(Código não identificado nas referências)",MATCH($AE38,INDIRECT(ORÇAMENTO.BancoRef),0))))</f>
        <v>(abra o arquivo 'Referência 09-2025.xlsm)</v>
      </c>
      <c r="AG38" s="215" t="n">
        <f aca="true">ROUND(IF(DESONERACAO="sim",REFERENCIA.Desonerado,REFERENCIA.NaoDesonerado),2)</f>
        <v>0</v>
      </c>
      <c r="AH38" s="216" t="n">
        <f aca="false">ROUND(IF(ISNUMBER(ORÇAMENTO.OpcaoBDI),ORÇAMENTO.OpcaoBDI,IF(LEFT(ORÇAMENTO.OpcaoBDI,3)="BDI",HLOOKUP(ORÇAMENTO.OpcaoBDI,$F$4:$H$5,2,FALSE()),0)),15-11*$AF$9)</f>
        <v>0.242</v>
      </c>
      <c r="AJ38" s="217" t="n">
        <v>215</v>
      </c>
      <c r="AL38" s="218"/>
      <c r="AM38" s="219" t="n">
        <f aca="false">$X38</f>
        <v>0</v>
      </c>
      <c r="AN38" s="220" t="n">
        <f aca="false">ROUND(ORÇAMENTO.CustoUnitario*(1+$AH38),2)</f>
        <v>0</v>
      </c>
    </row>
    <row r="39" s="1" customFormat="true" ht="25.5" hidden="false" customHeight="false" outlineLevel="0" collapsed="false">
      <c r="A39" s="1" t="str">
        <f aca="false">CHOOSE(1+LOG(1+2*(ORÇAMENTO.Nivel="Meta")+4*(ORÇAMENTO.Nivel="Nível 2")+8*(ORÇAMENTO.Nivel="Nível 3")+16*(ORÇAMENTO.Nivel="Nível 4")+32*(ORÇAMENTO.Nivel="Serviço"),2),0,1,2,3,4,"S")</f>
        <v>S</v>
      </c>
      <c r="B39" s="1" t="n">
        <f aca="true">IF(OR(C39="s",C39=0),OFFSET(B39,-1,0),C39)</f>
        <v>3</v>
      </c>
      <c r="C39" s="1" t="str">
        <f aca="true">IF(OFFSET(C39,-1,0)="L",1,IF(OFFSET(C39,-1,0)=1,2,IF(OR(A39="s",A39=0),"S",IF(AND(OFFSET(C39,-1,0)=2,A39=4),3,IF(AND(OR(OFFSET(C39,-1,0)="s",OFFSET(C39,-1,0)=0),A39&lt;&gt;"s",A39&gt;OFFSET(B39,-1,0)),OFFSET(B39,-1,0),A39)))))</f>
        <v>S</v>
      </c>
      <c r="D39" s="1" t="n">
        <f aca="false">IF(OR(C39="S",C39=0),0,IF(ISERROR(K39),J39,SMALL(J39:K39,1)))</f>
        <v>0</v>
      </c>
      <c r="E39" s="1" t="n">
        <f aca="true">IF($C39=1,OFFSET(E39,-1,0)+MAX(1,COUNTIF(QCI!$A$13:$A$16,OFFSET(ORÇAMENTO!E39,-1,0))),OFFSET(E39,-1,0))</f>
        <v>1</v>
      </c>
      <c r="F39" s="1" t="n">
        <f aca="true">IF($C39=1,0,IF($C39=2,OFFSET(F39,-1,0)+1,OFFSET(F39,-1,0)))</f>
        <v>3</v>
      </c>
      <c r="G39" s="1" t="n">
        <f aca="true">IF(AND($C39&lt;=2,$C39&lt;&gt;0),0,IF($C39=3,OFFSET(G39,-1,0)+1,OFFSET(G39,-1,0)))</f>
        <v>4</v>
      </c>
      <c r="H39" s="1" t="n">
        <f aca="true">IF(AND($C39&lt;=3,$C39&lt;&gt;0),0,IF($C39=4,OFFSET(H39,-1,0)+1,OFFSET(H39,-1,0)))</f>
        <v>0</v>
      </c>
      <c r="I39" s="1" t="n">
        <f aca="true">IF(AND($C39&lt;=4,$C39&lt;&gt;0),0,IF(AND($C39="S",$X39&gt;0),OFFSET(I39,-1,0)+1,OFFSET(I39,-1,0)))</f>
        <v>0</v>
      </c>
      <c r="J39" s="1" t="n">
        <f aca="true">IF(OR($C39="S",$C39=0),0,MATCH(0,OFFSET($D39,1,$C39,ROW($C$40)-ROW($C39)),0))</f>
        <v>0</v>
      </c>
      <c r="K39" s="1" t="n">
        <f aca="true">IF(OR($C39="S",$C39=0),0,MATCH(OFFSET($D39,0,$C39)+IF($C39&lt;&gt;1,1,COUNTIF(QCI!$A$13:$A$16,ORÇAMENTO!E39)),OFFSET($D39,1,$C39,ROW($C$40)-ROW($C39)),0))</f>
        <v>0</v>
      </c>
      <c r="L39" s="199" t="str">
        <f aca="false">IF(OR($X39&gt;0,$C39=1,$C39=2,$C39=3,$C39=4),"F","")</f>
        <v/>
      </c>
      <c r="M39" s="200" t="s">
        <v>722</v>
      </c>
      <c r="N39" s="201" t="str">
        <f aca="false">CHOOSE(1+LOG(1+2*(C39=1)+4*(C39=2)+8*(C39=3)+16*(C39=4)+32*(C39="S"),2),"","Meta","Nível 2","Nível 3","Nível 4","Serviço")</f>
        <v>Serviço</v>
      </c>
      <c r="O39" s="202" t="str">
        <f aca="false">IF(OR($C39=0,$L39=""),"-",CONCATENATE(E39&amp;".",IF(AND($A$5&gt;=2,$C39&gt;=2),F39&amp;".",""),IF(AND($A$5&gt;=3,$C39&gt;=3),G39&amp;".",""),IF(AND($A$5&gt;=4,$C39&gt;=4),H39&amp;".",""),IF($C39="S",I39&amp;".","")))</f>
        <v>-</v>
      </c>
      <c r="P39" s="203" t="s">
        <v>767</v>
      </c>
      <c r="Q39" s="238" t="s">
        <v>794</v>
      </c>
      <c r="R39" s="205" t="str">
        <f aca="true">IF($C39="S",REFERENCIA.Descricao,"(digite a descrição aqui)")</f>
        <v>(abra o arquivo 'Referência 09-2025.xlsm)</v>
      </c>
      <c r="S39" s="206" t="str">
        <f aca="true">REFERENCIA.Unidade</f>
        <v>-</v>
      </c>
      <c r="T39" s="207" t="n">
        <f aca="true">OFFSET(CÁLCULO!H$15,ROW($T39)-ROW(T$15),0)</f>
        <v>346.8</v>
      </c>
      <c r="U39" s="208" t="n">
        <f aca="false">AG39</f>
        <v>0</v>
      </c>
      <c r="V39" s="209" t="s">
        <v>678</v>
      </c>
      <c r="W39" s="207" t="n">
        <f aca="false">IF($C39="S",ROUND(IF(TIPOORCAMENTO="Proposto",ORÇAMENTO.CustoUnitario*(1+$AH39),ORÇAMENTO.PrecoUnitarioLicitado),15-13*$AF$10),0)</f>
        <v>0</v>
      </c>
      <c r="X39" s="210" t="n">
        <f aca="true" t="array" ref="X39:X39">IF($C39="S",IF(OR(Import.TipoArredondamento&lt;&gt;"TransfereGOV",ACOMPANHAMENTO="BM"),VTOTAL1,SUM(OFFSET(CÁLCULO!$AA$15,ROW($X39)-ROW($X$15),1):OFFSET(CÁLCULO!$AL$15,ROW($X39)-ROW($X$15),-1))),IF($C39=0,0,ROUND(SomaAgrup,15-13*$AF$11)))</f>
        <v>0</v>
      </c>
      <c r="Y39" s="211" t="s">
        <v>768</v>
      </c>
      <c r="Z39" s="1" t="str">
        <f aca="false">IF(AND($C39="S",$X39&gt;0),IF(ISBLANK($Y39),"RA",LEFT($Y39,2)),"")</f>
        <v/>
      </c>
      <c r="AA39" s="212" t="n">
        <f aca="true">IF($C39="S",IF($Z39="CP",$X39,IF($Z39="RA",(($X39)*QCI!$AA$3),0)),SomaAgrup)</f>
        <v>0</v>
      </c>
      <c r="AB39" s="213" t="n">
        <f aca="true">IF($C39="S",IF($Z39="OU",ROUND($X39,2),0),SomaAgrup)</f>
        <v>0</v>
      </c>
      <c r="AC39" s="214" t="str">
        <f aca="false">IF($N39=""," ",
IF(AND($C39&lt;&gt;"S",OR($R39="",$R39="(digite a descrição aqui)")),"DESCRIÇÃO",
IF(AND($C39="S",OR($Q39&lt;&gt;0,$T39&gt;0,$U39&gt;0),$P39=0),"FONTE",
IF(AND($C39="S",$P39&lt;&gt;0,OR($T39&gt;0,$U39&gt;0),$Q39=0),"CÓDIGO",
IF(AND($C39="S",$P39&lt;&gt;0,$Q39&lt;&gt;0,$R39="(Código não identificado nas referências)"),"CÓDIGO N/ID",
IF(AND($C39="S",OR($R39="",$R39="(digite a descrição aqui)"),OR($Q39&lt;&gt;0,$T39&gt;0,$U39&gt;0)),"DESCRIÇÃO",
IF(AND($C39="S",$P39&lt;&gt;0,$Q39&lt;&gt;0,$S39=""),"UNIDADE",
IF(AND($C39="S",$P39&lt;&gt;0,$Q39&lt;&gt;0,$U39=0),"SEM CUSTO",
IF(AND(TIPOORCAMENTO="Licitado",$AL39=0,$AN39&gt;0),"SEM PREÇO",
IF(AND($C39="S",$P39&lt;&gt;0,$Q39&lt;&gt;0,$U39&gt;0,$V39=0),"BDI",
IF(OR(AND(TIPOORCAMENTO="Proposto",$AG39&lt;&gt;"",$AG39&gt;0,ORÇAMENTO.CustoUnitario&gt;$AG39),AND(TIPOORCAMENTO="LICITADO",ORÇAMENTO.PrecoUnitarioLicitado&gt;$AN39)),"ACIMA REF.",
IF(AND($C39="S",$P39&lt;&gt;0,$Q39&lt;&gt;0,$T39=0,$U39&gt;0),"QUANT.",
IF(AND(Import.TipoArredondamento="TransfereGOV",$L39="F",$C39="S",LEN($Q39)&gt;13),"Código &gt;13",
IF(AND(Import.TipoArredondamento="TransfereGOV",$L39="F",$C39&lt;&gt;"S",LEN($R39)&gt;100),"Descrição &gt;100",
IF(AND(Import.TipoArredondamento="TransfereGOV",$L39="F",$C39="S",LEN($R39)&gt;500),"Descrição &gt;500",
IF(AND(Import.TipoArredondamento="TransfereGOV",$L39="F",$C39="S",LEFT(TRIM(UPPER($P39)),6)&lt;&gt;"SINAPI",ISNA(VLOOKUP(TRIM(UPPER($S39)),ListaTgov.Unidades,1,FALSE()))),"Unid. Não Disp",
" "))))))))))))))))</f>
        <v>SEM CUSTO</v>
      </c>
      <c r="AD39" s="1" t="str">
        <f aca="true">IF(C39&lt;=CRONO.NivelExibicao,MAX($AD$15:OFFSET(AD39,-1,0))+IF($C39&lt;&gt;1,1,MAX(1,COUNTIF(QCI!$A$13:$A$16,OFFSET($E39,-1,0)))),"")</f>
        <v/>
      </c>
      <c r="AE39" s="49" t="str">
        <f aca="false">IF(AND($C39="S",ORÇAMENTO.CodBarra&lt;&gt;""),IF(ORÇAMENTO.Fonte="",ORÇAMENTO.CodBarra,CONCATENATE(ORÇAMENTO.Fonte," ",ORÇAMENTO.CodBarra)))</f>
        <v>SINAPI 96486</v>
      </c>
      <c r="AF39" s="64" t="str">
        <f aca="true">IF(ISERROR(INDIRECT(ORÇAMENTO.BancoRef)),"(abra o arquivo 'Referência "&amp;Excel_BuiltIn_Database&amp;".xlsm)",IF(OR($C39&lt;&gt;"S",ORÇAMENTO.CodBarra=""),"(Sem Código)",IF(ISERROR(MATCH($AE39,INDIRECT(ORÇAMENTO.BancoRef),0)),"(Código não identificado nas referências)",MATCH($AE39,INDIRECT(ORÇAMENTO.BancoRef),0))))</f>
        <v>(abra o arquivo 'Referência 09-2025.xlsm)</v>
      </c>
      <c r="AG39" s="215" t="n">
        <f aca="true">ROUND(IF(DESONERACAO="sim",REFERENCIA.Desonerado,REFERENCIA.NaoDesonerado),2)</f>
        <v>0</v>
      </c>
      <c r="AH39" s="216" t="n">
        <f aca="false">ROUND(IF(ISNUMBER(ORÇAMENTO.OpcaoBDI),ORÇAMENTO.OpcaoBDI,IF(LEFT(ORÇAMENTO.OpcaoBDI,3)="BDI",HLOOKUP(ORÇAMENTO.OpcaoBDI,$F$4:$H$5,2,FALSE()),0)),15-11*$AF$9)</f>
        <v>0.242</v>
      </c>
      <c r="AJ39" s="217" t="n">
        <v>346.8</v>
      </c>
      <c r="AL39" s="218"/>
      <c r="AM39" s="219" t="n">
        <f aca="false">$X39</f>
        <v>0</v>
      </c>
      <c r="AN39" s="220" t="n">
        <f aca="false">ROUND(ORÇAMENTO.CustoUnitario*(1+$AH39),2)</f>
        <v>0</v>
      </c>
    </row>
    <row r="40" customFormat="false" ht="4.5" hidden="false" customHeight="true" outlineLevel="0" collapsed="false">
      <c r="A40" s="1" t="n">
        <v>-1</v>
      </c>
      <c r="C40" s="1" t="n">
        <v>-1</v>
      </c>
      <c r="E40" s="1" t="n">
        <v>0</v>
      </c>
      <c r="F40" s="1" t="n">
        <v>0</v>
      </c>
      <c r="G40" s="1" t="n">
        <v>0</v>
      </c>
      <c r="H40" s="1" t="n">
        <v>0</v>
      </c>
      <c r="I40" s="1" t="n">
        <v>0</v>
      </c>
      <c r="L40" s="199" t="s">
        <v>551</v>
      </c>
      <c r="M40" s="239"/>
      <c r="N40" s="240"/>
      <c r="O40" s="239"/>
      <c r="P40" s="241"/>
      <c r="Q40" s="241"/>
      <c r="R40" s="241"/>
      <c r="S40" s="241"/>
      <c r="T40" s="241"/>
      <c r="U40" s="241"/>
      <c r="V40" s="241"/>
      <c r="W40" s="241"/>
      <c r="X40" s="240"/>
      <c r="Y40" s="240"/>
      <c r="AC40" s="214" t="str">
        <f aca="false">IF($N40=""," ",
IF(AND($C40&lt;&gt;"S",OR($R40="",$R40="(digite a descrição aqui)")),"DESCRIÇÃO",
IF(AND($C40="S",OR($Q40&lt;&gt;0,$T40&gt;0,$U40&gt;0),$P40=0),"FONTE",
IF(AND($C40="S",$P40&lt;&gt;0,OR($T40&gt;0,$U40&gt;0),$Q40=0),"CÓDIGO",
IF(AND($C40="S",$P40&lt;&gt;0,$Q40&lt;&gt;0,$R40="(Código não identificado nas referências)"),"CÓDIGO N/ID",
IF(AND($C40="S",OR($R40="",$R40="(digite a descrição aqui)"),OR($Q40&lt;&gt;0,$T40&gt;0,$U40&gt;0)),"DESCRIÇÃO",
IF(AND($C40="S",$P40&lt;&gt;0,$Q40&lt;&gt;0,$S40=""),"UNIDADE",
IF(AND($C40="S",$P40&lt;&gt;0,$Q40&lt;&gt;0,$U40=0),"SEM CUSTO",
IF(AND(TIPOORCAMENTO="Licitado",$AL40=0,$AN40&gt;0),"SEM PREÇO",
IF(AND($C40="S",$P40&lt;&gt;0,$Q40&lt;&gt;0,$U40&gt;0,$V40=0),"BDI",
IF(OR(AND(TIPOORCAMENTO="Proposto",$AG40&lt;&gt;"",$AG40&gt;0,ORÇAMENTO.CustoUnitario&gt;$AG40),AND(TIPOORCAMENTO="LICITADO",ORÇAMENTO.PrecoUnitarioLicitado&gt;$AN40)),"ACIMA REF.",
IF(AND($C40="S",$P40&lt;&gt;0,$Q40&lt;&gt;0,$T40=0,$U40&gt;0),"QUANT.",
IF(AND(Import.TipoArredondamento="TransfereGOV",$L40="F",$C40="S",LEN($Q40)&gt;13),"Código &gt;13",
IF(AND(Import.TipoArredondamento="TransfereGOV",$L40="F",$C40&lt;&gt;"S",LEN($R40)&gt;100),"Descrição &gt;100",
IF(AND(Import.TipoArredondamento="TransfereGOV",$L40="F",$C40="S",LEN($R40)&gt;500),"Descrição &gt;500",
IF(AND(Import.TipoArredondamento="TransfereGOV",$L40="F",$C40="S",LEFT(TRIM(UPPER($P40)),6)&lt;&gt;"SINAPI",ISNA(VLOOKUP(TRIM(UPPER($S40)),ListaTgov.Unidades,1,FALSE()))),"Unid. Não Disp",
" "))))))))))))))))</f>
        <v> </v>
      </c>
      <c r="AG40" s="242"/>
      <c r="AH40" s="243"/>
      <c r="AJ40" s="244"/>
      <c r="AL40" s="242"/>
      <c r="AM40" s="245"/>
      <c r="AN40" s="243"/>
    </row>
    <row r="43" customFormat="false" ht="14.25" hidden="false" customHeight="false" outlineLevel="0" collapsed="false">
      <c r="O43" s="246" t="s">
        <v>795</v>
      </c>
      <c r="Q43" s="247" t="s">
        <v>796</v>
      </c>
      <c r="R43" s="247"/>
      <c r="S43" s="247"/>
      <c r="T43" s="247"/>
      <c r="U43" s="247"/>
      <c r="V43" s="247"/>
      <c r="W43" s="247"/>
      <c r="X43" s="247"/>
    </row>
    <row r="45" customFormat="false" ht="14.25" hidden="false" customHeight="false" outlineLevel="0" collapsed="false">
      <c r="O45" s="248" t="s">
        <v>704</v>
      </c>
      <c r="X45" s="9"/>
    </row>
    <row r="46" customFormat="false" ht="12.75" hidden="false" customHeight="true" outlineLevel="0" collapsed="false">
      <c r="O46" s="249"/>
      <c r="P46" s="249"/>
      <c r="Q46" s="249"/>
      <c r="R46" s="249"/>
      <c r="S46" s="249"/>
      <c r="T46" s="249"/>
      <c r="U46" s="249"/>
      <c r="V46" s="249"/>
      <c r="W46" s="249"/>
      <c r="X46" s="249"/>
    </row>
    <row r="47" customFormat="false" ht="12.75" hidden="false" customHeight="false" outlineLevel="0" collapsed="false">
      <c r="O47" s="249"/>
      <c r="P47" s="249"/>
      <c r="Q47" s="249"/>
      <c r="R47" s="249"/>
      <c r="S47" s="249"/>
      <c r="T47" s="249"/>
      <c r="U47" s="249"/>
      <c r="V47" s="249"/>
      <c r="W47" s="249"/>
      <c r="X47" s="249"/>
    </row>
    <row r="48" customFormat="false" ht="12.75" hidden="false" customHeight="false" outlineLevel="0" collapsed="false">
      <c r="O48" s="249"/>
      <c r="P48" s="249"/>
      <c r="Q48" s="249"/>
      <c r="R48" s="249"/>
      <c r="S48" s="249"/>
      <c r="T48" s="249"/>
      <c r="U48" s="249"/>
      <c r="V48" s="249"/>
      <c r="W48" s="249"/>
      <c r="X48" s="249"/>
    </row>
    <row r="49" customFormat="false" ht="14.25" hidden="false" customHeight="false" outlineLevel="0" collapsed="false">
      <c r="O49" s="250"/>
      <c r="P49" s="250"/>
      <c r="Q49" s="250"/>
      <c r="R49" s="250"/>
      <c r="S49" s="250"/>
      <c r="T49" s="250"/>
      <c r="U49" s="250"/>
      <c r="V49" s="250"/>
      <c r="W49" s="250"/>
      <c r="X49" s="250"/>
      <c r="Y49" s="250"/>
      <c r="Z49" s="251"/>
      <c r="AA49" s="251"/>
      <c r="AB49" s="251"/>
    </row>
    <row r="50" customFormat="false" ht="15" hidden="false" customHeight="false" outlineLevel="0" collapsed="false">
      <c r="O50" s="252" t="str">
        <f aca="false">IF(AND($AF$7=FALSE(),$AF$8=FALSE(),$AF$9=FALSE(),$AF$10=FALSE(),$AF$11=FALSE()),"Não foi considerado arredondamento nos valores da planilha.",CONCATENATE("Foi considerado arredondamento de duas casas decimais para ",IF($AF$7=TRUE(),"Quantidade; ",""),IF($AF$8=TRUE(),"Custo Unitário; ",""),IF($AF$9=TRUE(),"BDI; ",""),IF($AF$10=TRUE(),"Preço Unitário; ",""),IF($AF$11=TRUE(),"Preço Total.","")))</f>
        <v>Foi considerado arredondamento de duas casas decimais para Quantidade; Custo Unitário; BDI; Preço Unitário; Preço Total.</v>
      </c>
      <c r="P50" s="252"/>
      <c r="Q50" s="252"/>
      <c r="R50" s="252"/>
      <c r="S50" s="252"/>
      <c r="T50" s="252"/>
      <c r="U50" s="252"/>
      <c r="V50" s="252"/>
      <c r="W50" s="252"/>
      <c r="X50" s="252"/>
      <c r="Y50" s="253"/>
      <c r="Z50" s="253"/>
      <c r="AA50" s="253"/>
      <c r="AB50" s="253"/>
    </row>
    <row r="51" customFormat="false" ht="15" hidden="false" customHeight="true" outlineLevel="0" collapsed="false">
      <c r="O51" s="254" t="s">
        <v>797</v>
      </c>
      <c r="P51" s="254"/>
      <c r="Q51" s="254"/>
      <c r="R51" s="254"/>
      <c r="S51" s="254"/>
      <c r="T51" s="254"/>
      <c r="U51" s="254"/>
      <c r="V51" s="254"/>
      <c r="W51" s="254"/>
      <c r="X51" s="254"/>
      <c r="Y51" s="253"/>
      <c r="Z51" s="253"/>
      <c r="AA51" s="253"/>
      <c r="AB51" s="253"/>
    </row>
    <row r="53" customFormat="false" ht="30" hidden="false" customHeight="true" outlineLevel="0" collapsed="false">
      <c r="O53" s="255" t="str">
        <f aca="false">Import.Município</f>
        <v>CAÇÃPAVA DO SUL</v>
      </c>
      <c r="P53" s="255"/>
      <c r="Q53" s="255"/>
      <c r="S53" s="256"/>
      <c r="T53" s="256"/>
      <c r="U53" s="256"/>
      <c r="V53" s="256"/>
      <c r="W53" s="47"/>
    </row>
    <row r="54" customFormat="false" ht="12.75" hidden="false" customHeight="false" outlineLevel="0" collapsed="false">
      <c r="O54" s="57" t="s">
        <v>709</v>
      </c>
      <c r="S54" s="257" t="s">
        <v>712</v>
      </c>
      <c r="T54" s="257"/>
      <c r="U54" s="257"/>
      <c r="V54" s="257"/>
    </row>
    <row r="55" customFormat="false" ht="12.75" hidden="false" customHeight="false" outlineLevel="0" collapsed="false">
      <c r="S55" s="150" t="s">
        <v>249</v>
      </c>
      <c r="T55" s="151" t="str">
        <f aca="false" t="array" ref="T55:T57">Import.RespOrçamento</f>
        <v>HELMESONA DE OLIVEIRA SANTANA</v>
      </c>
      <c r="V55" s="152"/>
    </row>
    <row r="56" customFormat="false" ht="12.75" hidden="false" customHeight="false" outlineLevel="0" collapsed="false">
      <c r="O56" s="258" t="n">
        <f aca="false">DADOS!$C$25</f>
        <v>46087</v>
      </c>
      <c r="P56" s="258"/>
      <c r="Q56" s="258"/>
      <c r="S56" s="150" t="s">
        <v>253</v>
      </c>
      <c r="T56" s="151" t="str">
        <v>RS152843</v>
      </c>
      <c r="U56" s="152"/>
      <c r="V56" s="152"/>
    </row>
    <row r="57" customFormat="false" ht="12.75" hidden="false" customHeight="false" outlineLevel="0" collapsed="false">
      <c r="O57" s="259" t="s">
        <v>710</v>
      </c>
      <c r="P57" s="33"/>
      <c r="Q57" s="33"/>
      <c r="S57" s="150" t="s">
        <v>257</v>
      </c>
      <c r="T57" s="151" t="str">
        <v>8809670</v>
      </c>
      <c r="U57" s="152"/>
      <c r="V57" s="152"/>
    </row>
  </sheetData>
  <sheetProtection sheet="true" password="bd1f" objects="true" scenarios="true" autoFilter="false"/>
  <autoFilter ref="L15:L40"/>
  <mergeCells count="24">
    <mergeCell ref="O4:P4"/>
    <mergeCell ref="S4:X4"/>
    <mergeCell ref="O5:P5"/>
    <mergeCell ref="S5:X5"/>
    <mergeCell ref="AE5:AF5"/>
    <mergeCell ref="O7:P7"/>
    <mergeCell ref="S7:U7"/>
    <mergeCell ref="AJ7:AJ11"/>
    <mergeCell ref="AL7:AL11"/>
    <mergeCell ref="F8:K8"/>
    <mergeCell ref="L8:L12"/>
    <mergeCell ref="O8:P8"/>
    <mergeCell ref="S8:U8"/>
    <mergeCell ref="Y8:Y12"/>
    <mergeCell ref="Z8:Z12"/>
    <mergeCell ref="F9:K9"/>
    <mergeCell ref="AA12:AB12"/>
    <mergeCell ref="O15:R15"/>
    <mergeCell ref="Q43:X43"/>
    <mergeCell ref="O46:X48"/>
    <mergeCell ref="O50:X50"/>
    <mergeCell ref="O51:X51"/>
    <mergeCell ref="O53:Q53"/>
    <mergeCell ref="O56:Q56"/>
  </mergeCells>
  <conditionalFormatting sqref="X21">
    <cfRule type="expression" priority="2" aboveAverage="0" equalAverage="0" bottom="0" percent="0" rank="0" text="" dxfId="13">
      <formula>$C21=1</formula>
    </cfRule>
    <cfRule type="expression" priority="3" aboveAverage="0" equalAverage="0" bottom="0" percent="0" rank="0" text="" dxfId="14">
      <formula>OR($C21=0,$C21=2,$C21=3,$C21=4)</formula>
    </cfRule>
  </conditionalFormatting>
  <conditionalFormatting sqref="R21">
    <cfRule type="beginsWith" priority="4" operator="beginsWith" aboveAverage="0" equalAverage="0" bottom="0" percent="0" rank="0" text="(" dxfId="15">
      <formula>LEFT(R21,LEN("("))="("</formula>
    </cfRule>
  </conditionalFormatting>
  <conditionalFormatting sqref="M21">
    <cfRule type="cellIs" priority="5" operator="notEqual" aboveAverage="0" equalAverage="0" bottom="0" percent="0" rank="0" text="" dxfId="16">
      <formula>$N21</formula>
    </cfRule>
  </conditionalFormatting>
  <conditionalFormatting sqref="N21:O21 R21 W21">
    <cfRule type="expression" priority="6" aboveAverage="0" equalAverage="0" bottom="0" percent="0" rank="0" text="" dxfId="17">
      <formula>$C21=1</formula>
    </cfRule>
    <cfRule type="expression" priority="7" aboveAverage="0" equalAverage="0" bottom="0" percent="0" rank="0" text="" dxfId="18">
      <formula>OR($C21=0,$C21=2,$C21=3,$C21=4)</formula>
    </cfRule>
  </conditionalFormatting>
  <conditionalFormatting sqref="U21:V21">
    <cfRule type="expression" priority="8" aboveAverage="0" equalAverage="0" bottom="0" percent="0" rank="0" text="" dxfId="19">
      <formula>$C21=1</formula>
    </cfRule>
    <cfRule type="expression" priority="9" aboveAverage="0" equalAverage="0" bottom="0" percent="0" rank="0" text="" dxfId="20">
      <formula>OR($C21=0,$C21=2,$C21=3,$C21=4)</formula>
    </cfRule>
    <cfRule type="expression" priority="10" aboveAverage="0" equalAverage="0" bottom="0" percent="0" rank="0" text="" dxfId="21">
      <formula>AND(TIPOORCAMENTO="Licitado",$C21&lt;&gt;"L",$C21&lt;&gt;-1)</formula>
    </cfRule>
  </conditionalFormatting>
  <conditionalFormatting sqref="P21:Q21 S21:T21 Y21 AG21:AH21">
    <cfRule type="expression" priority="11" aboveAverage="0" equalAverage="0" bottom="0" percent="0" rank="0" text="" dxfId="22">
      <formula>$C21=1</formula>
    </cfRule>
    <cfRule type="expression" priority="12" aboveAverage="0" equalAverage="0" bottom="0" percent="0" rank="0" text="" dxfId="23">
      <formula>OR($C21=0,$C21=2,$C21=3,$C21=4)</formula>
    </cfRule>
  </conditionalFormatting>
  <conditionalFormatting sqref="AJ21">
    <cfRule type="expression" priority="13" aboveAverage="0" equalAverage="0" bottom="0" percent="0" rank="0" text="" dxfId="24">
      <formula>OR(ACOMPANHAMENTO&lt;&gt;"BM",TIPOORCAMENTO="Licitado")</formula>
    </cfRule>
    <cfRule type="expression" priority="14" aboveAverage="0" equalAverage="0" bottom="0" percent="0" rank="0" text="" dxfId="25">
      <formula>$C21=1</formula>
    </cfRule>
    <cfRule type="expression" priority="15" aboveAverage="0" equalAverage="0" bottom="0" percent="0" rank="0" text="" dxfId="26">
      <formula>OR(AND(ISNUMBER($C21),$C21=0),$C21=2,$C21=3,$C21=4)</formula>
    </cfRule>
  </conditionalFormatting>
  <conditionalFormatting sqref="AL21">
    <cfRule type="expression" priority="16" aboveAverage="0" equalAverage="0" bottom="0" percent="0" rank="0" text="" dxfId="27">
      <formula>TIPOORCAMENTO="PROPOSTO"</formula>
    </cfRule>
    <cfRule type="expression" priority="17" aboveAverage="0" equalAverage="0" bottom="0" percent="0" rank="0" text="" dxfId="28">
      <formula>$C21=1</formula>
    </cfRule>
    <cfRule type="expression" priority="18" aboveAverage="0" equalAverage="0" bottom="0" percent="0" rank="0" text="" dxfId="29">
      <formula>OR(AND(ISNUMBER($C21),$C21=0),$C21=2,$C21=3,$C21=4)</formula>
    </cfRule>
  </conditionalFormatting>
  <conditionalFormatting sqref="AM21:AN21">
    <cfRule type="expression" priority="19" aboveAverage="0" equalAverage="0" bottom="0" percent="0" rank="0" text="" dxfId="30">
      <formula>TIPOORCAMENTO="PROPOSTO"</formula>
    </cfRule>
    <cfRule type="expression" priority="20" aboveAverage="0" equalAverage="0" bottom="0" percent="0" rank="0" text="" dxfId="31">
      <formula>$C21=1</formula>
    </cfRule>
    <cfRule type="expression" priority="21" aboveAverage="0" equalAverage="0" bottom="0" percent="0" rank="0" text="" dxfId="32">
      <formula>OR(AND(ISNUMBER($C21),$C21=0),$C21=2,$C21=3,$C21=4)</formula>
    </cfRule>
  </conditionalFormatting>
  <conditionalFormatting sqref="X18">
    <cfRule type="expression" priority="22" aboveAverage="0" equalAverage="0" bottom="0" percent="0" rank="0" text="" dxfId="33">
      <formula>$C18=1</formula>
    </cfRule>
    <cfRule type="expression" priority="23" aboveAverage="0" equalAverage="0" bottom="0" percent="0" rank="0" text="" dxfId="34">
      <formula>OR($C18=0,$C18=2,$C18=3,$C18=4)</formula>
    </cfRule>
  </conditionalFormatting>
  <conditionalFormatting sqref="R18">
    <cfRule type="beginsWith" priority="24" operator="beginsWith" aboveAverage="0" equalAverage="0" bottom="0" percent="0" rank="0" text="(" dxfId="35">
      <formula>LEFT(R18,LEN("("))="("</formula>
    </cfRule>
  </conditionalFormatting>
  <conditionalFormatting sqref="M18">
    <cfRule type="cellIs" priority="25" operator="notEqual" aboveAverage="0" equalAverage="0" bottom="0" percent="0" rank="0" text="" dxfId="36">
      <formula>$N18</formula>
    </cfRule>
  </conditionalFormatting>
  <conditionalFormatting sqref="N18:O18 R18 W18">
    <cfRule type="expression" priority="26" aboveAverage="0" equalAverage="0" bottom="0" percent="0" rank="0" text="" dxfId="37">
      <formula>$C18=1</formula>
    </cfRule>
    <cfRule type="expression" priority="27" aboveAverage="0" equalAverage="0" bottom="0" percent="0" rank="0" text="" dxfId="38">
      <formula>OR($C18=0,$C18=2,$C18=3,$C18=4)</formula>
    </cfRule>
  </conditionalFormatting>
  <conditionalFormatting sqref="U18:V18">
    <cfRule type="expression" priority="28" aboveAverage="0" equalAverage="0" bottom="0" percent="0" rank="0" text="" dxfId="39">
      <formula>$C18=1</formula>
    </cfRule>
    <cfRule type="expression" priority="29" aboveAverage="0" equalAverage="0" bottom="0" percent="0" rank="0" text="" dxfId="40">
      <formula>OR($C18=0,$C18=2,$C18=3,$C18=4)</formula>
    </cfRule>
    <cfRule type="expression" priority="30" aboveAverage="0" equalAverage="0" bottom="0" percent="0" rank="0" text="" dxfId="41">
      <formula>AND(TIPOORCAMENTO="Licitado",$C18&lt;&gt;"L",$C18&lt;&gt;-1)</formula>
    </cfRule>
  </conditionalFormatting>
  <conditionalFormatting sqref="P18:Q18 S18:T18 Y18 AG18:AH18">
    <cfRule type="expression" priority="31" aboveAverage="0" equalAverage="0" bottom="0" percent="0" rank="0" text="" dxfId="42">
      <formula>$C18=1</formula>
    </cfRule>
    <cfRule type="expression" priority="32" aboveAverage="0" equalAverage="0" bottom="0" percent="0" rank="0" text="" dxfId="43">
      <formula>OR($C18=0,$C18=2,$C18=3,$C18=4)</formula>
    </cfRule>
  </conditionalFormatting>
  <conditionalFormatting sqref="AJ18">
    <cfRule type="expression" priority="33" aboveAverage="0" equalAverage="0" bottom="0" percent="0" rank="0" text="" dxfId="44">
      <formula>OR(ACOMPANHAMENTO&lt;&gt;"BM",TIPOORCAMENTO="Licitado")</formula>
    </cfRule>
    <cfRule type="expression" priority="34" aboveAverage="0" equalAverage="0" bottom="0" percent="0" rank="0" text="" dxfId="45">
      <formula>$C18=1</formula>
    </cfRule>
    <cfRule type="expression" priority="35" aboveAverage="0" equalAverage="0" bottom="0" percent="0" rank="0" text="" dxfId="46">
      <formula>OR(AND(ISNUMBER($C18),$C18=0),$C18=2,$C18=3,$C18=4)</formula>
    </cfRule>
  </conditionalFormatting>
  <conditionalFormatting sqref="AL18">
    <cfRule type="expression" priority="36" aboveAverage="0" equalAverage="0" bottom="0" percent="0" rank="0" text="" dxfId="47">
      <formula>TIPOORCAMENTO="PROPOSTO"</formula>
    </cfRule>
    <cfRule type="expression" priority="37" aboveAverage="0" equalAverage="0" bottom="0" percent="0" rank="0" text="" dxfId="48">
      <formula>$C18=1</formula>
    </cfRule>
    <cfRule type="expression" priority="38" aboveAverage="0" equalAverage="0" bottom="0" percent="0" rank="0" text="" dxfId="49">
      <formula>OR(AND(ISNUMBER($C18),$C18=0),$C18=2,$C18=3,$C18=4)</formula>
    </cfRule>
  </conditionalFormatting>
  <conditionalFormatting sqref="AM18:AN18">
    <cfRule type="expression" priority="39" aboveAverage="0" equalAverage="0" bottom="0" percent="0" rank="0" text="" dxfId="50">
      <formula>TIPOORCAMENTO="PROPOSTO"</formula>
    </cfRule>
    <cfRule type="expression" priority="40" aboveAverage="0" equalAverage="0" bottom="0" percent="0" rank="0" text="" dxfId="51">
      <formula>$C18=1</formula>
    </cfRule>
    <cfRule type="expression" priority="41" aboveAverage="0" equalAverage="0" bottom="0" percent="0" rank="0" text="" dxfId="52">
      <formula>OR(AND(ISNUMBER($C18),$C18=0),$C18=2,$C18=3,$C18=4)</formula>
    </cfRule>
  </conditionalFormatting>
  <conditionalFormatting sqref="U19">
    <cfRule type="expression" priority="42" aboveAverage="0" equalAverage="0" bottom="0" percent="0" rank="0" text="" dxfId="53">
      <formula>$C19=1</formula>
    </cfRule>
    <cfRule type="expression" priority="43" aboveAverage="0" equalAverage="0" bottom="0" percent="0" rank="0" text="" dxfId="54">
      <formula>OR($C19=0,$C19=2,$C19=3,$C19=4)</formula>
    </cfRule>
    <cfRule type="expression" priority="44" aboveAverage="0" equalAverage="0" bottom="0" percent="0" rank="0" text="" dxfId="55">
      <formula>AND(TIPOORCAMENTO="Licitado",$C19&lt;&gt;"L",$C19&lt;&gt;-1)</formula>
    </cfRule>
  </conditionalFormatting>
  <conditionalFormatting sqref="X19">
    <cfRule type="expression" priority="45" aboveAverage="0" equalAverage="0" bottom="0" percent="0" rank="0" text="" dxfId="56">
      <formula>$C19=1</formula>
    </cfRule>
    <cfRule type="expression" priority="46" aboveAverage="0" equalAverage="0" bottom="0" percent="0" rank="0" text="" dxfId="57">
      <formula>OR($C19=0,$C19=2,$C19=3,$C19=4)</formula>
    </cfRule>
  </conditionalFormatting>
  <conditionalFormatting sqref="R19">
    <cfRule type="beginsWith" priority="47" operator="beginsWith" aboveAverage="0" equalAverage="0" bottom="0" percent="0" rank="0" text="(" dxfId="58">
      <formula>LEFT(R19,LEN("("))="("</formula>
    </cfRule>
  </conditionalFormatting>
  <conditionalFormatting sqref="M19">
    <cfRule type="cellIs" priority="48" operator="notEqual" aboveAverage="0" equalAverage="0" bottom="0" percent="0" rank="0" text="" dxfId="59">
      <formula>$N19</formula>
    </cfRule>
  </conditionalFormatting>
  <conditionalFormatting sqref="N19:O19 R19 W19">
    <cfRule type="expression" priority="49" aboveAverage="0" equalAverage="0" bottom="0" percent="0" rank="0" text="" dxfId="60">
      <formula>$C19=1</formula>
    </cfRule>
    <cfRule type="expression" priority="50" aboveAverage="0" equalAverage="0" bottom="0" percent="0" rank="0" text="" dxfId="61">
      <formula>OR($C19=0,$C19=2,$C19=3,$C19=4)</formula>
    </cfRule>
  </conditionalFormatting>
  <conditionalFormatting sqref="V19">
    <cfRule type="expression" priority="51" aboveAverage="0" equalAverage="0" bottom="0" percent="0" rank="0" text="" dxfId="62">
      <formula>$C19=1</formula>
    </cfRule>
    <cfRule type="expression" priority="52" aboveAverage="0" equalAverage="0" bottom="0" percent="0" rank="0" text="" dxfId="63">
      <formula>OR($C19=0,$C19=2,$C19=3,$C19=4)</formula>
    </cfRule>
    <cfRule type="expression" priority="53" aboveAverage="0" equalAverage="0" bottom="0" percent="0" rank="0" text="" dxfId="64">
      <formula>AND(TIPOORCAMENTO="Licitado",$C19&lt;&gt;"L",$C19&lt;&gt;-1)</formula>
    </cfRule>
  </conditionalFormatting>
  <conditionalFormatting sqref="P19:Q19 S19:T19 Y19 AG19:AH19">
    <cfRule type="expression" priority="54" aboveAverage="0" equalAverage="0" bottom="0" percent="0" rank="0" text="" dxfId="65">
      <formula>$C19=1</formula>
    </cfRule>
    <cfRule type="expression" priority="55" aboveAverage="0" equalAverage="0" bottom="0" percent="0" rank="0" text="" dxfId="66">
      <formula>OR($C19=0,$C19=2,$C19=3,$C19=4)</formula>
    </cfRule>
  </conditionalFormatting>
  <conditionalFormatting sqref="AJ19">
    <cfRule type="expression" priority="56" aboveAverage="0" equalAverage="0" bottom="0" percent="0" rank="0" text="" dxfId="67">
      <formula>OR(ACOMPANHAMENTO&lt;&gt;"BM",TIPOORCAMENTO="Licitado")</formula>
    </cfRule>
    <cfRule type="expression" priority="57" aboveAverage="0" equalAverage="0" bottom="0" percent="0" rank="0" text="" dxfId="68">
      <formula>$C19=1</formula>
    </cfRule>
    <cfRule type="expression" priority="58" aboveAverage="0" equalAverage="0" bottom="0" percent="0" rank="0" text="" dxfId="69">
      <formula>OR(AND(ISNUMBER($C19),$C19=0),$C19=2,$C19=3,$C19=4)</formula>
    </cfRule>
  </conditionalFormatting>
  <conditionalFormatting sqref="AL19">
    <cfRule type="expression" priority="59" aboveAverage="0" equalAverage="0" bottom="0" percent="0" rank="0" text="" dxfId="70">
      <formula>TIPOORCAMENTO="PROPOSTO"</formula>
    </cfRule>
    <cfRule type="expression" priority="60" aboveAverage="0" equalAverage="0" bottom="0" percent="0" rank="0" text="" dxfId="71">
      <formula>$C19=1</formula>
    </cfRule>
    <cfRule type="expression" priority="61" aboveAverage="0" equalAverage="0" bottom="0" percent="0" rank="0" text="" dxfId="72">
      <formula>OR(AND(ISNUMBER($C19),$C19=0),$C19=2,$C19=3,$C19=4)</formula>
    </cfRule>
  </conditionalFormatting>
  <conditionalFormatting sqref="AM19:AN19">
    <cfRule type="expression" priority="62" aboveAverage="0" equalAverage="0" bottom="0" percent="0" rank="0" text="" dxfId="73">
      <formula>TIPOORCAMENTO="PROPOSTO"</formula>
    </cfRule>
    <cfRule type="expression" priority="63" aboveAverage="0" equalAverage="0" bottom="0" percent="0" rank="0" text="" dxfId="74">
      <formula>$C19=1</formula>
    </cfRule>
    <cfRule type="expression" priority="64" aboveAverage="0" equalAverage="0" bottom="0" percent="0" rank="0" text="" dxfId="75">
      <formula>OR(AND(ISNUMBER($C19),$C19=0),$C19=2,$C19=3,$C19=4)</formula>
    </cfRule>
  </conditionalFormatting>
  <conditionalFormatting sqref="X17">
    <cfRule type="expression" priority="65" aboveAverage="0" equalAverage="0" bottom="0" percent="0" rank="0" text="" dxfId="76">
      <formula>$C17=1</formula>
    </cfRule>
    <cfRule type="expression" priority="66" aboveAverage="0" equalAverage="0" bottom="0" percent="0" rank="0" text="" dxfId="77">
      <formula>OR($C17=0,$C17=2,$C17=3,$C17=4)</formula>
    </cfRule>
  </conditionalFormatting>
  <conditionalFormatting sqref="R17">
    <cfRule type="beginsWith" priority="67" operator="beginsWith" aboveAverage="0" equalAverage="0" bottom="0" percent="0" rank="0" text="(" dxfId="78">
      <formula>LEFT(R17,LEN("("))="("</formula>
    </cfRule>
  </conditionalFormatting>
  <conditionalFormatting sqref="M17">
    <cfRule type="cellIs" priority="68" operator="notEqual" aboveAverage="0" equalAverage="0" bottom="0" percent="0" rank="0" text="" dxfId="79">
      <formula>$N17</formula>
    </cfRule>
  </conditionalFormatting>
  <conditionalFormatting sqref="N17:O17 R17 W17">
    <cfRule type="expression" priority="69" aboveAverage="0" equalAverage="0" bottom="0" percent="0" rank="0" text="" dxfId="80">
      <formula>$C17=1</formula>
    </cfRule>
    <cfRule type="expression" priority="70" aboveAverage="0" equalAverage="0" bottom="0" percent="0" rank="0" text="" dxfId="81">
      <formula>OR($C17=0,$C17=2,$C17=3,$C17=4)</formula>
    </cfRule>
  </conditionalFormatting>
  <conditionalFormatting sqref="U17:V17">
    <cfRule type="expression" priority="71" aboveAverage="0" equalAverage="0" bottom="0" percent="0" rank="0" text="" dxfId="82">
      <formula>$C17=1</formula>
    </cfRule>
    <cfRule type="expression" priority="72" aboveAverage="0" equalAverage="0" bottom="0" percent="0" rank="0" text="" dxfId="83">
      <formula>OR($C17=0,$C17=2,$C17=3,$C17=4)</formula>
    </cfRule>
    <cfRule type="expression" priority="73" aboveAverage="0" equalAverage="0" bottom="0" percent="0" rank="0" text="" dxfId="84">
      <formula>AND(TIPOORCAMENTO="Licitado",$C17&lt;&gt;"L",$C17&lt;&gt;-1)</formula>
    </cfRule>
  </conditionalFormatting>
  <conditionalFormatting sqref="P17:Q17 S17:T17 Y17 AG17:AH17">
    <cfRule type="expression" priority="74" aboveAverage="0" equalAverage="0" bottom="0" percent="0" rank="0" text="" dxfId="85">
      <formula>$C17=1</formula>
    </cfRule>
    <cfRule type="expression" priority="75" aboveAverage="0" equalAverage="0" bottom="0" percent="0" rank="0" text="" dxfId="86">
      <formula>OR($C17=0,$C17=2,$C17=3,$C17=4)</formula>
    </cfRule>
  </conditionalFormatting>
  <conditionalFormatting sqref="AJ17">
    <cfRule type="expression" priority="76" aboveAverage="0" equalAverage="0" bottom="0" percent="0" rank="0" text="" dxfId="87">
      <formula>OR(ACOMPANHAMENTO&lt;&gt;"BM",TIPOORCAMENTO="Licitado")</formula>
    </cfRule>
    <cfRule type="expression" priority="77" aboveAverage="0" equalAverage="0" bottom="0" percent="0" rank="0" text="" dxfId="88">
      <formula>$C17=1</formula>
    </cfRule>
    <cfRule type="expression" priority="78" aboveAverage="0" equalAverage="0" bottom="0" percent="0" rank="0" text="" dxfId="89">
      <formula>OR(AND(ISNUMBER($C17),$C17=0),$C17=2,$C17=3,$C17=4)</formula>
    </cfRule>
  </conditionalFormatting>
  <conditionalFormatting sqref="AL17">
    <cfRule type="expression" priority="79" aboveAverage="0" equalAverage="0" bottom="0" percent="0" rank="0" text="" dxfId="90">
      <formula>TIPOORCAMENTO="PROPOSTO"</formula>
    </cfRule>
    <cfRule type="expression" priority="80" aboveAverage="0" equalAverage="0" bottom="0" percent="0" rank="0" text="" dxfId="91">
      <formula>$C17=1</formula>
    </cfRule>
    <cfRule type="expression" priority="81" aboveAverage="0" equalAverage="0" bottom="0" percent="0" rank="0" text="" dxfId="92">
      <formula>OR(AND(ISNUMBER($C17),$C17=0),$C17=2,$C17=3,$C17=4)</formula>
    </cfRule>
  </conditionalFormatting>
  <conditionalFormatting sqref="AM17:AN17">
    <cfRule type="expression" priority="82" aboveAverage="0" equalAverage="0" bottom="0" percent="0" rank="0" text="" dxfId="93">
      <formula>TIPOORCAMENTO="PROPOSTO"</formula>
    </cfRule>
    <cfRule type="expression" priority="83" aboveAverage="0" equalAverage="0" bottom="0" percent="0" rank="0" text="" dxfId="94">
      <formula>$C17=1</formula>
    </cfRule>
    <cfRule type="expression" priority="84" aboveAverage="0" equalAverage="0" bottom="0" percent="0" rank="0" text="" dxfId="95">
      <formula>OR(AND(ISNUMBER($C17),$C17=0),$C17=2,$C17=3,$C17=4)</formula>
    </cfRule>
  </conditionalFormatting>
  <conditionalFormatting sqref="X29">
    <cfRule type="expression" priority="85" aboveAverage="0" equalAverage="0" bottom="0" percent="0" rank="0" text="" dxfId="96">
      <formula>$C29=1</formula>
    </cfRule>
    <cfRule type="expression" priority="86" aboveAverage="0" equalAverage="0" bottom="0" percent="0" rank="0" text="" dxfId="97">
      <formula>OR($C29=0,$C29=2,$C29=3,$C29=4)</formula>
    </cfRule>
  </conditionalFormatting>
  <conditionalFormatting sqref="R29">
    <cfRule type="beginsWith" priority="87" operator="beginsWith" aboveAverage="0" equalAverage="0" bottom="0" percent="0" rank="0" text="(" dxfId="98">
      <formula>LEFT(R29,LEN("("))="("</formula>
    </cfRule>
  </conditionalFormatting>
  <conditionalFormatting sqref="M29">
    <cfRule type="cellIs" priority="88" operator="notEqual" aboveAverage="0" equalAverage="0" bottom="0" percent="0" rank="0" text="" dxfId="99">
      <formula>$N29</formula>
    </cfRule>
  </conditionalFormatting>
  <conditionalFormatting sqref="N29:O29 R29 W29">
    <cfRule type="expression" priority="89" aboveAverage="0" equalAverage="0" bottom="0" percent="0" rank="0" text="" dxfId="100">
      <formula>$C29=1</formula>
    </cfRule>
    <cfRule type="expression" priority="90" aboveAverage="0" equalAverage="0" bottom="0" percent="0" rank="0" text="" dxfId="101">
      <formula>OR($C29=0,$C29=2,$C29=3,$C29=4)</formula>
    </cfRule>
  </conditionalFormatting>
  <conditionalFormatting sqref="V29">
    <cfRule type="expression" priority="91" aboveAverage="0" equalAverage="0" bottom="0" percent="0" rank="0" text="" dxfId="102">
      <formula>$C29=1</formula>
    </cfRule>
    <cfRule type="expression" priority="92" aboveAverage="0" equalAverage="0" bottom="0" percent="0" rank="0" text="" dxfId="103">
      <formula>OR($C29=0,$C29=2,$C29=3,$C29=4)</formula>
    </cfRule>
    <cfRule type="expression" priority="93" aboveAverage="0" equalAverage="0" bottom="0" percent="0" rank="0" text="" dxfId="104">
      <formula>AND(TIPOORCAMENTO="Licitado",$C29&lt;&gt;"L",$C29&lt;&gt;-1)</formula>
    </cfRule>
  </conditionalFormatting>
  <conditionalFormatting sqref="P29:Q29 S29:T29 Y29 AG29:AH29">
    <cfRule type="expression" priority="94" aboveAverage="0" equalAverage="0" bottom="0" percent="0" rank="0" text="" dxfId="105">
      <formula>$C29=1</formula>
    </cfRule>
    <cfRule type="expression" priority="95" aboveAverage="0" equalAverage="0" bottom="0" percent="0" rank="0" text="" dxfId="106">
      <formula>OR($C29=0,$C29=2,$C29=3,$C29=4)</formula>
    </cfRule>
  </conditionalFormatting>
  <conditionalFormatting sqref="AJ29">
    <cfRule type="expression" priority="96" aboveAverage="0" equalAverage="0" bottom="0" percent="0" rank="0" text="" dxfId="107">
      <formula>OR(ACOMPANHAMENTO&lt;&gt;"BM",TIPOORCAMENTO="Licitado")</formula>
    </cfRule>
    <cfRule type="expression" priority="97" aboveAverage="0" equalAverage="0" bottom="0" percent="0" rank="0" text="" dxfId="108">
      <formula>$C29=1</formula>
    </cfRule>
    <cfRule type="expression" priority="98" aboveAverage="0" equalAverage="0" bottom="0" percent="0" rank="0" text="" dxfId="109">
      <formula>OR(AND(ISNUMBER($C29),$C29=0),$C29=2,$C29=3,$C29=4)</formula>
    </cfRule>
  </conditionalFormatting>
  <conditionalFormatting sqref="AL29">
    <cfRule type="expression" priority="99" aboveAverage="0" equalAverage="0" bottom="0" percent="0" rank="0" text="" dxfId="110">
      <formula>TIPOORCAMENTO="PROPOSTO"</formula>
    </cfRule>
    <cfRule type="expression" priority="100" aboveAverage="0" equalAverage="0" bottom="0" percent="0" rank="0" text="" dxfId="111">
      <formula>$C29=1</formula>
    </cfRule>
    <cfRule type="expression" priority="101" aboveAverage="0" equalAverage="0" bottom="0" percent="0" rank="0" text="" dxfId="112">
      <formula>OR(AND(ISNUMBER($C29),$C29=0),$C29=2,$C29=3,$C29=4)</formula>
    </cfRule>
  </conditionalFormatting>
  <conditionalFormatting sqref="AM29:AN29">
    <cfRule type="expression" priority="102" aboveAverage="0" equalAverage="0" bottom="0" percent="0" rank="0" text="" dxfId="113">
      <formula>TIPOORCAMENTO="PROPOSTO"</formula>
    </cfRule>
    <cfRule type="expression" priority="103" aboveAverage="0" equalAverage="0" bottom="0" percent="0" rank="0" text="" dxfId="114">
      <formula>$C29=1</formula>
    </cfRule>
    <cfRule type="expression" priority="104" aboveAverage="0" equalAverage="0" bottom="0" percent="0" rank="0" text="" dxfId="115">
      <formula>OR(AND(ISNUMBER($C29),$C29=0),$C29=2,$C29=3,$C29=4)</formula>
    </cfRule>
  </conditionalFormatting>
  <conditionalFormatting sqref="AJ27">
    <cfRule type="expression" priority="105" aboveAverage="0" equalAverage="0" bottom="0" percent="0" rank="0" text="" dxfId="116">
      <formula>OR(ACOMPANHAMENTO&lt;&gt;"BM",TIPOORCAMENTO="Licitado")</formula>
    </cfRule>
    <cfRule type="expression" priority="106" aboveAverage="0" equalAverage="0" bottom="0" percent="0" rank="0" text="" dxfId="117">
      <formula>$C27=1</formula>
    </cfRule>
    <cfRule type="expression" priority="107" aboveAverage="0" equalAverage="0" bottom="0" percent="0" rank="0" text="" dxfId="118">
      <formula>OR(AND(ISNUMBER($C27),$C27=0),$C27=2,$C27=3,$C27=4)</formula>
    </cfRule>
  </conditionalFormatting>
  <conditionalFormatting sqref="AJ26">
    <cfRule type="expression" priority="108" aboveAverage="0" equalAverage="0" bottom="0" percent="0" rank="0" text="" dxfId="119">
      <formula>OR(ACOMPANHAMENTO&lt;&gt;"BM",TIPOORCAMENTO="Licitado")</formula>
    </cfRule>
    <cfRule type="expression" priority="109" aboveAverage="0" equalAverage="0" bottom="0" percent="0" rank="0" text="" dxfId="120">
      <formula>$C26=1</formula>
    </cfRule>
    <cfRule type="expression" priority="110" aboveAverage="0" equalAverage="0" bottom="0" percent="0" rank="0" text="" dxfId="121">
      <formula>OR(AND(ISNUMBER($C26),$C26=0),$C26=2,$C26=3,$C26=4)</formula>
    </cfRule>
  </conditionalFormatting>
  <conditionalFormatting sqref="AJ25">
    <cfRule type="expression" priority="111" aboveAverage="0" equalAverage="0" bottom="0" percent="0" rank="0" text="" dxfId="122">
      <formula>OR(ACOMPANHAMENTO&lt;&gt;"BM",TIPOORCAMENTO="Licitado")</formula>
    </cfRule>
    <cfRule type="expression" priority="112" aboveAverage="0" equalAverage="0" bottom="0" percent="0" rank="0" text="" dxfId="123">
      <formula>$C25=1</formula>
    </cfRule>
    <cfRule type="expression" priority="113" aboveAverage="0" equalAverage="0" bottom="0" percent="0" rank="0" text="" dxfId="124">
      <formula>OR(AND(ISNUMBER($C25),$C25=0),$C25=2,$C25=3,$C25=4)</formula>
    </cfRule>
  </conditionalFormatting>
  <conditionalFormatting sqref="Q27">
    <cfRule type="expression" priority="114" aboveAverage="0" equalAverage="0" bottom="0" percent="0" rank="0" text="" dxfId="125">
      <formula>$C27=1</formula>
    </cfRule>
    <cfRule type="expression" priority="115" aboveAverage="0" equalAverage="0" bottom="0" percent="0" rank="0" text="" dxfId="126">
      <formula>OR($C27=0,$C27=2,$C27=3,$C27=4)</formula>
    </cfRule>
  </conditionalFormatting>
  <conditionalFormatting sqref="Q26">
    <cfRule type="expression" priority="116" aboveAverage="0" equalAverage="0" bottom="0" percent="0" rank="0" text="" dxfId="127">
      <formula>$C26=1</formula>
    </cfRule>
    <cfRule type="expression" priority="117" aboveAverage="0" equalAverage="0" bottom="0" percent="0" rank="0" text="" dxfId="128">
      <formula>OR($C26=0,$C26=2,$C26=3,$C26=4)</formula>
    </cfRule>
  </conditionalFormatting>
  <conditionalFormatting sqref="P26">
    <cfRule type="expression" priority="118" aboveAverage="0" equalAverage="0" bottom="0" percent="0" rank="0" text="" dxfId="129">
      <formula>$C26=1</formula>
    </cfRule>
    <cfRule type="expression" priority="119" aboveAverage="0" equalAverage="0" bottom="0" percent="0" rank="0" text="" dxfId="130">
      <formula>OR($C26=0,$C26=2,$C26=3,$C26=4)</formula>
    </cfRule>
  </conditionalFormatting>
  <conditionalFormatting sqref="P25:Q25">
    <cfRule type="expression" priority="120" aboveAverage="0" equalAverage="0" bottom="0" percent="0" rank="0" text="" dxfId="131">
      <formula>$C25=1</formula>
    </cfRule>
    <cfRule type="expression" priority="121" aboveAverage="0" equalAverage="0" bottom="0" percent="0" rank="0" text="" dxfId="132">
      <formula>OR($C25=0,$C25=2,$C25=3,$C25=4)</formula>
    </cfRule>
  </conditionalFormatting>
  <conditionalFormatting sqref="U24:V24">
    <cfRule type="expression" priority="122" aboveAverage="0" equalAverage="0" bottom="0" percent="0" rank="0" text="" dxfId="133">
      <formula>$C24=1</formula>
    </cfRule>
    <cfRule type="expression" priority="123" aboveAverage="0" equalAverage="0" bottom="0" percent="0" rank="0" text="" dxfId="134">
      <formula>OR($C24=0,$C24=2,$C24=3,$C24=4)</formula>
    </cfRule>
    <cfRule type="expression" priority="124" aboveAverage="0" equalAverage="0" bottom="0" percent="0" rank="0" text="" dxfId="135">
      <formula>AND(TIPOORCAMENTO="Licitado",$C24&lt;&gt;"L",$C24&lt;&gt;-1)</formula>
    </cfRule>
  </conditionalFormatting>
  <conditionalFormatting sqref="P24:Q24">
    <cfRule type="expression" priority="125" aboveAverage="0" equalAverage="0" bottom="0" percent="0" rank="0" text="" dxfId="136">
      <formula>$C24=1</formula>
    </cfRule>
    <cfRule type="expression" priority="126" aboveAverage="0" equalAverage="0" bottom="0" percent="0" rank="0" text="" dxfId="137">
      <formula>OR($C24=0,$C24=2,$C24=3,$C24=4)</formula>
    </cfRule>
  </conditionalFormatting>
  <conditionalFormatting sqref="AJ24">
    <cfRule type="expression" priority="127" aboveAverage="0" equalAverage="0" bottom="0" percent="0" rank="0" text="" dxfId="138">
      <formula>OR(ACOMPANHAMENTO&lt;&gt;"BM",TIPOORCAMENTO="Licitado")</formula>
    </cfRule>
    <cfRule type="expression" priority="128" aboveAverage="0" equalAverage="0" bottom="0" percent="0" rank="0" text="" dxfId="139">
      <formula>$C24=1</formula>
    </cfRule>
    <cfRule type="expression" priority="129" aboveAverage="0" equalAverage="0" bottom="0" percent="0" rank="0" text="" dxfId="140">
      <formula>OR(AND(ISNUMBER($C24),$C24=0),$C24=2,$C24=3,$C24=4)</formula>
    </cfRule>
  </conditionalFormatting>
  <conditionalFormatting sqref="P39:Q39">
    <cfRule type="expression" priority="130" aboveAverage="0" equalAverage="0" bottom="0" percent="0" rank="0" text="" dxfId="141">
      <formula>$C39=1</formula>
    </cfRule>
    <cfRule type="expression" priority="131" aboveAverage="0" equalAverage="0" bottom="0" percent="0" rank="0" text="" dxfId="142">
      <formula>OR($C39=0,$C39=2,$C39=3,$C39=4)</formula>
    </cfRule>
  </conditionalFormatting>
  <conditionalFormatting sqref="P38:Q38">
    <cfRule type="expression" priority="132" aboveAverage="0" equalAverage="0" bottom="0" percent="0" rank="0" text="" dxfId="143">
      <formula>$C38=1</formula>
    </cfRule>
    <cfRule type="expression" priority="133" aboveAverage="0" equalAverage="0" bottom="0" percent="0" rank="0" text="" dxfId="144">
      <formula>OR($C38=0,$C38=2,$C38=3,$C38=4)</formula>
    </cfRule>
  </conditionalFormatting>
  <conditionalFormatting sqref="R39">
    <cfRule type="beginsWith" priority="134" operator="beginsWith" aboveAverage="0" equalAverage="0" bottom="0" percent="0" rank="0" text="(" dxfId="145">
      <formula>LEFT(R39,LEN("("))="("</formula>
    </cfRule>
  </conditionalFormatting>
  <conditionalFormatting sqref="X37">
    <cfRule type="expression" priority="135" aboveAverage="0" equalAverage="0" bottom="0" percent="0" rank="0" text="" dxfId="146">
      <formula>$C37=1</formula>
    </cfRule>
    <cfRule type="expression" priority="136" aboveAverage="0" equalAverage="0" bottom="0" percent="0" rank="0" text="" dxfId="147">
      <formula>OR($C37=0,$C37=2,$C37=3,$C37=4)</formula>
    </cfRule>
  </conditionalFormatting>
  <conditionalFormatting sqref="R37">
    <cfRule type="beginsWith" priority="137" operator="beginsWith" aboveAverage="0" equalAverage="0" bottom="0" percent="0" rank="0" text="(" dxfId="148">
      <formula>LEFT(R37,LEN("("))="("</formula>
    </cfRule>
  </conditionalFormatting>
  <conditionalFormatting sqref="M37">
    <cfRule type="cellIs" priority="138" operator="notEqual" aboveAverage="0" equalAverage="0" bottom="0" percent="0" rank="0" text="" dxfId="149">
      <formula>$N37</formula>
    </cfRule>
  </conditionalFormatting>
  <conditionalFormatting sqref="W37 R37 N37:O37">
    <cfRule type="expression" priority="139" aboveAverage="0" equalAverage="0" bottom="0" percent="0" rank="0" text="" dxfId="150">
      <formula>$C37=1</formula>
    </cfRule>
    <cfRule type="expression" priority="140" aboveAverage="0" equalAverage="0" bottom="0" percent="0" rank="0" text="" dxfId="151">
      <formula>OR($C37=0,$C37=2,$C37=3,$C37=4)</formula>
    </cfRule>
  </conditionalFormatting>
  <conditionalFormatting sqref="U37:V37">
    <cfRule type="expression" priority="141" aboveAverage="0" equalAverage="0" bottom="0" percent="0" rank="0" text="" dxfId="152">
      <formula>$C37=1</formula>
    </cfRule>
    <cfRule type="expression" priority="142" aboveAverage="0" equalAverage="0" bottom="0" percent="0" rank="0" text="" dxfId="153">
      <formula>OR($C37=0,$C37=2,$C37=3,$C37=4)</formula>
    </cfRule>
    <cfRule type="expression" priority="143" aboveAverage="0" equalAverage="0" bottom="0" percent="0" rank="0" text="" dxfId="154">
      <formula>AND(TIPOORCAMENTO="Licitado",$C37&lt;&gt;"L",$C37&lt;&gt;-1)</formula>
    </cfRule>
  </conditionalFormatting>
  <conditionalFormatting sqref="AG37:AH37 Y37 S37:T37 P37:Q37">
    <cfRule type="expression" priority="144" aboveAverage="0" equalAverage="0" bottom="0" percent="0" rank="0" text="" dxfId="155">
      <formula>$C37=1</formula>
    </cfRule>
    <cfRule type="expression" priority="145" aboveAverage="0" equalAverage="0" bottom="0" percent="0" rank="0" text="" dxfId="156">
      <formula>OR($C37=0,$C37=2,$C37=3,$C37=4)</formula>
    </cfRule>
  </conditionalFormatting>
  <conditionalFormatting sqref="AJ37">
    <cfRule type="expression" priority="146" aboveAverage="0" equalAverage="0" bottom="0" percent="0" rank="0" text="" dxfId="157">
      <formula>OR(ACOMPANHAMENTO&lt;&gt;"BM",TIPOORCAMENTO="Licitado")</formula>
    </cfRule>
    <cfRule type="expression" priority="147" aboveAverage="0" equalAverage="0" bottom="0" percent="0" rank="0" text="" dxfId="158">
      <formula>$C37=1</formula>
    </cfRule>
    <cfRule type="expression" priority="148" aboveAverage="0" equalAverage="0" bottom="0" percent="0" rank="0" text="" dxfId="159">
      <formula>OR(AND(ISNUMBER($C37),$C37=0),$C37=2,$C37=3,$C37=4)</formula>
    </cfRule>
  </conditionalFormatting>
  <conditionalFormatting sqref="AL37">
    <cfRule type="expression" priority="149" aboveAverage="0" equalAverage="0" bottom="0" percent="0" rank="0" text="" dxfId="160">
      <formula>TIPOORCAMENTO="PROPOSTO"</formula>
    </cfRule>
    <cfRule type="expression" priority="150" aboveAverage="0" equalAverage="0" bottom="0" percent="0" rank="0" text="" dxfId="161">
      <formula>$C37=1</formula>
    </cfRule>
    <cfRule type="expression" priority="151" aboveAverage="0" equalAverage="0" bottom="0" percent="0" rank="0" text="" dxfId="162">
      <formula>OR(AND(ISNUMBER($C37),$C37=0),$C37=2,$C37=3,$C37=4)</formula>
    </cfRule>
  </conditionalFormatting>
  <conditionalFormatting sqref="AM37:AN37">
    <cfRule type="expression" priority="152" aboveAverage="0" equalAverage="0" bottom="0" percent="0" rank="0" text="" dxfId="163">
      <formula>TIPOORCAMENTO="PROPOSTO"</formula>
    </cfRule>
    <cfRule type="expression" priority="153" aboveAverage="0" equalAverage="0" bottom="0" percent="0" rank="0" text="" dxfId="164">
      <formula>$C37=1</formula>
    </cfRule>
    <cfRule type="expression" priority="154" aboveAverage="0" equalAverage="0" bottom="0" percent="0" rank="0" text="" dxfId="165">
      <formula>OR(AND(ISNUMBER($C37),$C37=0),$C37=2,$C37=3,$C37=4)</formula>
    </cfRule>
  </conditionalFormatting>
  <conditionalFormatting sqref="P35:Q35">
    <cfRule type="expression" priority="155" aboveAverage="0" equalAverage="0" bottom="0" percent="0" rank="0" text="" dxfId="166">
      <formula>$C35=1</formula>
    </cfRule>
    <cfRule type="expression" priority="156" aboveAverage="0" equalAverage="0" bottom="0" percent="0" rank="0" text="" dxfId="167">
      <formula>OR($C35=0,$C35=2,$C35=3,$C35=4)</formula>
    </cfRule>
  </conditionalFormatting>
  <conditionalFormatting sqref="X35">
    <cfRule type="expression" priority="157" aboveAverage="0" equalAverage="0" bottom="0" percent="0" rank="0" text="" dxfId="168">
      <formula>$C35=1</formula>
    </cfRule>
    <cfRule type="expression" priority="158" aboveAverage="0" equalAverage="0" bottom="0" percent="0" rank="0" text="" dxfId="169">
      <formula>OR($C35=0,$C35=2,$C35=3,$C35=4)</formula>
    </cfRule>
  </conditionalFormatting>
  <conditionalFormatting sqref="R35">
    <cfRule type="beginsWith" priority="159" operator="beginsWith" aboveAverage="0" equalAverage="0" bottom="0" percent="0" rank="0" text="(" dxfId="170">
      <formula>LEFT(R35,LEN("("))="("</formula>
    </cfRule>
  </conditionalFormatting>
  <conditionalFormatting sqref="M35">
    <cfRule type="cellIs" priority="160" operator="notEqual" aboveAverage="0" equalAverage="0" bottom="0" percent="0" rank="0" text="" dxfId="171">
      <formula>$N35</formula>
    </cfRule>
  </conditionalFormatting>
  <conditionalFormatting sqref="N35:O35 R35 W35">
    <cfRule type="expression" priority="161" aboveAverage="0" equalAverage="0" bottom="0" percent="0" rank="0" text="" dxfId="172">
      <formula>$C35=1</formula>
    </cfRule>
    <cfRule type="expression" priority="162" aboveAverage="0" equalAverage="0" bottom="0" percent="0" rank="0" text="" dxfId="173">
      <formula>OR($C35=0,$C35=2,$C35=3,$C35=4)</formula>
    </cfRule>
  </conditionalFormatting>
  <conditionalFormatting sqref="V35">
    <cfRule type="expression" priority="163" aboveAverage="0" equalAverage="0" bottom="0" percent="0" rank="0" text="" dxfId="174">
      <formula>$C35=1</formula>
    </cfRule>
    <cfRule type="expression" priority="164" aboveAverage="0" equalAverage="0" bottom="0" percent="0" rank="0" text="" dxfId="175">
      <formula>OR($C35=0,$C35=2,$C35=3,$C35=4)</formula>
    </cfRule>
    <cfRule type="expression" priority="165" aboveAverage="0" equalAverage="0" bottom="0" percent="0" rank="0" text="" dxfId="176">
      <formula>AND(TIPOORCAMENTO="Licitado",$C35&lt;&gt;"L",$C35&lt;&gt;-1)</formula>
    </cfRule>
  </conditionalFormatting>
  <conditionalFormatting sqref="S35:T35 Y35 AG35:AH35">
    <cfRule type="expression" priority="166" aboveAverage="0" equalAverage="0" bottom="0" percent="0" rank="0" text="" dxfId="177">
      <formula>$C35=1</formula>
    </cfRule>
    <cfRule type="expression" priority="167" aboveAverage="0" equalAverage="0" bottom="0" percent="0" rank="0" text="" dxfId="178">
      <formula>OR($C35=0,$C35=2,$C35=3,$C35=4)</formula>
    </cfRule>
  </conditionalFormatting>
  <conditionalFormatting sqref="AJ35">
    <cfRule type="expression" priority="168" aboveAverage="0" equalAverage="0" bottom="0" percent="0" rank="0" text="" dxfId="179">
      <formula>OR(ACOMPANHAMENTO&lt;&gt;"BM",TIPOORCAMENTO="Licitado")</formula>
    </cfRule>
    <cfRule type="expression" priority="169" aboveAverage="0" equalAverage="0" bottom="0" percent="0" rank="0" text="" dxfId="180">
      <formula>$C35=1</formula>
    </cfRule>
    <cfRule type="expression" priority="170" aboveAverage="0" equalAverage="0" bottom="0" percent="0" rank="0" text="" dxfId="181">
      <formula>OR(AND(ISNUMBER($C35),$C35=0),$C35=2,$C35=3,$C35=4)</formula>
    </cfRule>
  </conditionalFormatting>
  <conditionalFormatting sqref="AL35">
    <cfRule type="expression" priority="171" aboveAverage="0" equalAverage="0" bottom="0" percent="0" rank="0" text="" dxfId="182">
      <formula>TIPOORCAMENTO="PROPOSTO"</formula>
    </cfRule>
    <cfRule type="expression" priority="172" aboveAverage="0" equalAverage="0" bottom="0" percent="0" rank="0" text="" dxfId="183">
      <formula>$C35=1</formula>
    </cfRule>
    <cfRule type="expression" priority="173" aboveAverage="0" equalAverage="0" bottom="0" percent="0" rank="0" text="" dxfId="184">
      <formula>OR(AND(ISNUMBER($C35),$C35=0),$C35=2,$C35=3,$C35=4)</formula>
    </cfRule>
  </conditionalFormatting>
  <conditionalFormatting sqref="AM35:AN35">
    <cfRule type="expression" priority="174" aboveAverage="0" equalAverage="0" bottom="0" percent="0" rank="0" text="" dxfId="185">
      <formula>TIPOORCAMENTO="PROPOSTO"</formula>
    </cfRule>
    <cfRule type="expression" priority="175" aboveAverage="0" equalAverage="0" bottom="0" percent="0" rank="0" text="" dxfId="186">
      <formula>$C35=1</formula>
    </cfRule>
    <cfRule type="expression" priority="176" aboveAverage="0" equalAverage="0" bottom="0" percent="0" rank="0" text="" dxfId="187">
      <formula>OR(AND(ISNUMBER($C35),$C35=0),$C35=2,$C35=3,$C35=4)</formula>
    </cfRule>
  </conditionalFormatting>
  <conditionalFormatting sqref="R31">
    <cfRule type="beginsWith" priority="177" operator="beginsWith" aboveAverage="0" equalAverage="0" bottom="0" percent="0" rank="0" text="(" dxfId="188">
      <formula>LEFT(R31,LEN("("))="("</formula>
    </cfRule>
  </conditionalFormatting>
  <conditionalFormatting sqref="R31">
    <cfRule type="expression" priority="178" aboveAverage="0" equalAverage="0" bottom="0" percent="0" rank="0" text="" dxfId="189">
      <formula>$C31=1</formula>
    </cfRule>
    <cfRule type="expression" priority="179" aboveAverage="0" equalAverage="0" bottom="0" percent="0" rank="0" text="" dxfId="190">
      <formula>OR($C31=0,$C31=2,$C31=3,$C31=4)</formula>
    </cfRule>
  </conditionalFormatting>
  <conditionalFormatting sqref="Q31">
    <cfRule type="expression" priority="180" aboveAverage="0" equalAverage="0" bottom="0" percent="0" rank="0" text="" dxfId="191">
      <formula>$C31=1</formula>
    </cfRule>
    <cfRule type="expression" priority="181" aboveAverage="0" equalAverage="0" bottom="0" percent="0" rank="0" text="" dxfId="192">
      <formula>OR($C31=0,$C31=2,$C31=3,$C31=4)</formula>
    </cfRule>
  </conditionalFormatting>
  <conditionalFormatting sqref="P31 S31">
    <cfRule type="expression" priority="182" aboveAverage="0" equalAverage="0" bottom="0" percent="0" rank="0" text="" dxfId="193">
      <formula>$C31=1</formula>
    </cfRule>
    <cfRule type="expression" priority="183" aboveAverage="0" equalAverage="0" bottom="0" percent="0" rank="0" text="" dxfId="194">
      <formula>OR($C31=0,$C31=2,$C31=3,$C31=4)</formula>
    </cfRule>
  </conditionalFormatting>
  <conditionalFormatting sqref="Q34">
    <cfRule type="expression" priority="184" aboveAverage="0" equalAverage="0" bottom="0" percent="0" rank="0" text="" dxfId="195">
      <formula>$C34=1</formula>
    </cfRule>
    <cfRule type="expression" priority="185" aboveAverage="0" equalAverage="0" bottom="0" percent="0" rank="0" text="" dxfId="196">
      <formula>OR($C34=0,$C34=2,$C34=3,$C34=4)</formula>
    </cfRule>
  </conditionalFormatting>
  <conditionalFormatting sqref="R32">
    <cfRule type="beginsWith" priority="186" operator="beginsWith" aboveAverage="0" equalAverage="0" bottom="0" percent="0" rank="0" text="(" dxfId="197">
      <formula>LEFT(R32,LEN("("))="("</formula>
    </cfRule>
  </conditionalFormatting>
  <conditionalFormatting sqref="R32">
    <cfRule type="expression" priority="187" aboveAverage="0" equalAverage="0" bottom="0" percent="0" rank="0" text="" dxfId="198">
      <formula>$C32=1</formula>
    </cfRule>
    <cfRule type="expression" priority="188" aboveAverage="0" equalAverage="0" bottom="0" percent="0" rank="0" text="" dxfId="199">
      <formula>OR($C32=0,$C32=2,$C32=3,$C32=4)</formula>
    </cfRule>
  </conditionalFormatting>
  <conditionalFormatting sqref="P33:Q33 P36:Q36 P34">
    <cfRule type="expression" priority="189" aboveAverage="0" equalAverage="0" bottom="0" percent="0" rank="0" text="" dxfId="200">
      <formula>$C33=1</formula>
    </cfRule>
    <cfRule type="expression" priority="190" aboveAverage="0" equalAverage="0" bottom="0" percent="0" rank="0" text="" dxfId="201">
      <formula>OR($C33=0,$C33=2,$C33=3,$C33=4)</formula>
    </cfRule>
  </conditionalFormatting>
  <conditionalFormatting sqref="P30:Q30">
    <cfRule type="expression" priority="191" aboveAverage="0" equalAverage="0" bottom="0" percent="0" rank="0" text="" dxfId="202">
      <formula>$C30=1</formula>
    </cfRule>
    <cfRule type="expression" priority="192" aboveAverage="0" equalAverage="0" bottom="0" percent="0" rank="0" text="" dxfId="203">
      <formula>OR($C30=0,$C30=2,$C30=3,$C30=4)</formula>
    </cfRule>
  </conditionalFormatting>
  <conditionalFormatting sqref="R23">
    <cfRule type="beginsWith" priority="193" operator="beginsWith" aboveAverage="0" equalAverage="0" bottom="0" percent="0" rank="0" text="(" dxfId="204">
      <formula>LEFT(R23,LEN("("))="("</formula>
    </cfRule>
  </conditionalFormatting>
  <conditionalFormatting sqref="R23">
    <cfRule type="expression" priority="194" aboveAverage="0" equalAverage="0" bottom="0" percent="0" rank="0" text="" dxfId="205">
      <formula>$C23=1</formula>
    </cfRule>
    <cfRule type="expression" priority="195" aboveAverage="0" equalAverage="0" bottom="0" percent="0" rank="0" text="" dxfId="206">
      <formula>OR($C23=0,$C23=2,$C23=3,$C23=4)</formula>
    </cfRule>
  </conditionalFormatting>
  <conditionalFormatting sqref="X36">
    <cfRule type="expression" priority="196" aboveAverage="0" equalAverage="0" bottom="0" percent="0" rank="0" text="" dxfId="207">
      <formula>$C36=1</formula>
    </cfRule>
    <cfRule type="expression" priority="197" aboveAverage="0" equalAverage="0" bottom="0" percent="0" rank="0" text="" dxfId="208">
      <formula>OR($C36=0,$C36=2,$C36=3,$C36=4)</formula>
    </cfRule>
  </conditionalFormatting>
  <conditionalFormatting sqref="R36">
    <cfRule type="beginsWith" priority="198" operator="beginsWith" aboveAverage="0" equalAverage="0" bottom="0" percent="0" rank="0" text="(" dxfId="209">
      <formula>LEFT(R36,LEN("("))="("</formula>
    </cfRule>
  </conditionalFormatting>
  <conditionalFormatting sqref="M36">
    <cfRule type="cellIs" priority="199" operator="notEqual" aboveAverage="0" equalAverage="0" bottom="0" percent="0" rank="0" text="" dxfId="210">
      <formula>$N36</formula>
    </cfRule>
  </conditionalFormatting>
  <conditionalFormatting sqref="N36:O36 R36 W36">
    <cfRule type="expression" priority="200" aboveAverage="0" equalAverage="0" bottom="0" percent="0" rank="0" text="" dxfId="211">
      <formula>$C36=1</formula>
    </cfRule>
    <cfRule type="expression" priority="201" aboveAverage="0" equalAverage="0" bottom="0" percent="0" rank="0" text="" dxfId="212">
      <formula>OR($C36=0,$C36=2,$C36=3,$C36=4)</formula>
    </cfRule>
  </conditionalFormatting>
  <conditionalFormatting sqref="V36">
    <cfRule type="expression" priority="202" aboveAverage="0" equalAverage="0" bottom="0" percent="0" rank="0" text="" dxfId="213">
      <formula>$C36=1</formula>
    </cfRule>
    <cfRule type="expression" priority="203" aboveAverage="0" equalAverage="0" bottom="0" percent="0" rank="0" text="" dxfId="214">
      <formula>OR($C36=0,$C36=2,$C36=3,$C36=4)</formula>
    </cfRule>
    <cfRule type="expression" priority="204" aboveAverage="0" equalAverage="0" bottom="0" percent="0" rank="0" text="" dxfId="215">
      <formula>AND(TIPOORCAMENTO="Licitado",$C36&lt;&gt;"L",$C36&lt;&gt;-1)</formula>
    </cfRule>
  </conditionalFormatting>
  <conditionalFormatting sqref="S36:T36 Y36 AG36:AH36">
    <cfRule type="expression" priority="205" aboveAverage="0" equalAverage="0" bottom="0" percent="0" rank="0" text="" dxfId="216">
      <formula>$C36=1</formula>
    </cfRule>
    <cfRule type="expression" priority="206" aboveAverage="0" equalAverage="0" bottom="0" percent="0" rank="0" text="" dxfId="217">
      <formula>OR($C36=0,$C36=2,$C36=3,$C36=4)</formula>
    </cfRule>
  </conditionalFormatting>
  <conditionalFormatting sqref="AJ36">
    <cfRule type="expression" priority="207" aboveAverage="0" equalAverage="0" bottom="0" percent="0" rank="0" text="" dxfId="218">
      <formula>OR(ACOMPANHAMENTO&lt;&gt;"BM",TIPOORCAMENTO="Licitado")</formula>
    </cfRule>
    <cfRule type="expression" priority="208" aboveAverage="0" equalAverage="0" bottom="0" percent="0" rank="0" text="" dxfId="219">
      <formula>$C36=1</formula>
    </cfRule>
    <cfRule type="expression" priority="209" aboveAverage="0" equalAverage="0" bottom="0" percent="0" rank="0" text="" dxfId="220">
      <formula>OR(AND(ISNUMBER($C36),$C36=0),$C36=2,$C36=3,$C36=4)</formula>
    </cfRule>
  </conditionalFormatting>
  <conditionalFormatting sqref="AL36">
    <cfRule type="expression" priority="210" aboveAverage="0" equalAverage="0" bottom="0" percent="0" rank="0" text="" dxfId="221">
      <formula>TIPOORCAMENTO="PROPOSTO"</formula>
    </cfRule>
    <cfRule type="expression" priority="211" aboveAverage="0" equalAverage="0" bottom="0" percent="0" rank="0" text="" dxfId="222">
      <formula>$C36=1</formula>
    </cfRule>
    <cfRule type="expression" priority="212" aboveAverage="0" equalAverage="0" bottom="0" percent="0" rank="0" text="" dxfId="223">
      <formula>OR(AND(ISNUMBER($C36),$C36=0),$C36=2,$C36=3,$C36=4)</formula>
    </cfRule>
  </conditionalFormatting>
  <conditionalFormatting sqref="AM36:AN36">
    <cfRule type="expression" priority="213" aboveAverage="0" equalAverage="0" bottom="0" percent="0" rank="0" text="" dxfId="224">
      <formula>TIPOORCAMENTO="PROPOSTO"</formula>
    </cfRule>
    <cfRule type="expression" priority="214" aboveAverage="0" equalAverage="0" bottom="0" percent="0" rank="0" text="" dxfId="225">
      <formula>$C36=1</formula>
    </cfRule>
    <cfRule type="expression" priority="215" aboveAverage="0" equalAverage="0" bottom="0" percent="0" rank="0" text="" dxfId="226">
      <formula>OR(AND(ISNUMBER($C36),$C36=0),$C36=2,$C36=3,$C36=4)</formula>
    </cfRule>
  </conditionalFormatting>
  <conditionalFormatting sqref="R33:R34">
    <cfRule type="beginsWith" priority="216" operator="beginsWith" aboveAverage="0" equalAverage="0" bottom="0" percent="0" rank="0" text="(" dxfId="227">
      <formula>LEFT(R33,LEN("("))="("</formula>
    </cfRule>
    <cfRule type="expression" priority="217" aboveAverage="0" equalAverage="0" bottom="0" percent="0" rank="0" text="" dxfId="228">
      <formula>$C33=1</formula>
    </cfRule>
    <cfRule type="expression" priority="218" aboveAverage="0" equalAverage="0" bottom="0" percent="0" rank="0" text="" dxfId="229">
      <formula>OR($C33=0,$C33=2,$C33=3,$C33=4)</formula>
    </cfRule>
  </conditionalFormatting>
  <conditionalFormatting sqref="U28:V28 U32:V32 V33:V34">
    <cfRule type="expression" priority="219" aboveAverage="0" equalAverage="0" bottom="0" percent="0" rank="0" text="" dxfId="230">
      <formula>$C28=1</formula>
    </cfRule>
    <cfRule type="expression" priority="220" aboveAverage="0" equalAverage="0" bottom="0" percent="0" rank="0" text="" dxfId="231">
      <formula>OR($C28=0,$C28=2,$C28=3,$C28=4)</formula>
    </cfRule>
    <cfRule type="expression" priority="221" aboveAverage="0" equalAverage="0" bottom="0" percent="0" rank="0" text="" dxfId="232">
      <formula>AND(TIPOORCAMENTO="Licitado",$C28&lt;&gt;"L",$C28&lt;&gt;-1)</formula>
    </cfRule>
  </conditionalFormatting>
  <conditionalFormatting sqref="P28:Q28 P32:Q32">
    <cfRule type="expression" priority="222" aboveAverage="0" equalAverage="0" bottom="0" percent="0" rank="0" text="" dxfId="233">
      <formula>$C28=1</formula>
    </cfRule>
    <cfRule type="expression" priority="223" aboveAverage="0" equalAverage="0" bottom="0" percent="0" rank="0" text="" dxfId="234">
      <formula>OR($C28=0,$C28=2,$C28=3,$C28=4)</formula>
    </cfRule>
  </conditionalFormatting>
  <conditionalFormatting sqref="R22">
    <cfRule type="beginsWith" priority="224" operator="beginsWith" aboveAverage="0" equalAverage="0" bottom="0" percent="0" rank="0" text="(" dxfId="235">
      <formula>LEFT(R22,LEN("("))="("</formula>
    </cfRule>
  </conditionalFormatting>
  <conditionalFormatting sqref="R22">
    <cfRule type="expression" priority="225" aboveAverage="0" equalAverage="0" bottom="0" percent="0" rank="0" text="" dxfId="236">
      <formula>$C22=1</formula>
    </cfRule>
    <cfRule type="expression" priority="226" aboveAverage="0" equalAverage="0" bottom="0" percent="0" rank="0" text="" dxfId="237">
      <formula>OR($C22=0,$C22=2,$C22=3,$C22=4)</formula>
    </cfRule>
  </conditionalFormatting>
  <conditionalFormatting sqref="AC11">
    <cfRule type="cellIs" priority="227" operator="equal" aboveAverage="0" equalAverage="0" bottom="0" percent="0" rank="0" text="" dxfId="238">
      <formula>"OK"</formula>
    </cfRule>
  </conditionalFormatting>
  <conditionalFormatting sqref="X14">
    <cfRule type="expression" priority="228" aboveAverage="0" equalAverage="0" bottom="0" percent="0" rank="0" text="" dxfId="239">
      <formula>$C14=1</formula>
    </cfRule>
    <cfRule type="expression" priority="229" aboveAverage="0" equalAverage="0" bottom="0" percent="0" rank="0" text="" dxfId="240">
      <formula>OR($C14=0,$C14=2,$C14=3,$C14=4)</formula>
    </cfRule>
  </conditionalFormatting>
  <conditionalFormatting sqref="R14 R16 R38 R30 R20 R24:R28">
    <cfRule type="beginsWith" priority="230" operator="beginsWith" aboveAverage="0" equalAverage="0" bottom="0" percent="0" rank="0" text="(" dxfId="241">
      <formula>LEFT(R14,LEN("("))="("</formula>
    </cfRule>
  </conditionalFormatting>
  <conditionalFormatting sqref="S9:V9">
    <cfRule type="expression" priority="231" aboveAverage="0" equalAverage="0" bottom="0" percent="0" rank="0" text="" dxfId="242">
      <formula>TIPOORCAMENTO="Proposto"</formula>
    </cfRule>
  </conditionalFormatting>
  <conditionalFormatting sqref="M14 M38:M39 M16 M30:M34 M20 M22:M28">
    <cfRule type="cellIs" priority="232" operator="notEqual" aboveAverage="0" equalAverage="0" bottom="0" percent="0" rank="0" text="" dxfId="243">
      <formula>$N14</formula>
    </cfRule>
  </conditionalFormatting>
  <conditionalFormatting sqref="N14:O14 R14 W14 R16 N38:O39 R38:R39 W38:X39 N16:O16 W16:X16 N30:O34 W30:X34 R30 W20:X20 N20:O20 R20 N22:O28 R24:R28 W22:X28">
    <cfRule type="expression" priority="233" aboveAverage="0" equalAverage="0" bottom="0" percent="0" rank="0" text="" dxfId="244">
      <formula>$C14=1</formula>
    </cfRule>
    <cfRule type="expression" priority="234" aboveAverage="0" equalAverage="0" bottom="0" percent="0" rank="0" text="" dxfId="245">
      <formula>OR($C14=0,$C14=2,$C14=3,$C14=4)</formula>
    </cfRule>
  </conditionalFormatting>
  <conditionalFormatting sqref="U14:V14 U30:V31 U38:V39 U33:U36 U16:V16 U29 U20:V20 U22:V23 U25:V27">
    <cfRule type="expression" priority="235" aboveAverage="0" equalAverage="0" bottom="0" percent="0" rank="0" text="" dxfId="246">
      <formula>$C14=1</formula>
    </cfRule>
    <cfRule type="expression" priority="236" aboveAverage="0" equalAverage="0" bottom="0" percent="0" rank="0" text="" dxfId="247">
      <formula>OR($C14=0,$C14=2,$C14=3,$C14=4)</formula>
    </cfRule>
    <cfRule type="expression" priority="237" aboveAverage="0" equalAverage="0" bottom="0" percent="0" rank="0" text="" dxfId="248">
      <formula>AND(TIPOORCAMENTO="Licitado",$C14&lt;&gt;"L",$C14&lt;&gt;-1)</formula>
    </cfRule>
  </conditionalFormatting>
  <conditionalFormatting sqref="P14:Q14 S14:T14 Y14 AG14:AH14 S32:T34 T31 S38:T39 Y38:Y39 AG38:AH39 P16:Q16 S16:T16 Y16 AG16:AH16 S30:T30 Y30:Y34 AG30:AH34 AG20:AH20 Y20 S20:T20 P20:Q20 P22:Q23 S22:T28 Y22:Y28 AG22:AH28 P27">
    <cfRule type="expression" priority="238" aboveAverage="0" equalAverage="0" bottom="0" percent="0" rank="0" text="" dxfId="249">
      <formula>$C14=1</formula>
    </cfRule>
    <cfRule type="expression" priority="239" aboveAverage="0" equalAverage="0" bottom="0" percent="0" rank="0" text="" dxfId="250">
      <formula>OR($C14=0,$C14=2,$C14=3,$C14=4)</formula>
    </cfRule>
  </conditionalFormatting>
  <conditionalFormatting sqref="AJ38:AJ40 AJ28 AJ7:AJ16 AJ30:AJ34 AJ20 AJ22:AJ23">
    <cfRule type="expression" priority="240" aboveAverage="0" equalAverage="0" bottom="0" percent="0" rank="0" text="" dxfId="251">
      <formula>OR(ACOMPANHAMENTO&lt;&gt;"BM",TIPOORCAMENTO="Licitado")</formula>
    </cfRule>
    <cfRule type="expression" priority="241" aboveAverage="0" equalAverage="0" bottom="0" percent="0" rank="0" text="" dxfId="252">
      <formula>$C7=1</formula>
    </cfRule>
    <cfRule type="expression" priority="242" aboveAverage="0" equalAverage="0" bottom="0" percent="0" rank="0" text="" dxfId="253">
      <formula>OR(AND(ISNUMBER($C7),$C7=0),$C7=2,$C7=3,$C7=4)</formula>
    </cfRule>
  </conditionalFormatting>
  <conditionalFormatting sqref="AL38:AL40 AL7:AL16 AL30:AL34 AL20 AL22:AL28">
    <cfRule type="expression" priority="243" aboveAverage="0" equalAverage="0" bottom="0" percent="0" rank="0" text="" dxfId="254">
      <formula>TIPOORCAMENTO="PROPOSTO"</formula>
    </cfRule>
    <cfRule type="expression" priority="244" aboveAverage="0" equalAverage="0" bottom="0" percent="0" rank="0" text="" dxfId="255">
      <formula>$C7=1</formula>
    </cfRule>
    <cfRule type="expression" priority="245" aboveAverage="0" equalAverage="0" bottom="0" percent="0" rank="0" text="" dxfId="256">
      <formula>OR(AND(ISNUMBER($C7),$C7=0),$C7=2,$C7=3,$C7=4)</formula>
    </cfRule>
  </conditionalFormatting>
  <conditionalFormatting sqref="AM38:AN40 AM7:AN16 AM30:AN34 AM20:AN20 AM22:AN28">
    <cfRule type="expression" priority="246" aboveAverage="0" equalAverage="0" bottom="0" percent="0" rank="0" text="" dxfId="257">
      <formula>TIPOORCAMENTO="PROPOSTO"</formula>
    </cfRule>
    <cfRule type="expression" priority="247" aboveAverage="0" equalAverage="0" bottom="0" percent="0" rank="0" text="" dxfId="258">
      <formula>$C7=1</formula>
    </cfRule>
    <cfRule type="expression" priority="248" aboveAverage="0" equalAverage="0" bottom="0" percent="0" rank="0" text="" dxfId="259">
      <formula>OR(AND(ISNUMBER($C7),$C7=0),$C7=2,$C7=3,$C7=4)</formula>
    </cfRule>
  </conditionalFormatting>
  <conditionalFormatting sqref="O8:P8">
    <cfRule type="expression" priority="249" aboveAverage="0" equalAverage="0" bottom="0" percent="0" rank="0" text="" dxfId="260">
      <formula>ISERROR(INDIRECT($F$9))</formula>
    </cfRule>
  </conditionalFormatting>
  <conditionalFormatting sqref="S7:V8">
    <cfRule type="expression" priority="250" aboveAverage="0" equalAverage="0" bottom="0" percent="0" rank="0" text="" dxfId="261">
      <formula>TIPOORCAMENTO="Proposto"</formula>
    </cfRule>
  </conditionalFormatting>
  <dataValidations count="8">
    <dataValidation allowBlank="true" error="Apenas números decimais maiores que zero." errorStyle="stop" operator="greaterThan" showDropDown="false" showErrorMessage="true" showInputMessage="false" sqref="U14 AJ14 AL14 U16:U39 AJ16:AJ39 AL16:AL39" type="decimal">
      <formula1>0</formula1>
      <formula2>0</formula2>
    </dataValidation>
    <dataValidation allowBlank="true" errorStyle="stop" operator="between" showDropDown="false" showErrorMessage="false" showInputMessage="false" sqref="P14 P16:P39" type="list">
      <formula1>"SINAPI,SINAPI-I,SICRO,Composição,Cotação"</formula1>
      <formula2>0</formula2>
    </dataValidation>
    <dataValidation allowBlank="true" error="Selecione um dos 3 BDI da lista.&#10;&#10;Caso tenha mais de 3 BDI nesta Planilha Orçamentária digite apenas valor percentual." errorStyle="warning" errorTitle="Aviso BDI" operator="between" prompt="RA: Rateio proporcional entre Repasse e Contrapartida.&#10;RP: 100% Repasse&#10;CP: 100% Contrapartida&#10;OU: 100% Outros." promptTitle="Legenda:" showDropDown="false" showErrorMessage="true" showInputMessage="true" sqref="Y14 Y16:Y39" type="list">
      <formula1>"RA,RP,CP,OU"</formula1>
      <formula2>0</formula2>
    </dataValidation>
    <dataValidation allowBlank="false" error="Selecione somente os itens da lista." errorStyle="stop" errorTitle="Erro de Entrada" operator="between" prompt="Selecione na lista o nível de itemização da Planilha." promptTitle="Nível:" showDropDown="false" showErrorMessage="true" showInputMessage="false" sqref="M14 M16:M39" type="list">
      <formula1>"Meta,Nível 2,Nível 3,Nível 4,Serviço"</formula1>
      <formula2>0</formula2>
    </dataValidation>
    <dataValidation allowBlank="true" errorStyle="stop" operator="between" prompt="A entrada de quantidades é feita na coluna AJ se acompanhamento por BM, ou na aba &quot;Memória de Cálculo/PLQ&quot; se acompanhamento por PLE." showDropDown="false" showErrorMessage="true" showInputMessage="true" sqref="T14 T16:T39" type="none">
      <formula1>0</formula1>
      <formula2>0</formula2>
    </dataValidation>
    <dataValidation allowBlank="true" errorStyle="stop" operator="between" prompt="Para Orçamento Proposto, o Preço Unitário é resultado do produto do Custo Unitário pelo BDI.&#10;Para Orçamento Licitado, deve ser preenchido na Coluna AL." showDropDown="false" showErrorMessage="true" showInputMessage="true" sqref="W14 W16:W39" type="none">
      <formula1>0</formula1>
      <formula2>0</formula2>
    </dataValidation>
    <dataValidation allowBlank="true" errorStyle="information" operator="between" prompt="Selecione uma sigla de unidade na lista suspensa." showDropDown="false" showErrorMessage="false" showInputMessage="true" sqref="S14 S16:S39" type="list">
      <formula1>ListaTgov.Unidades</formula1>
      <formula2>0</formula2>
    </dataValidation>
    <dataValidation allowBlank="true" error="Selecione um dos 3 BDI da lista.&#10;&#10;Caso tenha mais de 3 BDI nesta Planilha Orçamentária digite apenas valor percentual." errorStyle="warning" errorTitle="Aviso BDI" operator="between" showDropDown="false" showErrorMessage="true" showInputMessage="false" sqref="V14 V16:V39" type="list">
      <mc:AlternateContent xmlns:x12ac="http://schemas.microsoft.com/office/spreadsheetml/2011/1/ac" xmlns:mc="http://schemas.openxmlformats.org/markup-compatibility/2006">
        <mc:Choice Requires="x12ac">
          <x12ac:list>BDI 1, BDI 2, BDI 3," 0,00%"</x12ac:list>
        </mc:Choice>
        <mc:Fallback>
          <formula1>"BDI 1, BDI 2, BDI 3, 0,00%"</formula1>
        </mc:Fallback>
      </mc:AlternateContent>
      <formula2>0</formula2>
    </dataValidation>
  </dataValidations>
  <printOptions headings="false" gridLines="false" gridLinesSet="true" horizontalCentered="false" verticalCentered="false"/>
  <pageMargins left="0.39375" right="0.39375" top="0.393055555555556" bottom="0.39375" header="0.196527777777778" footer="0.39375"/>
  <pageSetup paperSize="9" scale="100" fitToWidth="1" fitToHeight="3" pageOrder="downThenOver" orientation="landscape" blackAndWhite="false" draft="false" cellComments="none" horizontalDpi="300" verticalDpi="300" copies="1"/>
  <headerFooter differentFirst="false" differentOddEven="false">
    <oddHeader>&amp;C&amp;14I</oddHeader>
    <oddFooter>&amp;LPMv3.10&amp;R&amp;P / &amp;N</oddFooter>
  </headerFooter>
  <rowBreaks count="1" manualBreakCount="1">
    <brk id="22" man="true" max="16383" min="0"/>
  </rowBreaks>
  <colBreaks count="1" manualBreakCount="1">
    <brk id="25" man="true" max="65535" min="0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4" name=" ">
              <controlPr defaultSize="0" locked="1" autoFill="0" autoLine="0" autoPict="0" print="true" altText="CaixaArredQuant">
                <anchor moveWithCells="true" sizeWithCells="false">
                  <from>
                    <xdr:col>3</xdr:col>
                    <xdr:colOff>9115560</xdr:colOff>
                    <xdr:row>6</xdr:row>
                    <xdr:rowOff>85680</xdr:rowOff>
                  </from>
                  <to>
                    <xdr:col>4</xdr:col>
                    <xdr:colOff>358200</xdr:colOff>
                    <xdr:row>7</xdr:row>
                    <xdr:rowOff>133200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5" name=" ">
              <controlPr defaultSize="0" locked="1" autoFill="0" autoLine="0" autoPict="0" print="true" altText="CaixaArredCustoUnit">
                <anchor moveWithCells="true" sizeWithCells="false">
                  <from>
                    <xdr:col>20</xdr:col>
                    <xdr:colOff>447480</xdr:colOff>
                    <xdr:row>9</xdr:row>
                    <xdr:rowOff>66600</xdr:rowOff>
                  </from>
                  <to>
                    <xdr:col>21</xdr:col>
                    <xdr:colOff>-152640</xdr:colOff>
                    <xdr:row>10</xdr:row>
                    <xdr:rowOff>142920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" r:id="rId6" name=" ">
              <controlPr defaultSize="0" locked="1" autoFill="0" autoLine="0" autoPict="0" print="true" altText="CaixaArredBDI">
                <anchor moveWithCells="true" sizeWithCells="false">
                  <from>
                    <xdr:col>21</xdr:col>
                    <xdr:colOff>295200</xdr:colOff>
                    <xdr:row>9</xdr:row>
                    <xdr:rowOff>66600</xdr:rowOff>
                  </from>
                  <to>
                    <xdr:col>22</xdr:col>
                    <xdr:colOff>-28440</xdr:colOff>
                    <xdr:row>10</xdr:row>
                    <xdr:rowOff>142920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" r:id="rId7" name=" ">
              <controlPr defaultSize="0" locked="1" autoFill="0" autoLine="0" autoPict="0" print="true" altText="CaixaArredPrecoUnit">
                <anchor moveWithCells="true" sizeWithCells="false">
                  <from>
                    <xdr:col>22</xdr:col>
                    <xdr:colOff>371520</xdr:colOff>
                    <xdr:row>9</xdr:row>
                    <xdr:rowOff>66600</xdr:rowOff>
                  </from>
                  <to>
                    <xdr:col>23</xdr:col>
                    <xdr:colOff>-237960</xdr:colOff>
                    <xdr:row>10</xdr:row>
                    <xdr:rowOff>142920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" r:id="rId8" name=" ">
              <controlPr defaultSize="0" locked="1" autoFill="0" autoLine="0" autoPict="0" print="true" altText="CaixaArredPrecoTotal">
                <anchor moveWithCells="true" sizeWithCells="false">
                  <from>
                    <xdr:col>23</xdr:col>
                    <xdr:colOff>447480</xdr:colOff>
                    <xdr:row>9</xdr:row>
                    <xdr:rowOff>47520</xdr:rowOff>
                  </from>
                  <to>
                    <xdr:col>24</xdr:col>
                    <xdr:colOff>-219240</xdr:colOff>
                    <xdr:row>10</xdr:row>
                    <xdr:rowOff>142920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2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pane xSplit="4" ySplit="14" topLeftCell="E15" activePane="bottomRight" state="frozen"/>
      <selection pane="topLeft" activeCell="A1" activeCellId="0" sqref="A1"/>
      <selection pane="topRight" activeCell="E1" activeCellId="0" sqref="E1"/>
      <selection pane="bottomLeft" activeCell="A15" activeCellId="0" sqref="A15"/>
      <selection pane="bottomRigh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260" width="3.57"/>
    <col collapsed="false" customWidth="true" hidden="true" outlineLevel="0" max="2" min="2" style="1" width="5.42"/>
    <col collapsed="false" customWidth="true" hidden="false" outlineLevel="0" max="3" min="3" style="1" width="12.57"/>
    <col collapsed="false" customWidth="true" hidden="false" outlineLevel="0" max="4" min="4" style="1" width="50.57"/>
    <col collapsed="false" customWidth="true" hidden="true" outlineLevel="0" max="5" min="5" style="1" width="14.57"/>
    <col collapsed="false" customWidth="true" hidden="false" outlineLevel="0" max="6" min="6" style="1" width="28.57"/>
    <col collapsed="false" customWidth="true" hidden="true" outlineLevel="0" max="7" min="7" style="1" width="14.57"/>
    <col collapsed="false" customWidth="true" hidden="false" outlineLevel="0" max="25" min="8" style="1" width="14.57"/>
    <col collapsed="false" customWidth="true" hidden="true" outlineLevel="0" max="26" min="26" style="1" width="14.57"/>
  </cols>
  <sheetData>
    <row r="1" customFormat="false" ht="12.75" hidden="true" customHeight="false" outlineLevel="0" collapsed="false">
      <c r="A1" s="260" t="str">
        <f aca="false">IF(D1="","","F")</f>
        <v/>
      </c>
      <c r="B1" s="1" t="e">
        <f aca="false">IF(OR(C1=" ",D1=""),"",CONCATENATE(C1,". ",D1))</f>
        <v>#VALUE!</v>
      </c>
      <c r="C1" s="261" t="e">
        <f aca="true" t="array" ref="C1:C1">IF(OR(ROW(C1)=ROW(EVENTOS.firstrow)+1,AND(OFFSET(C1,-1,0)&lt;&gt;" ",OFFSET(C1,-1,1)&lt;&gt;"")),OFFSET(C1,-1,0)+1," ")</f>
        <v>#VALUE!</v>
      </c>
      <c r="D1" s="262"/>
      <c r="E1" s="263" t="n">
        <f aca="true" t="array" ref="E1:E1">IF(AUTOEVENTO="Manual",ROUND(SUMPRODUCT((CÁLCULO!$M$15:$M$40=EVENTOS!$C1)*(OFFSET(CÁLCULO!$AA$15:$AA$40,0,E$13))),2),0)</f>
        <v>0</v>
      </c>
      <c r="F1" s="264" t="n">
        <f aca="true">IF(AUTOEVENTO="Manual",ROUND(SUMPRODUCT((CÁLCULO!$M$15:$M$40=EVENTOS!$C1)*(OFFSET(CÁLCULO!$AA$15,0,1):OFFSET(CÁLCULO!$AL$40,0,-1))),2),0)</f>
        <v>0</v>
      </c>
      <c r="G1" s="265" t="str">
        <f aca="false">IF(AND(D1=0,F1&gt;0),"NOME",
 IF(AND(D1&lt;&gt;0,$F$14&gt;0,F1=0),"VALOR",
 IF(AND(Import.TipoArredondamento="TransfereGOV",$A1="F",LEN(D1)&gt;100),"Nome &gt;100","")))</f>
        <v/>
      </c>
      <c r="H1" s="263" t="n">
        <f aca="true" t="array" ref="H1:H1">IF(AUTOEVENTO="Manual",ROUND(SUMPRODUCT((CÁLCULO!$M$15:$M$40=EVENTOS!$C1)*(OFFSET(CÁLCULO!$AA$15:$AA$40,0,H$13))),2),0)</f>
        <v>0</v>
      </c>
      <c r="I1" s="263" t="n">
        <f aca="true" t="array" ref="I1:I1">IF(AUTOEVENTO="Manual",ROUND(SUMPRODUCT((CÁLCULO!$M$15:$M$40=EVENTOS!$C1)*(OFFSET(CÁLCULO!$AA$15:$AA$40,0,I$13))),2),0)</f>
        <v>0</v>
      </c>
      <c r="J1" s="263" t="n">
        <f aca="true" t="array" ref="J1:J1">IF(AUTOEVENTO="Manual",ROUND(SUMPRODUCT((CÁLCULO!$M$15:$M$40=EVENTOS!$C1)*(OFFSET(CÁLCULO!$AA$15:$AA$40,0,J$13))),2),0)</f>
        <v>0</v>
      </c>
      <c r="K1" s="263" t="n">
        <f aca="true" t="array" ref="K1:K1">IF(AUTOEVENTO="Manual",ROUND(SUMPRODUCT((CÁLCULO!$M$15:$M$40=EVENTOS!$C1)*(OFFSET(CÁLCULO!$AA$15:$AA$40,0,K$13))),2),0)</f>
        <v>0</v>
      </c>
      <c r="L1" s="263" t="n">
        <f aca="true" t="array" ref="L1:L1">IF(AUTOEVENTO="Manual",ROUND(SUMPRODUCT((CÁLCULO!$M$15:$M$40=EVENTOS!$C1)*(OFFSET(CÁLCULO!$AA$15:$AA$40,0,L$13))),2),0)</f>
        <v>0</v>
      </c>
      <c r="M1" s="263" t="n">
        <f aca="true" t="array" ref="M1:M1">IF(AUTOEVENTO="Manual",ROUND(SUMPRODUCT((CÁLCULO!$M$15:$M$40=EVENTOS!$C1)*(OFFSET(CÁLCULO!$AA$15:$AA$40,0,M$13))),2),0)</f>
        <v>0</v>
      </c>
      <c r="N1" s="263" t="n">
        <f aca="true" t="array" ref="N1:N1">IF(AUTOEVENTO="Manual",ROUND(SUMPRODUCT((CÁLCULO!$M$15:$M$40=EVENTOS!$C1)*(OFFSET(CÁLCULO!$AA$15:$AA$40,0,N$13))),2),0)</f>
        <v>0</v>
      </c>
      <c r="O1" s="263" t="n">
        <f aca="true" t="array" ref="O1:O1">IF(AUTOEVENTO="Manual",ROUND(SUMPRODUCT((CÁLCULO!$M$15:$M$40=EVENTOS!$C1)*(OFFSET(CÁLCULO!$AA$15:$AA$40,0,O$13))),2),0)</f>
        <v>0</v>
      </c>
      <c r="P1" s="263" t="n">
        <f aca="true" t="array" ref="P1:P1">IF(AUTOEVENTO="Manual",ROUND(SUMPRODUCT((CÁLCULO!$M$15:$M$40=EVENTOS!$C1)*(OFFSET(CÁLCULO!$AA$15:$AA$40,0,P$13))),2),0)</f>
        <v>0</v>
      </c>
      <c r="Q1" s="263" t="n">
        <f aca="true" t="array" ref="Q1:Q1">IF(AUTOEVENTO="Manual",ROUND(SUMPRODUCT((CÁLCULO!$M$15:$M$40=EVENTOS!$C1)*(OFFSET(CÁLCULO!$AA$15:$AA$40,0,Q$13))),2),0)</f>
        <v>0</v>
      </c>
      <c r="R1" s="263" t="n">
        <f aca="true" t="array" ref="R1:R1">IF(AUTOEVENTO="Manual",ROUND(SUMPRODUCT((CÁLCULO!$M$15:$M$40=EVENTOS!$C1)*(OFFSET(CÁLCULO!$AA$15:$AA$40,0,R$13))),2),0)</f>
        <v>0</v>
      </c>
      <c r="S1" s="263" t="n">
        <f aca="true" t="array" ref="S1:S1">IF(AUTOEVENTO="Manual",ROUND(SUMPRODUCT((CÁLCULO!$M$15:$M$40=EVENTOS!$C1)*(OFFSET(CÁLCULO!$AA$15:$AA$40,0,S$13))),2),0)</f>
        <v>0</v>
      </c>
      <c r="T1" s="263" t="n">
        <f aca="true" t="array" ref="T1:T1">IF(AUTOEVENTO="Manual",ROUND(SUMPRODUCT((CÁLCULO!$M$15:$M$40=EVENTOS!$C1)*(OFFSET(CÁLCULO!$AA$15:$AA$40,0,T$13))),2),0)</f>
        <v>0</v>
      </c>
      <c r="U1" s="263" t="n">
        <f aca="true" t="array" ref="U1:U1">IF(AUTOEVENTO="Manual",ROUND(SUMPRODUCT((CÁLCULO!$M$15:$M$40=EVENTOS!$C1)*(OFFSET(CÁLCULO!$AA$15:$AA$40,0,U$13))),2),0)</f>
        <v>0</v>
      </c>
      <c r="V1" s="263" t="n">
        <f aca="true" t="array" ref="V1:V1">IF(AUTOEVENTO="Manual",ROUND(SUMPRODUCT((CÁLCULO!$M$15:$M$40=EVENTOS!$C1)*(OFFSET(CÁLCULO!$AA$15:$AA$40,0,V$13))),2),0)</f>
        <v>0</v>
      </c>
      <c r="W1" s="263" t="n">
        <f aca="true" t="array" ref="W1:W1">IF(AUTOEVENTO="Manual",ROUND(SUMPRODUCT((CÁLCULO!$M$15:$M$40=EVENTOS!$C1)*(OFFSET(CÁLCULO!$AA$15:$AA$40,0,W$13))),2),0)</f>
        <v>0</v>
      </c>
      <c r="X1" s="263" t="n">
        <f aca="true" t="array" ref="X1:X1">IF(AUTOEVENTO="Manual",ROUND(SUMPRODUCT((CÁLCULO!$M$15:$M$40=EVENTOS!$C1)*(OFFSET(CÁLCULO!$AA$15:$AA$40,0,X$13))),2),0)</f>
        <v>0</v>
      </c>
      <c r="Y1" s="263" t="n">
        <f aca="true" t="array" ref="Y1:Y1">IF(AUTOEVENTO="Manual",ROUND(SUMPRODUCT((CÁLCULO!$M$15:$M$40=EVENTOS!$C1)*(OFFSET(CÁLCULO!$AA$15:$AA$40,0,Y$13))),2),0)</f>
        <v>0</v>
      </c>
    </row>
    <row r="2" customFormat="false" ht="30" hidden="false" customHeight="true" outlineLevel="0" collapsed="false">
      <c r="F2" s="158" t="s">
        <v>798</v>
      </c>
      <c r="O2" s="266" t="s">
        <v>799</v>
      </c>
      <c r="Y2" s="266" t="s">
        <v>799</v>
      </c>
    </row>
    <row r="4" customFormat="false" ht="12.75" hidden="false" customHeight="true" outlineLevel="0" collapsed="false">
      <c r="C4" s="103" t="s">
        <v>667</v>
      </c>
      <c r="D4" s="267"/>
      <c r="E4" s="150"/>
      <c r="F4" s="268" t="s">
        <v>800</v>
      </c>
      <c r="G4" s="150"/>
      <c r="H4" s="269"/>
      <c r="I4" s="269"/>
      <c r="J4" s="269"/>
      <c r="K4" s="269"/>
      <c r="L4" s="269"/>
      <c r="N4" s="103" t="s">
        <v>665</v>
      </c>
      <c r="O4" s="270" t="s">
        <v>724</v>
      </c>
      <c r="P4" s="268" t="s">
        <v>800</v>
      </c>
      <c r="Q4" s="150"/>
      <c r="R4" s="269"/>
      <c r="S4" s="269"/>
      <c r="T4" s="269"/>
      <c r="U4" s="269"/>
      <c r="V4" s="269"/>
      <c r="X4" s="103" t="s">
        <v>665</v>
      </c>
      <c r="Y4" s="270" t="s">
        <v>724</v>
      </c>
    </row>
    <row r="5" customFormat="false" ht="12.75" hidden="false" customHeight="true" outlineLevel="0" collapsed="false">
      <c r="C5" s="271" t="str">
        <f aca="false">Import.Proponente</f>
        <v>PREFEITURA MUNICIPAL DE CAÇAPAVA DO SUL</v>
      </c>
      <c r="D5" s="272"/>
      <c r="E5" s="272"/>
      <c r="F5" s="273" t="str">
        <f aca="false">Import.Apelido</f>
        <v>EMEF INSTITUTO AUGUSTA MARIA LIMA MARQUES</v>
      </c>
      <c r="G5" s="273"/>
      <c r="H5" s="273"/>
      <c r="I5" s="273"/>
      <c r="J5" s="273"/>
      <c r="K5" s="273"/>
      <c r="L5" s="273"/>
      <c r="M5" s="273"/>
      <c r="N5" s="104" t="str">
        <f aca="false">Import.CR</f>
        <v>-</v>
      </c>
      <c r="O5" s="104" t="str">
        <f aca="false">Import.SICONV</f>
        <v>-</v>
      </c>
      <c r="P5" s="273" t="str">
        <f aca="false">Import.Apelido</f>
        <v>EMEF INSTITUTO AUGUSTA MARIA LIMA MARQUES</v>
      </c>
      <c r="Q5" s="273"/>
      <c r="R5" s="273"/>
      <c r="S5" s="273"/>
      <c r="T5" s="273"/>
      <c r="U5" s="273"/>
      <c r="V5" s="273"/>
      <c r="W5" s="273"/>
      <c r="X5" s="104" t="str">
        <f aca="false">Import.CR</f>
        <v>-</v>
      </c>
      <c r="Y5" s="104" t="str">
        <f aca="false">Import.SICONV</f>
        <v>-</v>
      </c>
      <c r="Z5" s="1" t="s">
        <v>769</v>
      </c>
    </row>
    <row r="6" customFormat="false" ht="24.75" hidden="false" customHeight="true" outlineLevel="0" collapsed="false">
      <c r="C6" s="1" t="s">
        <v>801</v>
      </c>
      <c r="F6" s="52" t="str">
        <f aca="false">IF(AUTOEVENTO="MANUAL",
  IF(COUNTIF($G$15:$G$22,"NOME")&gt;0,"Falta preencher o nome do Título do Evento nº "&amp;INDEX($C$15:$C$22,MATCH("NOME",$G$15:$G$22,0)),
  IF(COUNTIF($G$15:$G$22,"VALOR")&gt;0,"Falta atribuir serviços ao Evento nº "&amp;INDEX($C$15:$C$22,MATCH("VALOR",$G$15:$G$22,0))&amp;". Corrigir a atribuição dos eventos na aba CÁLCULO. Ou excluir linhas dos eventos não utilizados.",
  IF($F$14&lt;&gt;ORÇAMENTO!$X$15,"O valor total dos Eventos é diferente do valor total do Orçamento. Corrigir a atribuição dos eventos na aba CÁLCULO",
  IF(COUNTIF($G$15:$G$22,"Nome &gt;100")&gt;0,"O tamanho do Título do Evento no TransfereGOV é limitado a 100 caracteres. Resuma o nome do Título do Evento nº "&amp;INDEX($C$15:$C$22,MATCH("Nome &gt;100",$G$15:$G$22,0)),"")))),"")</f>
        <v/>
      </c>
    </row>
    <row r="7" customFormat="false" ht="3.75" hidden="false" customHeight="true" outlineLevel="0" collapsed="false"/>
    <row r="8" customFormat="false" ht="16.5" hidden="false" customHeight="false" outlineLevel="0" collapsed="false">
      <c r="C8" s="274" t="s">
        <v>802</v>
      </c>
      <c r="D8" s="274"/>
      <c r="F8" s="52" t="str">
        <f aca="false" t="array" ref="F8:F8">IF(ACOMPANHAMENTO="BM","",
 IF(Import.Eventos.Nível="","◄ Selecione a forma de definição dos agrupadores de eventos",
 IF(Import.Eventos.Nível="","◄ Selecione a forma de definição dos agrupadores de eventos","")))</f>
        <v/>
      </c>
    </row>
    <row r="9" customFormat="false" ht="12" hidden="false" customHeight="true" outlineLevel="0" collapsed="false"/>
    <row r="10" customFormat="false" ht="33.75" hidden="false" customHeight="true" outlineLevel="0" collapsed="false">
      <c r="C10" s="275" t="n">
        <f aca="false">COUNTIF($C$15:$C$22,"&gt;0")-1</f>
        <v>0</v>
      </c>
      <c r="D10" s="1" t="s">
        <v>769</v>
      </c>
      <c r="E10" s="276" t="n">
        <f aca="true">OFFSET(CÁLCULO!$P$12,0,EVENTOS!E$13)</f>
        <v>0</v>
      </c>
      <c r="F10" s="1" t="s">
        <v>769</v>
      </c>
      <c r="G10" s="277"/>
      <c r="H10" s="276" t="n">
        <f aca="true">OFFSET(CÁLCULO!$P$12,0,EVENTOS!H$13)</f>
        <v>0</v>
      </c>
      <c r="I10" s="276" t="str">
        <f aca="true">OFFSET(CÁLCULO!$P$12,0,EVENTOS!I$13)</f>
        <v>.</v>
      </c>
      <c r="J10" s="276" t="str">
        <f aca="true">OFFSET(CÁLCULO!$P$12,0,EVENTOS!J$13)</f>
        <v>.</v>
      </c>
      <c r="K10" s="277" t="str">
        <f aca="true">OFFSET(CÁLCULO!$P$12,0,EVENTOS!K$13)</f>
        <v>.</v>
      </c>
      <c r="L10" s="277" t="str">
        <f aca="true">OFFSET(CÁLCULO!$P$12,0,EVENTOS!L$13)</f>
        <v>.</v>
      </c>
      <c r="M10" s="277" t="str">
        <f aca="true">OFFSET(CÁLCULO!$P$12,0,EVENTOS!M$13)</f>
        <v>.</v>
      </c>
      <c r="N10" s="277" t="str">
        <f aca="true">OFFSET(CÁLCULO!$P$12,0,EVENTOS!N$13)</f>
        <v>.</v>
      </c>
      <c r="O10" s="277" t="str">
        <f aca="true">OFFSET(CÁLCULO!$P$12,0,EVENTOS!O$13)</f>
        <v>.</v>
      </c>
      <c r="P10" s="277" t="str">
        <f aca="true">OFFSET(CÁLCULO!$P$12,0,EVENTOS!P$13)</f>
        <v>.</v>
      </c>
      <c r="Q10" s="277" t="str">
        <f aca="true">OFFSET(CÁLCULO!$P$12,0,EVENTOS!Q$13)</f>
        <v>.</v>
      </c>
      <c r="R10" s="277" t="str">
        <f aca="true">OFFSET(CÁLCULO!$P$12,0,EVENTOS!R$13)</f>
        <v>.</v>
      </c>
      <c r="S10" s="277" t="str">
        <f aca="true">OFFSET(CÁLCULO!$P$12,0,EVENTOS!S$13)</f>
        <v>.</v>
      </c>
      <c r="T10" s="277" t="str">
        <f aca="true">OFFSET(CÁLCULO!$P$12,0,EVENTOS!T$13)</f>
        <v>.</v>
      </c>
      <c r="U10" s="277" t="str">
        <f aca="true">OFFSET(CÁLCULO!$P$12,0,EVENTOS!U$13)</f>
        <v>.</v>
      </c>
      <c r="V10" s="277" t="str">
        <f aca="true">OFFSET(CÁLCULO!$P$12,0,EVENTOS!V$13)</f>
        <v>.</v>
      </c>
      <c r="W10" s="277" t="str">
        <f aca="true">OFFSET(CÁLCULO!$P$12,0,EVENTOS!W$13)</f>
        <v>.</v>
      </c>
      <c r="X10" s="277" t="str">
        <f aca="true">OFFSET(CÁLCULO!$P$12,0,EVENTOS!X$13)</f>
        <v>.</v>
      </c>
      <c r="Y10" s="277" t="str">
        <f aca="true">OFFSET(CÁLCULO!$P$12,0,EVENTOS!Y$13)</f>
        <v>.</v>
      </c>
    </row>
    <row r="11" customFormat="false" ht="34.5" hidden="false" customHeight="true" outlineLevel="0" collapsed="false">
      <c r="A11" s="278" t="s">
        <v>670</v>
      </c>
      <c r="C11" s="279" t="str">
        <f aca="false" t="array" ref="C11:C11">IF(ACOMPANHAMENTO="BM","Foi selecionado na aba 'MENU' o acompanhamento por BM. Não há necessidade de definição de Eventos.",IF(AND(Import.Eventos.Nível&lt;&gt;"Definir Manualmente",Import.Eventos.Nível&lt;&gt;""),"Foi selecionada a forma automática de definição dos agrupadores de eventos.",""))</f>
        <v>Foi selecionado na aba 'MENU' o acompanhamento por BM. Não há necessidade de definição de Eventos.</v>
      </c>
      <c r="D11" s="279"/>
      <c r="E11" s="276"/>
      <c r="F11" s="280"/>
      <c r="G11" s="277"/>
      <c r="H11" s="276"/>
      <c r="I11" s="276"/>
      <c r="J11" s="276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</row>
    <row r="12" customFormat="false" ht="12" hidden="false" customHeight="true" outlineLevel="0" collapsed="false">
      <c r="A12" s="281" t="s">
        <v>675</v>
      </c>
      <c r="E12" s="276"/>
      <c r="G12" s="277"/>
      <c r="H12" s="276"/>
      <c r="I12" s="276"/>
      <c r="J12" s="276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</row>
    <row r="13" customFormat="false" ht="15" hidden="false" customHeight="false" outlineLevel="0" collapsed="false">
      <c r="A13" s="282"/>
      <c r="C13" s="283" t="s">
        <v>803</v>
      </c>
      <c r="D13" s="284" t="s">
        <v>804</v>
      </c>
      <c r="E13" s="285" t="n">
        <f aca="true">IF(NOT(ISNUMBER(OFFSET(E13,0,-1))),1,IF(OR(OFFSET(E13,0,-1)=0,OFFSET(E13,0,-1)+1&gt;CÁLCULO.FrentesPreenchidas),0,OFFSET(E13,0,-1)+1))</f>
        <v>1</v>
      </c>
      <c r="F13" s="286" t="s">
        <v>805</v>
      </c>
      <c r="G13" s="287"/>
      <c r="H13" s="285" t="n">
        <f aca="true">IF(NOT(ISNUMBER(OFFSET(H13,0,-1))),1,IF(OR(OFFSET(H13,0,-1)=0,OFFSET(H13,0,-1)+1&gt;CÁLCULO.FrentesPreenchidas),0,OFFSET(H13,0,-1)+1))</f>
        <v>1</v>
      </c>
      <c r="I13" s="285" t="n">
        <f aca="true">IF(NOT(ISNUMBER(OFFSET(I13,0,-1))),1,IF(OR(OFFSET(I13,0,-1)=0,OFFSET(I13,0,-1)+1&gt;CÁLCULO.FrentesPreenchidas),0,OFFSET(I13,0,-1)+1))</f>
        <v>0</v>
      </c>
      <c r="J13" s="285" t="n">
        <f aca="true">IF(NOT(ISNUMBER(OFFSET(J13,0,-1))),1,IF(OR(OFFSET(J13,0,-1)=0,OFFSET(J13,0,-1)+1&gt;CÁLCULO.FrentesPreenchidas),0,OFFSET(J13,0,-1)+1))</f>
        <v>0</v>
      </c>
      <c r="K13" s="285" t="n">
        <f aca="true">IF(NOT(ISNUMBER(OFFSET(K13,0,-1))),1,IF(OR(OFFSET(K13,0,-1)=0,OFFSET(K13,0,-1)+1&gt;CÁLCULO.FrentesPreenchidas),0,OFFSET(K13,0,-1)+1))</f>
        <v>0</v>
      </c>
      <c r="L13" s="285" t="n">
        <f aca="true">IF(NOT(ISNUMBER(OFFSET(L13,0,-1))),1,IF(OR(OFFSET(L13,0,-1)=0,OFFSET(L13,0,-1)+1&gt;CÁLCULO.FrentesPreenchidas),0,OFFSET(L13,0,-1)+1))</f>
        <v>0</v>
      </c>
      <c r="M13" s="285" t="n">
        <f aca="true">IF(NOT(ISNUMBER(OFFSET(M13,0,-1))),1,IF(OR(OFFSET(M13,0,-1)=0,OFFSET(M13,0,-1)+1&gt;CÁLCULO.FrentesPreenchidas),0,OFFSET(M13,0,-1)+1))</f>
        <v>0</v>
      </c>
      <c r="N13" s="285" t="n">
        <f aca="true">IF(NOT(ISNUMBER(OFFSET(N13,0,-1))),1,IF(OR(OFFSET(N13,0,-1)=0,OFFSET(N13,0,-1)+1&gt;CÁLCULO.FrentesPreenchidas),0,OFFSET(N13,0,-1)+1))</f>
        <v>0</v>
      </c>
      <c r="O13" s="285" t="n">
        <f aca="true">IF(NOT(ISNUMBER(OFFSET(O13,0,-1))),1,IF(OR(OFFSET(O13,0,-1)=0,OFFSET(O13,0,-1)+1&gt;CÁLCULO.FrentesPreenchidas),0,OFFSET(O13,0,-1)+1))</f>
        <v>0</v>
      </c>
      <c r="P13" s="285" t="n">
        <f aca="true">IF(NOT(ISNUMBER(OFFSET(P13,0,-1))),1,IF(OR(OFFSET(P13,0,-1)=0,OFFSET(P13,0,-1)+1&gt;CÁLCULO.FrentesPreenchidas),0,OFFSET(P13,0,-1)+1))</f>
        <v>0</v>
      </c>
      <c r="Q13" s="285" t="n">
        <f aca="true">IF(NOT(ISNUMBER(OFFSET(Q13,0,-1))),1,IF(OR(OFFSET(Q13,0,-1)=0,OFFSET(Q13,0,-1)+1&gt;CÁLCULO.FrentesPreenchidas),0,OFFSET(Q13,0,-1)+1))</f>
        <v>0</v>
      </c>
      <c r="R13" s="285" t="n">
        <f aca="true">IF(NOT(ISNUMBER(OFFSET(R13,0,-1))),1,IF(OR(OFFSET(R13,0,-1)=0,OFFSET(R13,0,-1)+1&gt;CÁLCULO.FrentesPreenchidas),0,OFFSET(R13,0,-1)+1))</f>
        <v>0</v>
      </c>
      <c r="S13" s="285" t="n">
        <f aca="true">IF(NOT(ISNUMBER(OFFSET(S13,0,-1))),1,IF(OR(OFFSET(S13,0,-1)=0,OFFSET(S13,0,-1)+1&gt;CÁLCULO.FrentesPreenchidas),0,OFFSET(S13,0,-1)+1))</f>
        <v>0</v>
      </c>
      <c r="T13" s="285" t="n">
        <f aca="true">IF(NOT(ISNUMBER(OFFSET(T13,0,-1))),1,IF(OR(OFFSET(T13,0,-1)=0,OFFSET(T13,0,-1)+1&gt;CÁLCULO.FrentesPreenchidas),0,OFFSET(T13,0,-1)+1))</f>
        <v>0</v>
      </c>
      <c r="U13" s="285" t="n">
        <f aca="true">IF(NOT(ISNUMBER(OFFSET(U13,0,-1))),1,IF(OR(OFFSET(U13,0,-1)=0,OFFSET(U13,0,-1)+1&gt;CÁLCULO.FrentesPreenchidas),0,OFFSET(U13,0,-1)+1))</f>
        <v>0</v>
      </c>
      <c r="V13" s="285" t="n">
        <f aca="true">IF(NOT(ISNUMBER(OFFSET(V13,0,-1))),1,IF(OR(OFFSET(V13,0,-1)=0,OFFSET(V13,0,-1)+1&gt;CÁLCULO.FrentesPreenchidas),0,OFFSET(V13,0,-1)+1))</f>
        <v>0</v>
      </c>
      <c r="W13" s="285" t="n">
        <f aca="true">IF(NOT(ISNUMBER(OFFSET(W13,0,-1))),1,IF(OR(OFFSET(W13,0,-1)=0,OFFSET(W13,0,-1)+1&gt;CÁLCULO.FrentesPreenchidas),0,OFFSET(W13,0,-1)+1))</f>
        <v>0</v>
      </c>
      <c r="X13" s="285" t="n">
        <f aca="true">IF(NOT(ISNUMBER(OFFSET(X13,0,-1))),1,IF(OR(OFFSET(X13,0,-1)=0,OFFSET(X13,0,-1)+1&gt;CÁLCULO.FrentesPreenchidas),0,OFFSET(X13,0,-1)+1))</f>
        <v>0</v>
      </c>
      <c r="Y13" s="285" t="n">
        <f aca="true">IF(NOT(ISNUMBER(OFFSET(Y13,0,-1))),1,IF(OR(OFFSET(Y13,0,-1)=0,OFFSET(Y13,0,-1)+1&gt;CÁLCULO.FrentesPreenchidas),0,OFFSET(Y13,0,-1)+1))</f>
        <v>0</v>
      </c>
    </row>
    <row r="14" customFormat="false" ht="15" hidden="false" customHeight="true" outlineLevel="0" collapsed="false">
      <c r="A14" s="260" t="s">
        <v>551</v>
      </c>
      <c r="C14" s="288"/>
      <c r="D14" s="289" t="s">
        <v>806</v>
      </c>
      <c r="E14" s="290" t="n">
        <f aca="false">SUM(E$15:E$22)</f>
        <v>0</v>
      </c>
      <c r="F14" s="291" t="n">
        <f aca="false">SUM(F$15:F$22)</f>
        <v>0</v>
      </c>
      <c r="H14" s="290" t="n">
        <f aca="false">SUM(H$15:H$22)</f>
        <v>0</v>
      </c>
      <c r="I14" s="290" t="n">
        <f aca="false">SUM(I$15:I$22)</f>
        <v>0</v>
      </c>
      <c r="J14" s="290" t="n">
        <f aca="false">SUM(J$15:J$22)</f>
        <v>0</v>
      </c>
      <c r="K14" s="290" t="n">
        <f aca="false">SUM(K$15:K$22)</f>
        <v>0</v>
      </c>
      <c r="L14" s="290" t="n">
        <f aca="false">SUM(L$15:L$22)</f>
        <v>0</v>
      </c>
      <c r="M14" s="290" t="n">
        <f aca="false">SUM(M$15:M$22)</f>
        <v>0</v>
      </c>
      <c r="N14" s="290" t="n">
        <f aca="false">SUM(N$15:N$22)</f>
        <v>0</v>
      </c>
      <c r="O14" s="290" t="n">
        <f aca="false">SUM(O$15:O$22)</f>
        <v>0</v>
      </c>
      <c r="P14" s="290" t="n">
        <f aca="false">SUM(P$15:P$22)</f>
        <v>0</v>
      </c>
      <c r="Q14" s="290" t="n">
        <f aca="false">SUM(Q$15:Q$22)</f>
        <v>0</v>
      </c>
      <c r="R14" s="290" t="n">
        <f aca="false">SUM(R$15:R$22)</f>
        <v>0</v>
      </c>
      <c r="S14" s="290" t="n">
        <f aca="false">SUM(S$15:S$22)</f>
        <v>0</v>
      </c>
      <c r="T14" s="290" t="n">
        <f aca="false">SUM(T$15:T$22)</f>
        <v>0</v>
      </c>
      <c r="U14" s="290" t="n">
        <f aca="false">SUM(U$15:U$22)</f>
        <v>0</v>
      </c>
      <c r="V14" s="290" t="n">
        <f aca="false">SUM(V$15:V$22)</f>
        <v>0</v>
      </c>
      <c r="W14" s="290" t="n">
        <f aca="false">SUM(W$15:W$22)</f>
        <v>0</v>
      </c>
      <c r="X14" s="290" t="n">
        <f aca="false">SUM(X$15:X$22)</f>
        <v>0</v>
      </c>
      <c r="Y14" s="290" t="n">
        <f aca="false">SUM(Y$15:Y$22)</f>
        <v>0</v>
      </c>
    </row>
    <row r="15" customFormat="false" ht="12.75" hidden="false" customHeight="false" outlineLevel="0" collapsed="false">
      <c r="A15" s="260" t="str">
        <f aca="false">IF(D15="","","F")</f>
        <v/>
      </c>
      <c r="B15" s="1" t="str">
        <f aca="false">IF(OR(C15=" ",D15=""),"",CONCATENATE(C15,". ",D15))</f>
        <v/>
      </c>
      <c r="C15" s="292" t="n">
        <f aca="false" t="array" ref="C15:C15">IF(AdmLocal="Automática",1,0)</f>
        <v>0</v>
      </c>
      <c r="D15" s="293" t="str">
        <f aca="false">IF(C15=1,"Administração Local","")</f>
        <v/>
      </c>
      <c r="E15" s="294" t="n">
        <f aca="true">IF($F$15=0,0,IF(E13=1,$F$15-SUM($I$15:$Z$15),ROUND(SUM(OFFSET(E15,1,0):OFFSET(E$22,-1,0))/SUM(OFFSET($F15,1,0):OFFSET($F$22,-1,0))*$F$15,2)))</f>
        <v>0</v>
      </c>
      <c r="F15" s="295" t="n">
        <f aca="false" t="array" ref="F15:F15">IF($C$15=0,0,ROUND(SUMPRODUCT((CÁLCULO!$M$15:$M$40=EVENTOS!$C15)*(ORÇAMENTO!$X$15:$X$40)),2))</f>
        <v>0</v>
      </c>
      <c r="G15" s="296"/>
      <c r="H15" s="294" t="n">
        <f aca="true">IF($F$15=0,0,IF(H13=1,$F$15-SUM($I$15:$Z$15),ROUND(SUM(OFFSET(H15,1,0):OFFSET(H$22,-1,0))/SUM(OFFSET($F15,1,0):OFFSET($F$22,-1,0))*$F$15,2)))</f>
        <v>0</v>
      </c>
      <c r="I15" s="294" t="n">
        <f aca="true">IF($F$15=0,0,IF(I13=1,$F$15-SUM($I$15:$Z$15),ROUND(SUM(OFFSET(I15,1,0):OFFSET(I$22,-1,0))/SUM(OFFSET($F15,1,0):OFFSET($F$22,-1,0))*$F$15,2)))</f>
        <v>0</v>
      </c>
      <c r="J15" s="294" t="n">
        <f aca="true">IF($F$15=0,0,IF(J13=1,$F$15-SUM($I$15:$Z$15),ROUND(SUM(OFFSET(J15,1,0):OFFSET(J$22,-1,0))/SUM(OFFSET($F15,1,0):OFFSET($F$22,-1,0))*$F$15,2)))</f>
        <v>0</v>
      </c>
      <c r="K15" s="294" t="n">
        <f aca="true">IF($F$15=0,0,IF(K13=1,$F$15-SUM($I$15:$Z$15),ROUND(SUM(OFFSET(K15,1,0):OFFSET(K$22,-1,0))/SUM(OFFSET($F15,1,0):OFFSET($F$22,-1,0))*$F$15,2)))</f>
        <v>0</v>
      </c>
      <c r="L15" s="294" t="n">
        <f aca="true">IF($F$15=0,0,IF(L13=1,$F$15-SUM($I$15:$Z$15),ROUND(SUM(OFFSET(L15,1,0):OFFSET(L$22,-1,0))/SUM(OFFSET($F15,1,0):OFFSET($F$22,-1,0))*$F$15,2)))</f>
        <v>0</v>
      </c>
      <c r="M15" s="294" t="n">
        <f aca="true">IF($F$15=0,0,IF(M13=1,$F$15-SUM($I$15:$Z$15),ROUND(SUM(OFFSET(M15,1,0):OFFSET(M$22,-1,0))/SUM(OFFSET($F15,1,0):OFFSET($F$22,-1,0))*$F$15,2)))</f>
        <v>0</v>
      </c>
      <c r="N15" s="294" t="n">
        <f aca="true">IF($F$15=0,0,IF(N13=1,$F$15-SUM($I$15:$Z$15),ROUND(SUM(OFFSET(N15,1,0):OFFSET(N$22,-1,0))/SUM(OFFSET($F15,1,0):OFFSET($F$22,-1,0))*$F$15,2)))</f>
        <v>0</v>
      </c>
      <c r="O15" s="294" t="n">
        <f aca="true">IF($F$15=0,0,IF(O13=1,$F$15-SUM($I$15:$Z$15),ROUND(SUM(OFFSET(O15,1,0):OFFSET(O$22,-1,0))/SUM(OFFSET($F15,1,0):OFFSET($F$22,-1,0))*$F$15,2)))</f>
        <v>0</v>
      </c>
      <c r="P15" s="294" t="n">
        <f aca="true">IF($F$15=0,0,IF(P13=1,$F$15-SUM($I$15:$Z$15),ROUND(SUM(OFFSET(P15,1,0):OFFSET(P$22,-1,0))/SUM(OFFSET($F15,1,0):OFFSET($F$22,-1,0))*$F$15,2)))</f>
        <v>0</v>
      </c>
      <c r="Q15" s="294" t="n">
        <f aca="true">IF($F$15=0,0,IF(Q13=1,$F$15-SUM($I$15:$Z$15),ROUND(SUM(OFFSET(Q15,1,0):OFFSET(Q$22,-1,0))/SUM(OFFSET($F15,1,0):OFFSET($F$22,-1,0))*$F$15,2)))</f>
        <v>0</v>
      </c>
      <c r="R15" s="294" t="n">
        <f aca="true">IF($F$15=0,0,IF(R13=1,$F$15-SUM($I$15:$Z$15),ROUND(SUM(OFFSET(R15,1,0):OFFSET(R$22,-1,0))/SUM(OFFSET($F15,1,0):OFFSET($F$22,-1,0))*$F$15,2)))</f>
        <v>0</v>
      </c>
      <c r="S15" s="294" t="n">
        <f aca="true">IF($F$15=0,0,IF(S13=1,$F$15-SUM($I$15:$Z$15),ROUND(SUM(OFFSET(S15,1,0):OFFSET(S$22,-1,0))/SUM(OFFSET($F15,1,0):OFFSET($F$22,-1,0))*$F$15,2)))</f>
        <v>0</v>
      </c>
      <c r="T15" s="294" t="n">
        <f aca="true">IF($F$15=0,0,IF(T13=1,$F$15-SUM($I$15:$Z$15),ROUND(SUM(OFFSET(T15,1,0):OFFSET(T$22,-1,0))/SUM(OFFSET($F15,1,0):OFFSET($F$22,-1,0))*$F$15,2)))</f>
        <v>0</v>
      </c>
      <c r="U15" s="294" t="n">
        <f aca="true">IF($F$15=0,0,IF(U13=1,$F$15-SUM($I$15:$Z$15),ROUND(SUM(OFFSET(U15,1,0):OFFSET(U$22,-1,0))/SUM(OFFSET($F15,1,0):OFFSET($F$22,-1,0))*$F$15,2)))</f>
        <v>0</v>
      </c>
      <c r="V15" s="294" t="n">
        <f aca="true">IF($F$15=0,0,IF(V13=1,$F$15-SUM($I$15:$Z$15),ROUND(SUM(OFFSET(V15,1,0):OFFSET(V$22,-1,0))/SUM(OFFSET($F15,1,0):OFFSET($F$22,-1,0))*$F$15,2)))</f>
        <v>0</v>
      </c>
      <c r="W15" s="294" t="n">
        <f aca="true">IF($F$15=0,0,IF(W13=1,$F$15-SUM($I$15:$Z$15),ROUND(SUM(OFFSET(W15,1,0):OFFSET(W$22,-1,0))/SUM(OFFSET($F15,1,0):OFFSET($F$22,-1,0))*$F$15,2)))</f>
        <v>0</v>
      </c>
      <c r="X15" s="294" t="n">
        <f aca="true">IF($F$15=0,0,IF(X13=1,$F$15-SUM($I$15:$Z$15),ROUND(SUM(OFFSET(X15,1,0):OFFSET(X$22,-1,0))/SUM(OFFSET($F15,1,0):OFFSET($F$22,-1,0))*$F$15,2)))</f>
        <v>0</v>
      </c>
      <c r="Y15" s="294" t="n">
        <f aca="true">IF($F$15=0,0,IF(Y13=1,$F$15-SUM($I$15:$Z$15),ROUND(SUM(OFFSET(Y15,1,0):OFFSET(Y$22,-1,0))/SUM(OFFSET($F15,1,0):OFFSET($F$22,-1,0))*$F$15,2)))</f>
        <v>0</v>
      </c>
    </row>
    <row r="16" s="1" customFormat="true" ht="12.75" hidden="false" customHeight="false" outlineLevel="0" collapsed="false">
      <c r="A16" s="260" t="n">
        <f aca="false">IF(D16="","","F")</f>
        <v>0</v>
      </c>
      <c r="B16" s="1" t="str">
        <f aca="false">IF(OR(C16=" ",D16=""),"",CONCATENATE(C16,". ",D16))</f>
        <v/>
      </c>
      <c r="C16" s="261" t="n">
        <f aca="true" t="array" ref="C16:C16">IF(OR(ROW(C16)=ROW(EVENTOS.firstrow)+1,AND(OFFSET(C16,-1,0)&lt;&gt;" ",OFFSET(C16,-1,1)&lt;&gt;"")),OFFSET(C16,-1,0)+1," ")</f>
        <v>1</v>
      </c>
      <c r="D16" s="262"/>
      <c r="E16" s="263" t="n">
        <f aca="true" t="array" ref="E16:E16">IF(AUTOEVENTO="Manual",ROUND(SUMPRODUCT((CÁLCULO!$M$15:$M$40=EVENTOS!$C16)*(OFFSET(CÁLCULO!$AA$15:$AA$40,0,E$13))),2),0)</f>
        <v>0</v>
      </c>
      <c r="F16" s="264" t="n">
        <f aca="true">IF(AUTOEVENTO="Manual",ROUND(SUMPRODUCT((CÁLCULO!$M$15:$M$40=EVENTOS!$C16)*(OFFSET(CÁLCULO!$AA$15,0,1):OFFSET(CÁLCULO!$AL$40,0,-1))),2),0)</f>
        <v>0</v>
      </c>
      <c r="G16" s="265" t="str">
        <f aca="false">IF(AND(D16=0,F16&gt;0),"NOME",
 IF(AND(D16&lt;&gt;0,$F$14&gt;0,F16=0),"VALOR",
 IF(AND(Import.TipoArredondamento="TransfereGOV",$A16="F",LEN(D16)&gt;100),"Nome &gt;100","")))</f>
        <v/>
      </c>
      <c r="H16" s="263" t="n">
        <f aca="true" t="array" ref="H16:H16">IF(AUTOEVENTO="Manual",ROUND(SUMPRODUCT((CÁLCULO!$M$15:$M$40=EVENTOS!$C16)*(OFFSET(CÁLCULO!$AA$15:$AA$40,0,H$13))),2),0)</f>
        <v>0</v>
      </c>
      <c r="I16" s="263" t="n">
        <f aca="true" t="array" ref="I16:I16">IF(AUTOEVENTO="Manual",ROUND(SUMPRODUCT((CÁLCULO!$M$15:$M$40=EVENTOS!$C16)*(OFFSET(CÁLCULO!$AA$15:$AA$40,0,I$13))),2),0)</f>
        <v>0</v>
      </c>
      <c r="J16" s="263" t="n">
        <f aca="true" t="array" ref="J16:J16">IF(AUTOEVENTO="Manual",ROUND(SUMPRODUCT((CÁLCULO!$M$15:$M$40=EVENTOS!$C16)*(OFFSET(CÁLCULO!$AA$15:$AA$40,0,J$13))),2),0)</f>
        <v>0</v>
      </c>
      <c r="K16" s="263" t="n">
        <f aca="true" t="array" ref="K16:K16">IF(AUTOEVENTO="Manual",ROUND(SUMPRODUCT((CÁLCULO!$M$15:$M$40=EVENTOS!$C16)*(OFFSET(CÁLCULO!$AA$15:$AA$40,0,K$13))),2),0)</f>
        <v>0</v>
      </c>
      <c r="L16" s="263" t="n">
        <f aca="true" t="array" ref="L16:L16">IF(AUTOEVENTO="Manual",ROUND(SUMPRODUCT((CÁLCULO!$M$15:$M$40=EVENTOS!$C16)*(OFFSET(CÁLCULO!$AA$15:$AA$40,0,L$13))),2),0)</f>
        <v>0</v>
      </c>
      <c r="M16" s="263" t="n">
        <f aca="true" t="array" ref="M16:M16">IF(AUTOEVENTO="Manual",ROUND(SUMPRODUCT((CÁLCULO!$M$15:$M$40=EVENTOS!$C16)*(OFFSET(CÁLCULO!$AA$15:$AA$40,0,M$13))),2),0)</f>
        <v>0</v>
      </c>
      <c r="N16" s="263" t="n">
        <f aca="true" t="array" ref="N16:N16">IF(AUTOEVENTO="Manual",ROUND(SUMPRODUCT((CÁLCULO!$M$15:$M$40=EVENTOS!$C16)*(OFFSET(CÁLCULO!$AA$15:$AA$40,0,N$13))),2),0)</f>
        <v>0</v>
      </c>
      <c r="O16" s="263" t="n">
        <f aca="true" t="array" ref="O16:O16">IF(AUTOEVENTO="Manual",ROUND(SUMPRODUCT((CÁLCULO!$M$15:$M$40=EVENTOS!$C16)*(OFFSET(CÁLCULO!$AA$15:$AA$40,0,O$13))),2),0)</f>
        <v>0</v>
      </c>
      <c r="P16" s="263" t="n">
        <f aca="true" t="array" ref="P16:P16">IF(AUTOEVENTO="Manual",ROUND(SUMPRODUCT((CÁLCULO!$M$15:$M$40=EVENTOS!$C16)*(OFFSET(CÁLCULO!$AA$15:$AA$40,0,P$13))),2),0)</f>
        <v>0</v>
      </c>
      <c r="Q16" s="263" t="n">
        <f aca="true" t="array" ref="Q16:Q16">IF(AUTOEVENTO="Manual",ROUND(SUMPRODUCT((CÁLCULO!$M$15:$M$40=EVENTOS!$C16)*(OFFSET(CÁLCULO!$AA$15:$AA$40,0,Q$13))),2),0)</f>
        <v>0</v>
      </c>
      <c r="R16" s="263" t="n">
        <f aca="true" t="array" ref="R16:R16">IF(AUTOEVENTO="Manual",ROUND(SUMPRODUCT((CÁLCULO!$M$15:$M$40=EVENTOS!$C16)*(OFFSET(CÁLCULO!$AA$15:$AA$40,0,R$13))),2),0)</f>
        <v>0</v>
      </c>
      <c r="S16" s="263" t="n">
        <f aca="true" t="array" ref="S16:S16">IF(AUTOEVENTO="Manual",ROUND(SUMPRODUCT((CÁLCULO!$M$15:$M$40=EVENTOS!$C16)*(OFFSET(CÁLCULO!$AA$15:$AA$40,0,S$13))),2),0)</f>
        <v>0</v>
      </c>
      <c r="T16" s="263" t="n">
        <f aca="true" t="array" ref="T16:T16">IF(AUTOEVENTO="Manual",ROUND(SUMPRODUCT((CÁLCULO!$M$15:$M$40=EVENTOS!$C16)*(OFFSET(CÁLCULO!$AA$15:$AA$40,0,T$13))),2),0)</f>
        <v>0</v>
      </c>
      <c r="U16" s="263" t="n">
        <f aca="true" t="array" ref="U16:U16">IF(AUTOEVENTO="Manual",ROUND(SUMPRODUCT((CÁLCULO!$M$15:$M$40=EVENTOS!$C16)*(OFFSET(CÁLCULO!$AA$15:$AA$40,0,U$13))),2),0)</f>
        <v>0</v>
      </c>
      <c r="V16" s="263" t="n">
        <f aca="true" t="array" ref="V16:V16">IF(AUTOEVENTO="Manual",ROUND(SUMPRODUCT((CÁLCULO!$M$15:$M$40=EVENTOS!$C16)*(OFFSET(CÁLCULO!$AA$15:$AA$40,0,V$13))),2),0)</f>
        <v>0</v>
      </c>
      <c r="W16" s="263" t="n">
        <f aca="true" t="array" ref="W16:W16">IF(AUTOEVENTO="Manual",ROUND(SUMPRODUCT((CÁLCULO!$M$15:$M$40=EVENTOS!$C16)*(OFFSET(CÁLCULO!$AA$15:$AA$40,0,W$13))),2),0)</f>
        <v>0</v>
      </c>
      <c r="X16" s="263" t="n">
        <f aca="true" t="array" ref="X16:X16">IF(AUTOEVENTO="Manual",ROUND(SUMPRODUCT((CÁLCULO!$M$15:$M$40=EVENTOS!$C16)*(OFFSET(CÁLCULO!$AA$15:$AA$40,0,X$13))),2),0)</f>
        <v>0</v>
      </c>
      <c r="Y16" s="263" t="n">
        <f aca="true" t="array" ref="Y16:Y16">IF(AUTOEVENTO="Manual",ROUND(SUMPRODUCT((CÁLCULO!$M$15:$M$40=EVENTOS!$C16)*(OFFSET(CÁLCULO!$AA$15:$AA$40,0,Y$13))),2),0)</f>
        <v>0</v>
      </c>
    </row>
    <row r="17" s="1" customFormat="true" ht="12.75" hidden="false" customHeight="false" outlineLevel="0" collapsed="false">
      <c r="A17" s="260" t="n">
        <f aca="false">IF(D17="","","F")</f>
        <v>0</v>
      </c>
      <c r="B17" s="1" t="str">
        <f aca="false">IF(OR(C17=" ",D17=""),"",CONCATENATE(C17,". ",D17))</f>
        <v/>
      </c>
      <c r="C17" s="261" t="str">
        <f aca="true" t="array" ref="C17:C17">IF(OR(ROW(C17)=ROW(EVENTOS.firstrow)+1,AND(OFFSET(C17,-1,0)&lt;&gt;" ",OFFSET(C17,-1,1)&lt;&gt;"")),OFFSET(C17,-1,0)+1," ")</f>
        <v> </v>
      </c>
      <c r="D17" s="262"/>
      <c r="E17" s="263" t="n">
        <f aca="true" t="array" ref="E17:E17">IF(AUTOEVENTO="Manual",ROUND(SUMPRODUCT((CÁLCULO!$M$15:$M$40=EVENTOS!$C17)*(OFFSET(CÁLCULO!$AA$15:$AA$40,0,E$13))),2),0)</f>
        <v>0</v>
      </c>
      <c r="F17" s="264" t="n">
        <f aca="true">IF(AUTOEVENTO="Manual",ROUND(SUMPRODUCT((CÁLCULO!$M$15:$M$40=EVENTOS!$C17)*(OFFSET(CÁLCULO!$AA$15,0,1):OFFSET(CÁLCULO!$AL$40,0,-1))),2),0)</f>
        <v>0</v>
      </c>
      <c r="G17" s="265" t="str">
        <f aca="false">IF(AND(D17=0,F17&gt;0),"NOME",
 IF(AND(D17&lt;&gt;0,$F$14&gt;0,F17=0),"VALOR",
 IF(AND(Import.TipoArredondamento="TransfereGOV",$A17="F",LEN(D17)&gt;100),"Nome &gt;100","")))</f>
        <v/>
      </c>
      <c r="H17" s="263" t="n">
        <f aca="true" t="array" ref="H17:H17">IF(AUTOEVENTO="Manual",ROUND(SUMPRODUCT((CÁLCULO!$M$15:$M$40=EVENTOS!$C17)*(OFFSET(CÁLCULO!$AA$15:$AA$40,0,H$13))),2),0)</f>
        <v>0</v>
      </c>
      <c r="I17" s="263" t="n">
        <f aca="true" t="array" ref="I17:I17">IF(AUTOEVENTO="Manual",ROUND(SUMPRODUCT((CÁLCULO!$M$15:$M$40=EVENTOS!$C17)*(OFFSET(CÁLCULO!$AA$15:$AA$40,0,I$13))),2),0)</f>
        <v>0</v>
      </c>
      <c r="J17" s="263" t="n">
        <f aca="true" t="array" ref="J17:J17">IF(AUTOEVENTO="Manual",ROUND(SUMPRODUCT((CÁLCULO!$M$15:$M$40=EVENTOS!$C17)*(OFFSET(CÁLCULO!$AA$15:$AA$40,0,J$13))),2),0)</f>
        <v>0</v>
      </c>
      <c r="K17" s="263" t="n">
        <f aca="true" t="array" ref="K17:K17">IF(AUTOEVENTO="Manual",ROUND(SUMPRODUCT((CÁLCULO!$M$15:$M$40=EVENTOS!$C17)*(OFFSET(CÁLCULO!$AA$15:$AA$40,0,K$13))),2),0)</f>
        <v>0</v>
      </c>
      <c r="L17" s="263" t="n">
        <f aca="true" t="array" ref="L17:L17">IF(AUTOEVENTO="Manual",ROUND(SUMPRODUCT((CÁLCULO!$M$15:$M$40=EVENTOS!$C17)*(OFFSET(CÁLCULO!$AA$15:$AA$40,0,L$13))),2),0)</f>
        <v>0</v>
      </c>
      <c r="M17" s="263" t="n">
        <f aca="true" t="array" ref="M17:M17">IF(AUTOEVENTO="Manual",ROUND(SUMPRODUCT((CÁLCULO!$M$15:$M$40=EVENTOS!$C17)*(OFFSET(CÁLCULO!$AA$15:$AA$40,0,M$13))),2),0)</f>
        <v>0</v>
      </c>
      <c r="N17" s="263" t="n">
        <f aca="true" t="array" ref="N17:N17">IF(AUTOEVENTO="Manual",ROUND(SUMPRODUCT((CÁLCULO!$M$15:$M$40=EVENTOS!$C17)*(OFFSET(CÁLCULO!$AA$15:$AA$40,0,N$13))),2),0)</f>
        <v>0</v>
      </c>
      <c r="O17" s="263" t="n">
        <f aca="true" t="array" ref="O17:O17">IF(AUTOEVENTO="Manual",ROUND(SUMPRODUCT((CÁLCULO!$M$15:$M$40=EVENTOS!$C17)*(OFFSET(CÁLCULO!$AA$15:$AA$40,0,O$13))),2),0)</f>
        <v>0</v>
      </c>
      <c r="P17" s="263" t="n">
        <f aca="true" t="array" ref="P17:P17">IF(AUTOEVENTO="Manual",ROUND(SUMPRODUCT((CÁLCULO!$M$15:$M$40=EVENTOS!$C17)*(OFFSET(CÁLCULO!$AA$15:$AA$40,0,P$13))),2),0)</f>
        <v>0</v>
      </c>
      <c r="Q17" s="263" t="n">
        <f aca="true" t="array" ref="Q17:Q17">IF(AUTOEVENTO="Manual",ROUND(SUMPRODUCT((CÁLCULO!$M$15:$M$40=EVENTOS!$C17)*(OFFSET(CÁLCULO!$AA$15:$AA$40,0,Q$13))),2),0)</f>
        <v>0</v>
      </c>
      <c r="R17" s="263" t="n">
        <f aca="true" t="array" ref="R17:R17">IF(AUTOEVENTO="Manual",ROUND(SUMPRODUCT((CÁLCULO!$M$15:$M$40=EVENTOS!$C17)*(OFFSET(CÁLCULO!$AA$15:$AA$40,0,R$13))),2),0)</f>
        <v>0</v>
      </c>
      <c r="S17" s="263" t="n">
        <f aca="true" t="array" ref="S17:S17">IF(AUTOEVENTO="Manual",ROUND(SUMPRODUCT((CÁLCULO!$M$15:$M$40=EVENTOS!$C17)*(OFFSET(CÁLCULO!$AA$15:$AA$40,0,S$13))),2),0)</f>
        <v>0</v>
      </c>
      <c r="T17" s="263" t="n">
        <f aca="true" t="array" ref="T17:T17">IF(AUTOEVENTO="Manual",ROUND(SUMPRODUCT((CÁLCULO!$M$15:$M$40=EVENTOS!$C17)*(OFFSET(CÁLCULO!$AA$15:$AA$40,0,T$13))),2),0)</f>
        <v>0</v>
      </c>
      <c r="U17" s="263" t="n">
        <f aca="true" t="array" ref="U17:U17">IF(AUTOEVENTO="Manual",ROUND(SUMPRODUCT((CÁLCULO!$M$15:$M$40=EVENTOS!$C17)*(OFFSET(CÁLCULO!$AA$15:$AA$40,0,U$13))),2),0)</f>
        <v>0</v>
      </c>
      <c r="V17" s="263" t="n">
        <f aca="true" t="array" ref="V17:V17">IF(AUTOEVENTO="Manual",ROUND(SUMPRODUCT((CÁLCULO!$M$15:$M$40=EVENTOS!$C17)*(OFFSET(CÁLCULO!$AA$15:$AA$40,0,V$13))),2),0)</f>
        <v>0</v>
      </c>
      <c r="W17" s="263" t="n">
        <f aca="true" t="array" ref="W17:W17">IF(AUTOEVENTO="Manual",ROUND(SUMPRODUCT((CÁLCULO!$M$15:$M$40=EVENTOS!$C17)*(OFFSET(CÁLCULO!$AA$15:$AA$40,0,W$13))),2),0)</f>
        <v>0</v>
      </c>
      <c r="X17" s="263" t="n">
        <f aca="true" t="array" ref="X17:X17">IF(AUTOEVENTO="Manual",ROUND(SUMPRODUCT((CÁLCULO!$M$15:$M$40=EVENTOS!$C17)*(OFFSET(CÁLCULO!$AA$15:$AA$40,0,X$13))),2),0)</f>
        <v>0</v>
      </c>
      <c r="Y17" s="263" t="n">
        <f aca="true" t="array" ref="Y17:Y17">IF(AUTOEVENTO="Manual",ROUND(SUMPRODUCT((CÁLCULO!$M$15:$M$40=EVENTOS!$C17)*(OFFSET(CÁLCULO!$AA$15:$AA$40,0,Y$13))),2),0)</f>
        <v>0</v>
      </c>
    </row>
    <row r="18" s="1" customFormat="true" ht="12.75" hidden="false" customHeight="false" outlineLevel="0" collapsed="false">
      <c r="A18" s="260" t="n">
        <f aca="false">IF(D18="","","F")</f>
        <v>0</v>
      </c>
      <c r="B18" s="1" t="str">
        <f aca="false">IF(OR(C18=" ",D18=""),"",CONCATENATE(C18,". ",D18))</f>
        <v/>
      </c>
      <c r="C18" s="261" t="str">
        <f aca="true" t="array" ref="C18:C18">IF(OR(ROW(C18)=ROW(EVENTOS.firstrow)+1,AND(OFFSET(C18,-1,0)&lt;&gt;" ",OFFSET(C18,-1,1)&lt;&gt;"")),OFFSET(C18,-1,0)+1," ")</f>
        <v> </v>
      </c>
      <c r="D18" s="262"/>
      <c r="E18" s="263" t="n">
        <f aca="true" t="array" ref="E18:E18">IF(AUTOEVENTO="Manual",ROUND(SUMPRODUCT((CÁLCULO!$M$15:$M$40=EVENTOS!$C18)*(OFFSET(CÁLCULO!$AA$15:$AA$40,0,E$13))),2),0)</f>
        <v>0</v>
      </c>
      <c r="F18" s="264" t="n">
        <f aca="true">IF(AUTOEVENTO="Manual",ROUND(SUMPRODUCT((CÁLCULO!$M$15:$M$40=EVENTOS!$C18)*(OFFSET(CÁLCULO!$AA$15,0,1):OFFSET(CÁLCULO!$AL$40,0,-1))),2),0)</f>
        <v>0</v>
      </c>
      <c r="G18" s="265" t="str">
        <f aca="false">IF(AND(D18=0,F18&gt;0),"NOME",
 IF(AND(D18&lt;&gt;0,$F$14&gt;0,F18=0),"VALOR",
 IF(AND(Import.TipoArredondamento="TransfereGOV",$A18="F",LEN(D18)&gt;100),"Nome &gt;100","")))</f>
        <v/>
      </c>
      <c r="H18" s="263" t="n">
        <f aca="true" t="array" ref="H18:H18">IF(AUTOEVENTO="Manual",ROUND(SUMPRODUCT((CÁLCULO!$M$15:$M$40=EVENTOS!$C18)*(OFFSET(CÁLCULO!$AA$15:$AA$40,0,H$13))),2),0)</f>
        <v>0</v>
      </c>
      <c r="I18" s="263" t="n">
        <f aca="true" t="array" ref="I18:I18">IF(AUTOEVENTO="Manual",ROUND(SUMPRODUCT((CÁLCULO!$M$15:$M$40=EVENTOS!$C18)*(OFFSET(CÁLCULO!$AA$15:$AA$40,0,I$13))),2),0)</f>
        <v>0</v>
      </c>
      <c r="J18" s="263" t="n">
        <f aca="true" t="array" ref="J18:J18">IF(AUTOEVENTO="Manual",ROUND(SUMPRODUCT((CÁLCULO!$M$15:$M$40=EVENTOS!$C18)*(OFFSET(CÁLCULO!$AA$15:$AA$40,0,J$13))),2),0)</f>
        <v>0</v>
      </c>
      <c r="K18" s="263" t="n">
        <f aca="true" t="array" ref="K18:K18">IF(AUTOEVENTO="Manual",ROUND(SUMPRODUCT((CÁLCULO!$M$15:$M$40=EVENTOS!$C18)*(OFFSET(CÁLCULO!$AA$15:$AA$40,0,K$13))),2),0)</f>
        <v>0</v>
      </c>
      <c r="L18" s="263" t="n">
        <f aca="true" t="array" ref="L18:L18">IF(AUTOEVENTO="Manual",ROUND(SUMPRODUCT((CÁLCULO!$M$15:$M$40=EVENTOS!$C18)*(OFFSET(CÁLCULO!$AA$15:$AA$40,0,L$13))),2),0)</f>
        <v>0</v>
      </c>
      <c r="M18" s="263" t="n">
        <f aca="true" t="array" ref="M18:M18">IF(AUTOEVENTO="Manual",ROUND(SUMPRODUCT((CÁLCULO!$M$15:$M$40=EVENTOS!$C18)*(OFFSET(CÁLCULO!$AA$15:$AA$40,0,M$13))),2),0)</f>
        <v>0</v>
      </c>
      <c r="N18" s="263" t="n">
        <f aca="true" t="array" ref="N18:N18">IF(AUTOEVENTO="Manual",ROUND(SUMPRODUCT((CÁLCULO!$M$15:$M$40=EVENTOS!$C18)*(OFFSET(CÁLCULO!$AA$15:$AA$40,0,N$13))),2),0)</f>
        <v>0</v>
      </c>
      <c r="O18" s="263" t="n">
        <f aca="true" t="array" ref="O18:O18">IF(AUTOEVENTO="Manual",ROUND(SUMPRODUCT((CÁLCULO!$M$15:$M$40=EVENTOS!$C18)*(OFFSET(CÁLCULO!$AA$15:$AA$40,0,O$13))),2),0)</f>
        <v>0</v>
      </c>
      <c r="P18" s="263" t="n">
        <f aca="true" t="array" ref="P18:P18">IF(AUTOEVENTO="Manual",ROUND(SUMPRODUCT((CÁLCULO!$M$15:$M$40=EVENTOS!$C18)*(OFFSET(CÁLCULO!$AA$15:$AA$40,0,P$13))),2),0)</f>
        <v>0</v>
      </c>
      <c r="Q18" s="263" t="n">
        <f aca="true" t="array" ref="Q18:Q18">IF(AUTOEVENTO="Manual",ROUND(SUMPRODUCT((CÁLCULO!$M$15:$M$40=EVENTOS!$C18)*(OFFSET(CÁLCULO!$AA$15:$AA$40,0,Q$13))),2),0)</f>
        <v>0</v>
      </c>
      <c r="R18" s="263" t="n">
        <f aca="true" t="array" ref="R18:R18">IF(AUTOEVENTO="Manual",ROUND(SUMPRODUCT((CÁLCULO!$M$15:$M$40=EVENTOS!$C18)*(OFFSET(CÁLCULO!$AA$15:$AA$40,0,R$13))),2),0)</f>
        <v>0</v>
      </c>
      <c r="S18" s="263" t="n">
        <f aca="true" t="array" ref="S18:S18">IF(AUTOEVENTO="Manual",ROUND(SUMPRODUCT((CÁLCULO!$M$15:$M$40=EVENTOS!$C18)*(OFFSET(CÁLCULO!$AA$15:$AA$40,0,S$13))),2),0)</f>
        <v>0</v>
      </c>
      <c r="T18" s="263" t="n">
        <f aca="true" t="array" ref="T18:T18">IF(AUTOEVENTO="Manual",ROUND(SUMPRODUCT((CÁLCULO!$M$15:$M$40=EVENTOS!$C18)*(OFFSET(CÁLCULO!$AA$15:$AA$40,0,T$13))),2),0)</f>
        <v>0</v>
      </c>
      <c r="U18" s="263" t="n">
        <f aca="true" t="array" ref="U18:U18">IF(AUTOEVENTO="Manual",ROUND(SUMPRODUCT((CÁLCULO!$M$15:$M$40=EVENTOS!$C18)*(OFFSET(CÁLCULO!$AA$15:$AA$40,0,U$13))),2),0)</f>
        <v>0</v>
      </c>
      <c r="V18" s="263" t="n">
        <f aca="true" t="array" ref="V18:V18">IF(AUTOEVENTO="Manual",ROUND(SUMPRODUCT((CÁLCULO!$M$15:$M$40=EVENTOS!$C18)*(OFFSET(CÁLCULO!$AA$15:$AA$40,0,V$13))),2),0)</f>
        <v>0</v>
      </c>
      <c r="W18" s="263" t="n">
        <f aca="true" t="array" ref="W18:W18">IF(AUTOEVENTO="Manual",ROUND(SUMPRODUCT((CÁLCULO!$M$15:$M$40=EVENTOS!$C18)*(OFFSET(CÁLCULO!$AA$15:$AA$40,0,W$13))),2),0)</f>
        <v>0</v>
      </c>
      <c r="X18" s="263" t="n">
        <f aca="true" t="array" ref="X18:X18">IF(AUTOEVENTO="Manual",ROUND(SUMPRODUCT((CÁLCULO!$M$15:$M$40=EVENTOS!$C18)*(OFFSET(CÁLCULO!$AA$15:$AA$40,0,X$13))),2),0)</f>
        <v>0</v>
      </c>
      <c r="Y18" s="263" t="n">
        <f aca="true" t="array" ref="Y18:Y18">IF(AUTOEVENTO="Manual",ROUND(SUMPRODUCT((CÁLCULO!$M$15:$M$40=EVENTOS!$C18)*(OFFSET(CÁLCULO!$AA$15:$AA$40,0,Y$13))),2),0)</f>
        <v>0</v>
      </c>
    </row>
    <row r="19" s="1" customFormat="true" ht="12.75" hidden="false" customHeight="false" outlineLevel="0" collapsed="false">
      <c r="A19" s="260" t="n">
        <f aca="false">IF(D19="","","F")</f>
        <v>0</v>
      </c>
      <c r="B19" s="1" t="str">
        <f aca="false">IF(OR(C19=" ",D19=""),"",CONCATENATE(C19,". ",D19))</f>
        <v/>
      </c>
      <c r="C19" s="261" t="str">
        <f aca="true" t="array" ref="C19:C19">IF(OR(ROW(C19)=ROW(EVENTOS.firstrow)+1,AND(OFFSET(C19,-1,0)&lt;&gt;" ",OFFSET(C19,-1,1)&lt;&gt;"")),OFFSET(C19,-1,0)+1," ")</f>
        <v> </v>
      </c>
      <c r="D19" s="262"/>
      <c r="E19" s="263" t="n">
        <f aca="true" t="array" ref="E19:E19">IF(AUTOEVENTO="Manual",ROUND(SUMPRODUCT((CÁLCULO!$M$15:$M$40=EVENTOS!$C19)*(OFFSET(CÁLCULO!$AA$15:$AA$40,0,E$13))),2),0)</f>
        <v>0</v>
      </c>
      <c r="F19" s="264" t="n">
        <f aca="true">IF(AUTOEVENTO="Manual",ROUND(SUMPRODUCT((CÁLCULO!$M$15:$M$40=EVENTOS!$C19)*(OFFSET(CÁLCULO!$AA$15,0,1):OFFSET(CÁLCULO!$AL$40,0,-1))),2),0)</f>
        <v>0</v>
      </c>
      <c r="G19" s="265" t="str">
        <f aca="false">IF(AND(D19=0,F19&gt;0),"NOME",
 IF(AND(D19&lt;&gt;0,$F$14&gt;0,F19=0),"VALOR",
 IF(AND(Import.TipoArredondamento="TransfereGOV",$A19="F",LEN(D19)&gt;100),"Nome &gt;100","")))</f>
        <v/>
      </c>
      <c r="H19" s="263" t="n">
        <f aca="true" t="array" ref="H19:H19">IF(AUTOEVENTO="Manual",ROUND(SUMPRODUCT((CÁLCULO!$M$15:$M$40=EVENTOS!$C19)*(OFFSET(CÁLCULO!$AA$15:$AA$40,0,H$13))),2),0)</f>
        <v>0</v>
      </c>
      <c r="I19" s="263" t="n">
        <f aca="true" t="array" ref="I19:I19">IF(AUTOEVENTO="Manual",ROUND(SUMPRODUCT((CÁLCULO!$M$15:$M$40=EVENTOS!$C19)*(OFFSET(CÁLCULO!$AA$15:$AA$40,0,I$13))),2),0)</f>
        <v>0</v>
      </c>
      <c r="J19" s="263" t="n">
        <f aca="true" t="array" ref="J19:J19">IF(AUTOEVENTO="Manual",ROUND(SUMPRODUCT((CÁLCULO!$M$15:$M$40=EVENTOS!$C19)*(OFFSET(CÁLCULO!$AA$15:$AA$40,0,J$13))),2),0)</f>
        <v>0</v>
      </c>
      <c r="K19" s="263" t="n">
        <f aca="true" t="array" ref="K19:K19">IF(AUTOEVENTO="Manual",ROUND(SUMPRODUCT((CÁLCULO!$M$15:$M$40=EVENTOS!$C19)*(OFFSET(CÁLCULO!$AA$15:$AA$40,0,K$13))),2),0)</f>
        <v>0</v>
      </c>
      <c r="L19" s="263" t="n">
        <f aca="true" t="array" ref="L19:L19">IF(AUTOEVENTO="Manual",ROUND(SUMPRODUCT((CÁLCULO!$M$15:$M$40=EVENTOS!$C19)*(OFFSET(CÁLCULO!$AA$15:$AA$40,0,L$13))),2),0)</f>
        <v>0</v>
      </c>
      <c r="M19" s="263" t="n">
        <f aca="true" t="array" ref="M19:M19">IF(AUTOEVENTO="Manual",ROUND(SUMPRODUCT((CÁLCULO!$M$15:$M$40=EVENTOS!$C19)*(OFFSET(CÁLCULO!$AA$15:$AA$40,0,M$13))),2),0)</f>
        <v>0</v>
      </c>
      <c r="N19" s="263" t="n">
        <f aca="true" t="array" ref="N19:N19">IF(AUTOEVENTO="Manual",ROUND(SUMPRODUCT((CÁLCULO!$M$15:$M$40=EVENTOS!$C19)*(OFFSET(CÁLCULO!$AA$15:$AA$40,0,N$13))),2),0)</f>
        <v>0</v>
      </c>
      <c r="O19" s="263" t="n">
        <f aca="true" t="array" ref="O19:O19">IF(AUTOEVENTO="Manual",ROUND(SUMPRODUCT((CÁLCULO!$M$15:$M$40=EVENTOS!$C19)*(OFFSET(CÁLCULO!$AA$15:$AA$40,0,O$13))),2),0)</f>
        <v>0</v>
      </c>
      <c r="P19" s="263" t="n">
        <f aca="true" t="array" ref="P19:P19">IF(AUTOEVENTO="Manual",ROUND(SUMPRODUCT((CÁLCULO!$M$15:$M$40=EVENTOS!$C19)*(OFFSET(CÁLCULO!$AA$15:$AA$40,0,P$13))),2),0)</f>
        <v>0</v>
      </c>
      <c r="Q19" s="263" t="n">
        <f aca="true" t="array" ref="Q19:Q19">IF(AUTOEVENTO="Manual",ROUND(SUMPRODUCT((CÁLCULO!$M$15:$M$40=EVENTOS!$C19)*(OFFSET(CÁLCULO!$AA$15:$AA$40,0,Q$13))),2),0)</f>
        <v>0</v>
      </c>
      <c r="R19" s="263" t="n">
        <f aca="true" t="array" ref="R19:R19">IF(AUTOEVENTO="Manual",ROUND(SUMPRODUCT((CÁLCULO!$M$15:$M$40=EVENTOS!$C19)*(OFFSET(CÁLCULO!$AA$15:$AA$40,0,R$13))),2),0)</f>
        <v>0</v>
      </c>
      <c r="S19" s="263" t="n">
        <f aca="true" t="array" ref="S19:S19">IF(AUTOEVENTO="Manual",ROUND(SUMPRODUCT((CÁLCULO!$M$15:$M$40=EVENTOS!$C19)*(OFFSET(CÁLCULO!$AA$15:$AA$40,0,S$13))),2),0)</f>
        <v>0</v>
      </c>
      <c r="T19" s="263" t="n">
        <f aca="true" t="array" ref="T19:T19">IF(AUTOEVENTO="Manual",ROUND(SUMPRODUCT((CÁLCULO!$M$15:$M$40=EVENTOS!$C19)*(OFFSET(CÁLCULO!$AA$15:$AA$40,0,T$13))),2),0)</f>
        <v>0</v>
      </c>
      <c r="U19" s="263" t="n">
        <f aca="true" t="array" ref="U19:U19">IF(AUTOEVENTO="Manual",ROUND(SUMPRODUCT((CÁLCULO!$M$15:$M$40=EVENTOS!$C19)*(OFFSET(CÁLCULO!$AA$15:$AA$40,0,U$13))),2),0)</f>
        <v>0</v>
      </c>
      <c r="V19" s="263" t="n">
        <f aca="true" t="array" ref="V19:V19">IF(AUTOEVENTO="Manual",ROUND(SUMPRODUCT((CÁLCULO!$M$15:$M$40=EVENTOS!$C19)*(OFFSET(CÁLCULO!$AA$15:$AA$40,0,V$13))),2),0)</f>
        <v>0</v>
      </c>
      <c r="W19" s="263" t="n">
        <f aca="true" t="array" ref="W19:W19">IF(AUTOEVENTO="Manual",ROUND(SUMPRODUCT((CÁLCULO!$M$15:$M$40=EVENTOS!$C19)*(OFFSET(CÁLCULO!$AA$15:$AA$40,0,W$13))),2),0)</f>
        <v>0</v>
      </c>
      <c r="X19" s="263" t="n">
        <f aca="true" t="array" ref="X19:X19">IF(AUTOEVENTO="Manual",ROUND(SUMPRODUCT((CÁLCULO!$M$15:$M$40=EVENTOS!$C19)*(OFFSET(CÁLCULO!$AA$15:$AA$40,0,X$13))),2),0)</f>
        <v>0</v>
      </c>
      <c r="Y19" s="263" t="n">
        <f aca="true" t="array" ref="Y19:Y19">IF(AUTOEVENTO="Manual",ROUND(SUMPRODUCT((CÁLCULO!$M$15:$M$40=EVENTOS!$C19)*(OFFSET(CÁLCULO!$AA$15:$AA$40,0,Y$13))),2),0)</f>
        <v>0</v>
      </c>
    </row>
    <row r="20" s="1" customFormat="true" ht="12.75" hidden="false" customHeight="false" outlineLevel="0" collapsed="false">
      <c r="A20" s="260" t="n">
        <f aca="false">IF(D20="","","F")</f>
        <v>0</v>
      </c>
      <c r="B20" s="1" t="str">
        <f aca="false">IF(OR(C20=" ",D20=""),"",CONCATENATE(C20,". ",D20))</f>
        <v/>
      </c>
      <c r="C20" s="261" t="str">
        <f aca="true" t="array" ref="C20:C20">IF(OR(ROW(C20)=ROW(EVENTOS.firstrow)+1,AND(OFFSET(C20,-1,0)&lt;&gt;" ",OFFSET(C20,-1,1)&lt;&gt;"")),OFFSET(C20,-1,0)+1," ")</f>
        <v> </v>
      </c>
      <c r="D20" s="262"/>
      <c r="E20" s="263" t="n">
        <f aca="true" t="array" ref="E20:E20">IF(AUTOEVENTO="Manual",ROUND(SUMPRODUCT((CÁLCULO!$M$15:$M$40=EVENTOS!$C20)*(OFFSET(CÁLCULO!$AA$15:$AA$40,0,E$13))),2),0)</f>
        <v>0</v>
      </c>
      <c r="F20" s="264" t="n">
        <f aca="true">IF(AUTOEVENTO="Manual",ROUND(SUMPRODUCT((CÁLCULO!$M$15:$M$40=EVENTOS!$C20)*(OFFSET(CÁLCULO!$AA$15,0,1):OFFSET(CÁLCULO!$AL$40,0,-1))),2),0)</f>
        <v>0</v>
      </c>
      <c r="G20" s="265" t="str">
        <f aca="false">IF(AND(D20=0,F20&gt;0),"NOME",
 IF(AND(D20&lt;&gt;0,$F$14&gt;0,F20=0),"VALOR",
 IF(AND(Import.TipoArredondamento="TransfereGOV",$A20="F",LEN(D20)&gt;100),"Nome &gt;100","")))</f>
        <v/>
      </c>
      <c r="H20" s="263" t="n">
        <f aca="true" t="array" ref="H20:H20">IF(AUTOEVENTO="Manual",ROUND(SUMPRODUCT((CÁLCULO!$M$15:$M$40=EVENTOS!$C20)*(OFFSET(CÁLCULO!$AA$15:$AA$40,0,H$13))),2),0)</f>
        <v>0</v>
      </c>
      <c r="I20" s="263" t="n">
        <f aca="true" t="array" ref="I20:I20">IF(AUTOEVENTO="Manual",ROUND(SUMPRODUCT((CÁLCULO!$M$15:$M$40=EVENTOS!$C20)*(OFFSET(CÁLCULO!$AA$15:$AA$40,0,I$13))),2),0)</f>
        <v>0</v>
      </c>
      <c r="J20" s="263" t="n">
        <f aca="true" t="array" ref="J20:J20">IF(AUTOEVENTO="Manual",ROUND(SUMPRODUCT((CÁLCULO!$M$15:$M$40=EVENTOS!$C20)*(OFFSET(CÁLCULO!$AA$15:$AA$40,0,J$13))),2),0)</f>
        <v>0</v>
      </c>
      <c r="K20" s="263" t="n">
        <f aca="true" t="array" ref="K20:K20">IF(AUTOEVENTO="Manual",ROUND(SUMPRODUCT((CÁLCULO!$M$15:$M$40=EVENTOS!$C20)*(OFFSET(CÁLCULO!$AA$15:$AA$40,0,K$13))),2),0)</f>
        <v>0</v>
      </c>
      <c r="L20" s="263" t="n">
        <f aca="true" t="array" ref="L20:L20">IF(AUTOEVENTO="Manual",ROUND(SUMPRODUCT((CÁLCULO!$M$15:$M$40=EVENTOS!$C20)*(OFFSET(CÁLCULO!$AA$15:$AA$40,0,L$13))),2),0)</f>
        <v>0</v>
      </c>
      <c r="M20" s="263" t="n">
        <f aca="true" t="array" ref="M20:M20">IF(AUTOEVENTO="Manual",ROUND(SUMPRODUCT((CÁLCULO!$M$15:$M$40=EVENTOS!$C20)*(OFFSET(CÁLCULO!$AA$15:$AA$40,0,M$13))),2),0)</f>
        <v>0</v>
      </c>
      <c r="N20" s="263" t="n">
        <f aca="true" t="array" ref="N20:N20">IF(AUTOEVENTO="Manual",ROUND(SUMPRODUCT((CÁLCULO!$M$15:$M$40=EVENTOS!$C20)*(OFFSET(CÁLCULO!$AA$15:$AA$40,0,N$13))),2),0)</f>
        <v>0</v>
      </c>
      <c r="O20" s="263" t="n">
        <f aca="true" t="array" ref="O20:O20">IF(AUTOEVENTO="Manual",ROUND(SUMPRODUCT((CÁLCULO!$M$15:$M$40=EVENTOS!$C20)*(OFFSET(CÁLCULO!$AA$15:$AA$40,0,O$13))),2),0)</f>
        <v>0</v>
      </c>
      <c r="P20" s="263" t="n">
        <f aca="true" t="array" ref="P20:P20">IF(AUTOEVENTO="Manual",ROUND(SUMPRODUCT((CÁLCULO!$M$15:$M$40=EVENTOS!$C20)*(OFFSET(CÁLCULO!$AA$15:$AA$40,0,P$13))),2),0)</f>
        <v>0</v>
      </c>
      <c r="Q20" s="263" t="n">
        <f aca="true" t="array" ref="Q20:Q20">IF(AUTOEVENTO="Manual",ROUND(SUMPRODUCT((CÁLCULO!$M$15:$M$40=EVENTOS!$C20)*(OFFSET(CÁLCULO!$AA$15:$AA$40,0,Q$13))),2),0)</f>
        <v>0</v>
      </c>
      <c r="R20" s="263" t="n">
        <f aca="true" t="array" ref="R20:R20">IF(AUTOEVENTO="Manual",ROUND(SUMPRODUCT((CÁLCULO!$M$15:$M$40=EVENTOS!$C20)*(OFFSET(CÁLCULO!$AA$15:$AA$40,0,R$13))),2),0)</f>
        <v>0</v>
      </c>
      <c r="S20" s="263" t="n">
        <f aca="true" t="array" ref="S20:S20">IF(AUTOEVENTO="Manual",ROUND(SUMPRODUCT((CÁLCULO!$M$15:$M$40=EVENTOS!$C20)*(OFFSET(CÁLCULO!$AA$15:$AA$40,0,S$13))),2),0)</f>
        <v>0</v>
      </c>
      <c r="T20" s="263" t="n">
        <f aca="true" t="array" ref="T20:T20">IF(AUTOEVENTO="Manual",ROUND(SUMPRODUCT((CÁLCULO!$M$15:$M$40=EVENTOS!$C20)*(OFFSET(CÁLCULO!$AA$15:$AA$40,0,T$13))),2),0)</f>
        <v>0</v>
      </c>
      <c r="U20" s="263" t="n">
        <f aca="true" t="array" ref="U20:U20">IF(AUTOEVENTO="Manual",ROUND(SUMPRODUCT((CÁLCULO!$M$15:$M$40=EVENTOS!$C20)*(OFFSET(CÁLCULO!$AA$15:$AA$40,0,U$13))),2),0)</f>
        <v>0</v>
      </c>
      <c r="V20" s="263" t="n">
        <f aca="true" t="array" ref="V20:V20">IF(AUTOEVENTO="Manual",ROUND(SUMPRODUCT((CÁLCULO!$M$15:$M$40=EVENTOS!$C20)*(OFFSET(CÁLCULO!$AA$15:$AA$40,0,V$13))),2),0)</f>
        <v>0</v>
      </c>
      <c r="W20" s="263" t="n">
        <f aca="true" t="array" ref="W20:W20">IF(AUTOEVENTO="Manual",ROUND(SUMPRODUCT((CÁLCULO!$M$15:$M$40=EVENTOS!$C20)*(OFFSET(CÁLCULO!$AA$15:$AA$40,0,W$13))),2),0)</f>
        <v>0</v>
      </c>
      <c r="X20" s="263" t="n">
        <f aca="true" t="array" ref="X20:X20">IF(AUTOEVENTO="Manual",ROUND(SUMPRODUCT((CÁLCULO!$M$15:$M$40=EVENTOS!$C20)*(OFFSET(CÁLCULO!$AA$15:$AA$40,0,X$13))),2),0)</f>
        <v>0</v>
      </c>
      <c r="Y20" s="263" t="n">
        <f aca="true" t="array" ref="Y20:Y20">IF(AUTOEVENTO="Manual",ROUND(SUMPRODUCT((CÁLCULO!$M$15:$M$40=EVENTOS!$C20)*(OFFSET(CÁLCULO!$AA$15:$AA$40,0,Y$13))),2),0)</f>
        <v>0</v>
      </c>
    </row>
    <row r="21" s="1" customFormat="true" ht="12.75" hidden="false" customHeight="false" outlineLevel="0" collapsed="false">
      <c r="A21" s="260" t="n">
        <f aca="false">IF(D21="","","F")</f>
        <v>0</v>
      </c>
      <c r="B21" s="1" t="str">
        <f aca="false">IF(OR(C21=" ",D21=""),"",CONCATENATE(C21,". ",D21))</f>
        <v/>
      </c>
      <c r="C21" s="261" t="str">
        <f aca="true" t="array" ref="C21:C21">IF(OR(ROW(C21)=ROW(EVENTOS.firstrow)+1,AND(OFFSET(C21,-1,0)&lt;&gt;" ",OFFSET(C21,-1,1)&lt;&gt;"")),OFFSET(C21,-1,0)+1," ")</f>
        <v> </v>
      </c>
      <c r="D21" s="262"/>
      <c r="E21" s="263" t="n">
        <f aca="true" t="array" ref="E21:E21">IF(AUTOEVENTO="Manual",ROUND(SUMPRODUCT((CÁLCULO!$M$15:$M$40=EVENTOS!$C21)*(OFFSET(CÁLCULO!$AA$15:$AA$40,0,E$13))),2),0)</f>
        <v>0</v>
      </c>
      <c r="F21" s="264" t="n">
        <f aca="true">IF(AUTOEVENTO="Manual",ROUND(SUMPRODUCT((CÁLCULO!$M$15:$M$40=EVENTOS!$C21)*(OFFSET(CÁLCULO!$AA$15,0,1):OFFSET(CÁLCULO!$AL$40,0,-1))),2),0)</f>
        <v>0</v>
      </c>
      <c r="G21" s="265" t="str">
        <f aca="false">IF(AND(D21=0,F21&gt;0),"NOME",
 IF(AND(D21&lt;&gt;0,$F$14&gt;0,F21=0),"VALOR",
 IF(AND(Import.TipoArredondamento="TransfereGOV",$A21="F",LEN(D21)&gt;100),"Nome &gt;100","")))</f>
        <v/>
      </c>
      <c r="H21" s="263" t="n">
        <f aca="true" t="array" ref="H21:H21">IF(AUTOEVENTO="Manual",ROUND(SUMPRODUCT((CÁLCULO!$M$15:$M$40=EVENTOS!$C21)*(OFFSET(CÁLCULO!$AA$15:$AA$40,0,H$13))),2),0)</f>
        <v>0</v>
      </c>
      <c r="I21" s="263" t="n">
        <f aca="true" t="array" ref="I21:I21">IF(AUTOEVENTO="Manual",ROUND(SUMPRODUCT((CÁLCULO!$M$15:$M$40=EVENTOS!$C21)*(OFFSET(CÁLCULO!$AA$15:$AA$40,0,I$13))),2),0)</f>
        <v>0</v>
      </c>
      <c r="J21" s="263" t="n">
        <f aca="true" t="array" ref="J21:J21">IF(AUTOEVENTO="Manual",ROUND(SUMPRODUCT((CÁLCULO!$M$15:$M$40=EVENTOS!$C21)*(OFFSET(CÁLCULO!$AA$15:$AA$40,0,J$13))),2),0)</f>
        <v>0</v>
      </c>
      <c r="K21" s="263" t="n">
        <f aca="true" t="array" ref="K21:K21">IF(AUTOEVENTO="Manual",ROUND(SUMPRODUCT((CÁLCULO!$M$15:$M$40=EVENTOS!$C21)*(OFFSET(CÁLCULO!$AA$15:$AA$40,0,K$13))),2),0)</f>
        <v>0</v>
      </c>
      <c r="L21" s="263" t="n">
        <f aca="true" t="array" ref="L21:L21">IF(AUTOEVENTO="Manual",ROUND(SUMPRODUCT((CÁLCULO!$M$15:$M$40=EVENTOS!$C21)*(OFFSET(CÁLCULO!$AA$15:$AA$40,0,L$13))),2),0)</f>
        <v>0</v>
      </c>
      <c r="M21" s="263" t="n">
        <f aca="true" t="array" ref="M21:M21">IF(AUTOEVENTO="Manual",ROUND(SUMPRODUCT((CÁLCULO!$M$15:$M$40=EVENTOS!$C21)*(OFFSET(CÁLCULO!$AA$15:$AA$40,0,M$13))),2),0)</f>
        <v>0</v>
      </c>
      <c r="N21" s="263" t="n">
        <f aca="true" t="array" ref="N21:N21">IF(AUTOEVENTO="Manual",ROUND(SUMPRODUCT((CÁLCULO!$M$15:$M$40=EVENTOS!$C21)*(OFFSET(CÁLCULO!$AA$15:$AA$40,0,N$13))),2),0)</f>
        <v>0</v>
      </c>
      <c r="O21" s="263" t="n">
        <f aca="true" t="array" ref="O21:O21">IF(AUTOEVENTO="Manual",ROUND(SUMPRODUCT((CÁLCULO!$M$15:$M$40=EVENTOS!$C21)*(OFFSET(CÁLCULO!$AA$15:$AA$40,0,O$13))),2),0)</f>
        <v>0</v>
      </c>
      <c r="P21" s="263" t="n">
        <f aca="true" t="array" ref="P21:P21">IF(AUTOEVENTO="Manual",ROUND(SUMPRODUCT((CÁLCULO!$M$15:$M$40=EVENTOS!$C21)*(OFFSET(CÁLCULO!$AA$15:$AA$40,0,P$13))),2),0)</f>
        <v>0</v>
      </c>
      <c r="Q21" s="263" t="n">
        <f aca="true" t="array" ref="Q21:Q21">IF(AUTOEVENTO="Manual",ROUND(SUMPRODUCT((CÁLCULO!$M$15:$M$40=EVENTOS!$C21)*(OFFSET(CÁLCULO!$AA$15:$AA$40,0,Q$13))),2),0)</f>
        <v>0</v>
      </c>
      <c r="R21" s="263" t="n">
        <f aca="true" t="array" ref="R21:R21">IF(AUTOEVENTO="Manual",ROUND(SUMPRODUCT((CÁLCULO!$M$15:$M$40=EVENTOS!$C21)*(OFFSET(CÁLCULO!$AA$15:$AA$40,0,R$13))),2),0)</f>
        <v>0</v>
      </c>
      <c r="S21" s="263" t="n">
        <f aca="true" t="array" ref="S21:S21">IF(AUTOEVENTO="Manual",ROUND(SUMPRODUCT((CÁLCULO!$M$15:$M$40=EVENTOS!$C21)*(OFFSET(CÁLCULO!$AA$15:$AA$40,0,S$13))),2),0)</f>
        <v>0</v>
      </c>
      <c r="T21" s="263" t="n">
        <f aca="true" t="array" ref="T21:T21">IF(AUTOEVENTO="Manual",ROUND(SUMPRODUCT((CÁLCULO!$M$15:$M$40=EVENTOS!$C21)*(OFFSET(CÁLCULO!$AA$15:$AA$40,0,T$13))),2),0)</f>
        <v>0</v>
      </c>
      <c r="U21" s="263" t="n">
        <f aca="true" t="array" ref="U21:U21">IF(AUTOEVENTO="Manual",ROUND(SUMPRODUCT((CÁLCULO!$M$15:$M$40=EVENTOS!$C21)*(OFFSET(CÁLCULO!$AA$15:$AA$40,0,U$13))),2),0)</f>
        <v>0</v>
      </c>
      <c r="V21" s="263" t="n">
        <f aca="true" t="array" ref="V21:V21">IF(AUTOEVENTO="Manual",ROUND(SUMPRODUCT((CÁLCULO!$M$15:$M$40=EVENTOS!$C21)*(OFFSET(CÁLCULO!$AA$15:$AA$40,0,V$13))),2),0)</f>
        <v>0</v>
      </c>
      <c r="W21" s="263" t="n">
        <f aca="true" t="array" ref="W21:W21">IF(AUTOEVENTO="Manual",ROUND(SUMPRODUCT((CÁLCULO!$M$15:$M$40=EVENTOS!$C21)*(OFFSET(CÁLCULO!$AA$15:$AA$40,0,W$13))),2),0)</f>
        <v>0</v>
      </c>
      <c r="X21" s="263" t="n">
        <f aca="true" t="array" ref="X21:X21">IF(AUTOEVENTO="Manual",ROUND(SUMPRODUCT((CÁLCULO!$M$15:$M$40=EVENTOS!$C21)*(OFFSET(CÁLCULO!$AA$15:$AA$40,0,X$13))),2),0)</f>
        <v>0</v>
      </c>
      <c r="Y21" s="263" t="n">
        <f aca="true" t="array" ref="Y21:Y21">IF(AUTOEVENTO="Manual",ROUND(SUMPRODUCT((CÁLCULO!$M$15:$M$40=EVENTOS!$C21)*(OFFSET(CÁLCULO!$AA$15:$AA$40,0,Y$13))),2),0)</f>
        <v>0</v>
      </c>
    </row>
    <row r="22" customFormat="false" ht="4.5" hidden="false" customHeight="true" outlineLevel="0" collapsed="false">
      <c r="A22" s="260" t="s">
        <v>551</v>
      </c>
      <c r="C22" s="297"/>
      <c r="D22" s="298"/>
      <c r="E22" s="299"/>
      <c r="F22" s="300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</row>
    <row r="23" customFormat="false" ht="12.75" hidden="false" customHeight="false" outlineLevel="0" collapsed="false">
      <c r="A23" s="260" t="s">
        <v>551</v>
      </c>
    </row>
    <row r="24" customFormat="false" ht="12.75" hidden="false" customHeight="false" outlineLevel="0" collapsed="false">
      <c r="A24" s="260" t="s">
        <v>551</v>
      </c>
    </row>
    <row r="25" customFormat="false" ht="15" hidden="false" customHeight="false" outlineLevel="0" collapsed="false">
      <c r="A25" s="260" t="s">
        <v>551</v>
      </c>
      <c r="D25" s="301" t="str">
        <f aca="false">Import.Município</f>
        <v>CAÇÃPAVA DO SUL</v>
      </c>
      <c r="L25" s="256"/>
      <c r="M25" s="47"/>
      <c r="N25" s="47"/>
      <c r="O25" s="47"/>
      <c r="V25" s="256"/>
      <c r="W25" s="47"/>
      <c r="X25" s="47"/>
      <c r="Y25" s="47"/>
    </row>
    <row r="26" customFormat="false" ht="12.75" hidden="false" customHeight="false" outlineLevel="0" collapsed="false">
      <c r="A26" s="260" t="s">
        <v>551</v>
      </c>
      <c r="D26" s="57" t="s">
        <v>709</v>
      </c>
      <c r="H26" s="302"/>
      <c r="I26" s="302"/>
      <c r="J26" s="302"/>
      <c r="L26" s="257" t="s">
        <v>712</v>
      </c>
      <c r="V26" s="257" t="s">
        <v>712</v>
      </c>
    </row>
    <row r="27" customFormat="false" ht="12.75" hidden="false" customHeight="false" outlineLevel="0" collapsed="false">
      <c r="A27" s="260" t="s">
        <v>551</v>
      </c>
      <c r="H27" s="302"/>
      <c r="I27" s="302"/>
      <c r="J27" s="302"/>
      <c r="L27" s="303" t="str">
        <f aca="true" t="array" ref="L27:L29">OFFSET(Import.RespOrçamento,0,-1) &amp; " " &amp; Import.RespOrçamento</f>
        <v>Nome: HELMESONA DE OLIVEIRA SANTANA</v>
      </c>
      <c r="V27" s="303" t="str">
        <f aca="true" t="array" ref="V27:V29">OFFSET(Import.RespOrçamento,0,-1) &amp; " " &amp; Import.RespOrçamento</f>
        <v>Nome: HELMESONA DE OLIVEIRA SANTANA</v>
      </c>
    </row>
    <row r="28" customFormat="false" ht="12.75" hidden="false" customHeight="false" outlineLevel="0" collapsed="false">
      <c r="A28" s="260" t="s">
        <v>551</v>
      </c>
      <c r="D28" s="304" t="n">
        <f aca="false">DADOS!$C$25</f>
        <v>46087</v>
      </c>
      <c r="L28" s="303" t="str">
        <v>CREA/CAU: RS152843</v>
      </c>
      <c r="V28" s="303" t="str">
        <v>CREA/CAU: RS152843</v>
      </c>
    </row>
    <row r="29" customFormat="false" ht="12.75" hidden="false" customHeight="false" outlineLevel="0" collapsed="false">
      <c r="A29" s="260" t="s">
        <v>551</v>
      </c>
      <c r="D29" s="57" t="s">
        <v>710</v>
      </c>
      <c r="L29" s="303" t="str">
        <v>ART/RRT: 8809670</v>
      </c>
      <c r="V29" s="303" t="str">
        <v>ART/RRT: 8809670</v>
      </c>
    </row>
  </sheetData>
  <sheetProtection sheet="true" password="bd1f" objects="true" scenarios="true" autoFilter="false"/>
  <autoFilter ref="A13:A29"/>
  <mergeCells count="24">
    <mergeCell ref="F5:M5"/>
    <mergeCell ref="P5:W5"/>
    <mergeCell ref="C8:D8"/>
    <mergeCell ref="E10:E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C11:D11"/>
  </mergeCells>
  <conditionalFormatting sqref="C16:Z21">
    <cfRule type="expression" priority="2" aboveAverage="0" equalAverage="0" bottom="0" percent="0" rank="0" text="" dxfId="263">
      <formula>OR(AUTOEVENTO&lt;&gt;"Manual",ACOMPANHAMENTO="BM",C$10=0,C$13=0,$C16=" ")</formula>
    </cfRule>
  </conditionalFormatting>
  <conditionalFormatting sqref="C10:J10 E11:J11 C12:J12 K10:Y12 C1:Z1 Z10:Z15 C13:Y15 C22:Z22">
    <cfRule type="expression" priority="3" aboveAverage="0" equalAverage="0" bottom="0" percent="0" rank="0" text="" dxfId="264">
      <formula>OR(AUTOEVENTO&lt;&gt;"Manual",ACOMPANHAMENTO="BM",C$10=0,C$13=0,$C1=" ")</formula>
    </cfRule>
  </conditionalFormatting>
  <conditionalFormatting sqref="A15 C15:XFD15">
    <cfRule type="expression" priority="4" aboveAverage="0" equalAverage="0" bottom="0" percent="0" rank="0" text="" dxfId="265">
      <formula>$C$15=0</formula>
    </cfRule>
  </conditionalFormatting>
  <dataValidations count="1">
    <dataValidation allowBlank="true" errorStyle="stop" operator="between" showDropDown="false" showErrorMessage="true" showInputMessage="false" sqref="C8" type="list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5.70833333333333" footer="0.59027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&amp;L_</oddHeader>
    <oddFooter>&amp;LPMv3.10&amp;R&amp;P / &amp;N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G61453"/>
  <sheetViews>
    <sheetView showFormulas="false" showGridLines="false" showRowColHeaders="true" showZeros="true" rightToLeft="false" tabSelected="false" showOutlineSymbols="true" defaultGridColor="true" view="pageBreakPreview" topLeftCell="A1" colorId="64" zoomScale="90" zoomScaleNormal="100" zoomScalePageLayoutView="90" workbookViewId="0">
      <pane xSplit="8" ySplit="15" topLeftCell="I16" activePane="bottomRight" state="frozen"/>
      <selection pane="topLeft" activeCell="A1" activeCellId="0" sqref="A1"/>
      <selection pane="topRight" activeCell="I1" activeCellId="0" sqref="I1"/>
      <selection pane="bottomLeft" activeCell="A16" activeCellId="0" sqref="A16"/>
      <selection pane="bottomRight" activeCell="A27" activeCellId="0" sqref="A27"/>
    </sheetView>
  </sheetViews>
  <sheetFormatPr defaultColWidth="8.6796875" defaultRowHeight="12.8" zeroHeight="true" outlineLevelRow="0" outlineLevelCol="0"/>
  <cols>
    <col collapsed="false" customWidth="true" hidden="true" outlineLevel="0" max="1" min="1" style="49" width="15.42"/>
    <col collapsed="false" customWidth="true" hidden="true" outlineLevel="0" max="2" min="2" style="49" width="9.14"/>
    <col collapsed="false" customWidth="true" hidden="false" outlineLevel="0" max="3" min="3" style="49" width="3.57"/>
    <col collapsed="false" customWidth="true" hidden="false" outlineLevel="0" max="4" min="4" style="1" width="8.57"/>
    <col collapsed="false" customWidth="true" hidden="false" outlineLevel="0" max="5" min="5" style="1" width="12.57"/>
    <col collapsed="false" customWidth="true" hidden="false" outlineLevel="0" max="6" min="6" style="1" width="65.57"/>
    <col collapsed="false" customWidth="true" hidden="false" outlineLevel="0" max="7" min="7" style="1" width="10.57"/>
    <col collapsed="false" customWidth="true" hidden="false" outlineLevel="0" max="8" min="8" style="1" width="14.57"/>
    <col collapsed="false" customWidth="true" hidden="false" outlineLevel="0" max="9" min="9" style="1" width="29.57"/>
    <col collapsed="false" customWidth="true" hidden="false" outlineLevel="0" max="10" min="10" style="1" width="1.57"/>
    <col collapsed="false" customWidth="true" hidden="false" outlineLevel="0" max="11" min="11" style="1" width="4.57"/>
    <col collapsed="false" customWidth="true" hidden="false" outlineLevel="0" max="12" min="12" style="1" width="0.86"/>
    <col collapsed="false" customWidth="true" hidden="true" outlineLevel="0" max="13" min="13" style="49" width="9.14"/>
    <col collapsed="false" customWidth="true" hidden="false" outlineLevel="0" max="14" min="14" style="1" width="31.57"/>
    <col collapsed="false" customWidth="true" hidden="true" outlineLevel="0" max="15" min="15" style="1" width="9.14"/>
    <col collapsed="false" customWidth="true" hidden="false" outlineLevel="0" max="16" min="16" style="1" width="1.57"/>
    <col collapsed="false" customWidth="true" hidden="false" outlineLevel="0" max="26" min="17" style="1" width="11.57"/>
    <col collapsed="false" customWidth="true" hidden="true" outlineLevel="0" max="59" min="27" style="1" width="9.14"/>
    <col collapsed="false" customWidth="true" hidden="true" outlineLevel="0" max="60" min="60" style="1" width="1.57"/>
  </cols>
  <sheetData>
    <row r="1" customFormat="false" ht="12.75" hidden="true" customHeight="true" outlineLevel="0" collapsed="false">
      <c r="M1" s="49" t="n">
        <f aca="true">SUM(OFFSET(CÁLCULO!$P$1,0,1):OFFSET(CÁLCULO!$AA$1,0,-1))</f>
        <v>0</v>
      </c>
      <c r="O1" s="305" t="n">
        <f aca="false" t="array" ref="O1:O1">IF(OR(ACOMPANHAMENTO="BM",N1=0,O12=""),0,1)</f>
        <v>0</v>
      </c>
      <c r="P1" s="1" t="s">
        <v>807</v>
      </c>
      <c r="Q1" s="305" t="n">
        <f aca="false" t="array" ref="Q1:Q1">IF(OR(ACOMPANHAMENTO="BM",P1=0,Q12=""),0,1)</f>
        <v>0</v>
      </c>
      <c r="R1" s="305" t="n">
        <f aca="false" t="array" ref="R1:R1">IF(OR(ACOMPANHAMENTO="BM",Q1=0,R12=""),0,1)</f>
        <v>0</v>
      </c>
      <c r="S1" s="305" t="n">
        <f aca="false" t="array" ref="S1:S1">IF(OR(ACOMPANHAMENTO="BM",R1=0,S12=""),0,1)</f>
        <v>0</v>
      </c>
      <c r="T1" s="305" t="n">
        <f aca="false" t="array" ref="T1:T1">IF(OR(ACOMPANHAMENTO="BM",S1=0,T12=""),0,1)</f>
        <v>0</v>
      </c>
      <c r="U1" s="305" t="n">
        <f aca="false" t="array" ref="U1:U1">IF(OR(ACOMPANHAMENTO="BM",T1=0,U12=""),0,1)</f>
        <v>0</v>
      </c>
      <c r="V1" s="305" t="n">
        <f aca="false" t="array" ref="V1:V1">IF(OR(ACOMPANHAMENTO="BM",U1=0,V12=""),0,1)</f>
        <v>0</v>
      </c>
      <c r="W1" s="305" t="n">
        <f aca="false" t="array" ref="W1:W1">IF(OR(ACOMPANHAMENTO="BM",V1=0,W12=""),0,1)</f>
        <v>0</v>
      </c>
      <c r="X1" s="305" t="n">
        <f aca="false" t="array" ref="X1:X1">IF(OR(ACOMPANHAMENTO="BM",W1=0,X12=""),0,1)</f>
        <v>0</v>
      </c>
      <c r="Y1" s="305" t="n">
        <f aca="false" t="array" ref="Y1:Y1">IF(OR(ACOMPANHAMENTO="BM",X1=0,Y12=""),0,1)</f>
        <v>0</v>
      </c>
      <c r="Z1" s="305" t="n">
        <f aca="false" t="array" ref="Z1:Z1">IF(OR(ACOMPANHAMENTO="BM",Y1=0,Z12=""),0,1)</f>
        <v>0</v>
      </c>
      <c r="AB1" s="1" t="s">
        <v>808</v>
      </c>
      <c r="AM1" s="1" t="s">
        <v>809</v>
      </c>
      <c r="AX1" s="1" t="s">
        <v>810</v>
      </c>
    </row>
    <row r="2" customFormat="false" ht="12.75" hidden="true" customHeight="true" outlineLevel="0" collapsed="false"/>
    <row r="3" customFormat="false" ht="12.75" hidden="true" customHeight="true" outlineLevel="0" collapsed="false"/>
    <row r="4" customFormat="false" ht="12.75" hidden="true" customHeight="true" outlineLevel="0" collapsed="false"/>
    <row r="5" customFormat="false" ht="12.75" hidden="true" customHeight="true" outlineLevel="0" collapsed="false"/>
    <row r="6" customFormat="false" ht="15.75" hidden="false" customHeight="true" outlineLevel="0" collapsed="false">
      <c r="F6" s="306" t="str">
        <f aca="false" t="array" ref="F6:F6">IF(ACOMPANHAMENTO="BM","MEMÓRIA DE CÁLCULO","PLQ - PLANILHA DE LEVANTAMENTO DE QUANTIDADES")</f>
        <v>MEMÓRIA DE CÁLCULO</v>
      </c>
      <c r="G6" s="306"/>
      <c r="H6" s="306"/>
      <c r="I6" s="307"/>
      <c r="K6" s="307"/>
      <c r="L6" s="307"/>
      <c r="M6" s="308"/>
      <c r="N6" s="307"/>
      <c r="P6" s="307"/>
      <c r="Q6" s="99" t="s">
        <v>659</v>
      </c>
      <c r="R6" s="99"/>
      <c r="Y6" s="99" t="s">
        <v>659</v>
      </c>
      <c r="Z6" s="99"/>
    </row>
    <row r="7" customFormat="false" ht="15" hidden="false" customHeight="true" outlineLevel="0" collapsed="false">
      <c r="F7" s="309" t="str">
        <f aca="false" t="array" ref="F7:F7">IF(ACOMPANHAMENTO="BM","","Memória de Cálculo")&amp;" - "&amp;import.recurso</f>
        <v> - OGU</v>
      </c>
      <c r="G7" s="309"/>
      <c r="H7" s="309"/>
      <c r="I7" s="310"/>
      <c r="K7" s="310"/>
      <c r="L7" s="310"/>
      <c r="M7" s="311"/>
      <c r="N7" s="310"/>
      <c r="P7" s="310"/>
      <c r="Q7" s="102" t="s">
        <v>662</v>
      </c>
      <c r="R7" s="102"/>
      <c r="Y7" s="102" t="s">
        <v>662</v>
      </c>
      <c r="Z7" s="102"/>
    </row>
    <row r="8" customFormat="false" ht="12.75" hidden="false" customHeight="true" outlineLevel="0" collapsed="false">
      <c r="AE8" s="312"/>
    </row>
    <row r="9" customFormat="false" ht="12.75" hidden="false" customHeight="true" outlineLevel="0" collapsed="false">
      <c r="E9" s="103" t="s">
        <v>725</v>
      </c>
      <c r="F9" s="103"/>
      <c r="G9" s="103" t="s">
        <v>724</v>
      </c>
      <c r="H9" s="103"/>
      <c r="I9" s="162" t="s">
        <v>665</v>
      </c>
      <c r="K9" s="313" t="s">
        <v>667</v>
      </c>
      <c r="L9" s="314"/>
      <c r="M9" s="314"/>
      <c r="N9" s="314"/>
      <c r="O9" s="314"/>
      <c r="P9" s="314"/>
      <c r="Q9" s="314"/>
      <c r="R9" s="315"/>
      <c r="S9" s="103" t="s">
        <v>665</v>
      </c>
      <c r="T9" s="103"/>
      <c r="U9" s="103" t="s">
        <v>667</v>
      </c>
      <c r="V9" s="103"/>
      <c r="W9" s="103"/>
      <c r="X9" s="103"/>
      <c r="Y9" s="103"/>
      <c r="Z9" s="103"/>
    </row>
    <row r="10" customFormat="false" ht="12.75" hidden="false" customHeight="true" outlineLevel="0" collapsed="false">
      <c r="A10" s="316" t="s">
        <v>811</v>
      </c>
      <c r="E10" s="104" t="str">
        <f aca="false">Import.Apelido</f>
        <v>EMEF INSTITUTO AUGUSTA MARIA LIMA MARQUES</v>
      </c>
      <c r="F10" s="104"/>
      <c r="G10" s="104" t="str">
        <f aca="false" t="array" ref="G10:G10">Import.TransfereGOV</f>
        <v>-</v>
      </c>
      <c r="H10" s="104"/>
      <c r="I10" s="163" t="str">
        <f aca="false">Import.CR</f>
        <v>-</v>
      </c>
      <c r="K10" s="317" t="str">
        <f aca="false">Import.Proponente</f>
        <v>PREFEITURA MUNICIPAL DE CAÇAPAVA DO SUL</v>
      </c>
      <c r="L10" s="318"/>
      <c r="M10" s="180"/>
      <c r="N10" s="318"/>
      <c r="O10" s="318"/>
      <c r="P10" s="318"/>
      <c r="Q10" s="318"/>
      <c r="R10" s="164"/>
      <c r="S10" s="104" t="str">
        <f aca="false">Import.CR</f>
        <v>-</v>
      </c>
      <c r="T10" s="104"/>
      <c r="U10" s="104" t="str">
        <f aca="false">Import.Proponente</f>
        <v>PREFEITURA MUNICIPAL DE CAÇAPAVA DO SUL</v>
      </c>
      <c r="V10" s="104"/>
      <c r="W10" s="104"/>
      <c r="X10" s="104"/>
      <c r="Y10" s="104"/>
      <c r="Z10" s="104"/>
    </row>
    <row r="11" customFormat="false" ht="12.75" hidden="false" customHeight="true" outlineLevel="0" collapsed="false">
      <c r="A11" s="319" t="str">
        <f aca="false">IF(AND(Import.TipoArredondamento="Tradicional",AUTOEVENTO="Manual"),"Automática",IF(CRONOPLE!$B$8="","Sem Adm","Manual"))</f>
        <v>Sem Adm</v>
      </c>
      <c r="F11" s="320" t="str">
        <f aca="false">IF(AND(ACOMPANHAMENTO="PLE",CÁLCULO.FrentesPreenchidas=0),"Preencher os nomes das Frentes de Obra",
  IF(COUNTIF($J$15:$J$40,"►")&gt;0,"Não pode haver serviços sem agrupador de eventos",
  IF(COUNTIF($P$11:$AA$11,"▼")&gt;0,"Não pode haver frentes de obra sem quantidades",
  IF(COUNTIF($P$11:$AA$11,"Nome &gt;100")&gt;0,"Nome da frente de obra com mais de 100 caracteres",""))))</f>
        <v/>
      </c>
      <c r="N11" s="321" t="str">
        <f aca="false">IF(OR(COUNTIF($J$15:$J$40,"►")&gt;0,COUNTIF($J$15:$J$40,"►►")&gt;0),"",
IF(COUNTIF($P$11:$AA$11,"▼")&gt;0,"Falta preencher a frente de obra nº " &amp; HLOOKUP("▼",$P$11:$AA$13,3,FALSE()),
IF(COUNTIF($P$11:$AA$11,"Nome &gt;100")&gt;0,"Resuma o nome da frente de obra nº " &amp; HLOOKUP("Nome &gt;100",$P$11:$AA$13,3,FALSE()),"")))</f>
        <v/>
      </c>
      <c r="O11" s="322" t="e">
        <f aca="false">IF(AND(O1=1,O15=0),"▼",IF(AND(O1=1,LEN(O12)&gt;100),"Nome &gt;100",""))</f>
        <v>#VALUE!</v>
      </c>
      <c r="P11" s="49"/>
      <c r="Q11" s="322" t="str">
        <f aca="false">IF(AND(Q1=1,Q15=0),"▼",IF(AND(Q1=1,LEN(Q12)&gt;100),"Nome &gt;100",""))</f>
        <v/>
      </c>
      <c r="R11" s="322" t="str">
        <f aca="false">IF(AND(R1=1,R15=0),"▼",IF(AND(R1=1,LEN(R12)&gt;100),"Nome &gt;100",""))</f>
        <v/>
      </c>
      <c r="S11" s="322" t="str">
        <f aca="false">IF(AND(S1=1,S15=0),"▼",IF(AND(S1=1,LEN(S12)&gt;100),"Nome &gt;100",""))</f>
        <v/>
      </c>
      <c r="T11" s="322" t="str">
        <f aca="false">IF(AND(T1=1,T15=0),"▼",IF(AND(T1=1,LEN(T12)&gt;100),"Nome &gt;100",""))</f>
        <v/>
      </c>
      <c r="U11" s="322" t="str">
        <f aca="false">IF(AND(U1=1,U15=0),"▼",IF(AND(U1=1,LEN(U12)&gt;100),"Nome &gt;100",""))</f>
        <v/>
      </c>
      <c r="V11" s="322" t="str">
        <f aca="false">IF(AND(V1=1,V15=0),"▼",IF(AND(V1=1,LEN(V12)&gt;100),"Nome &gt;100",""))</f>
        <v/>
      </c>
      <c r="W11" s="322" t="str">
        <f aca="false">IF(AND(W1=1,W15=0),"▼",IF(AND(W1=1,LEN(W12)&gt;100),"Nome &gt;100",""))</f>
        <v/>
      </c>
      <c r="X11" s="322" t="str">
        <f aca="false">IF(AND(X1=1,X15=0),"▼",IF(AND(X1=1,LEN(X12)&gt;100),"Nome &gt;100",""))</f>
        <v/>
      </c>
      <c r="Y11" s="322" t="str">
        <f aca="false">IF(AND(Y1=1,Y15=0),"▼",IF(AND(Y1=1,LEN(Y12)&gt;100),"Nome &gt;100",""))</f>
        <v/>
      </c>
      <c r="Z11" s="322" t="str">
        <f aca="false">IF(AND(Z1=1,Z15=0),"▼",IF(AND(Z1=1,LEN(Z12)&gt;100),"Nome &gt;100",""))</f>
        <v/>
      </c>
    </row>
    <row r="12" customFormat="false" ht="69.75" hidden="false" customHeight="true" outlineLevel="0" collapsed="false">
      <c r="A12" s="323" t="n">
        <f aca="true">IF(OFFSET(EVENTOS!$C$7,1,0)="Automática, conforme os agrupadores Nível 4 do Orçamento",4,IF(OFFSET(EVENTOS!$C$7,1,0)="Automática, conforme os agrupadores Nível 3 do Orçamento",3,IF(OFFSET(EVENTOS!$C$7,1,0)="Definir Manualmente","Manual",2)))</f>
        <v>2</v>
      </c>
      <c r="B12" s="49" t="s">
        <v>812</v>
      </c>
      <c r="C12" s="324" t="s">
        <v>670</v>
      </c>
      <c r="H12" s="325"/>
      <c r="I12" s="326" t="str">
        <f aca="false">IF(COUNTIF($J$15:$J$40,"►")&gt;0,"Falta Definir o Agrupador de Evento na linha "&amp;MATCH("►",$J$15:$J$40,0)+ROW($J$14),
  IF(COUNTIF($J$15:$J$40,"►►")&gt;0,"Falta preencher a quantidade do serviço na linha "&amp;MATCH("►►",$J$15:$J$40,0)+ROW($J$14),
  IF(AND(COUNTIF($P$11:$AA$11,"▼")=0,COUNTIF($J$15:$J$40,"◄")&gt;0),"Falta Preencher o Memorial de Cálculo na linha "&amp;MATCH("◄",$J$15:$J$40,0)+ROW($J$14),"")))</f>
        <v>Falta Preencher o Memorial de Cálculo na linha 22</v>
      </c>
      <c r="J12" s="29" t="s">
        <v>807</v>
      </c>
      <c r="K12" s="327" t="s">
        <v>813</v>
      </c>
      <c r="L12" s="29" t="s">
        <v>807</v>
      </c>
      <c r="M12" s="328" t="n">
        <f aca="false" t="array" ref="M12:M12">IF(ACOMPANHAMENTO="BM",0,MAX($M$15:$M$40))</f>
        <v>0</v>
      </c>
      <c r="N12" s="329" t="s">
        <v>814</v>
      </c>
      <c r="O12" s="330"/>
      <c r="P12" s="331" t="s">
        <v>807</v>
      </c>
      <c r="Q12" s="332"/>
      <c r="R12" s="330"/>
      <c r="S12" s="330"/>
      <c r="T12" s="333"/>
      <c r="U12" s="330"/>
      <c r="V12" s="330"/>
      <c r="W12" s="330"/>
      <c r="X12" s="330"/>
      <c r="Y12" s="330"/>
      <c r="Z12" s="334"/>
      <c r="AA12" s="331" t="s">
        <v>807</v>
      </c>
      <c r="AB12" s="335" t="n">
        <f aca="true">IF(OFFSET($P$1,0,AB$13)=0,0,OFFSET($P$12,0,AB$13))</f>
        <v>0</v>
      </c>
      <c r="AC12" s="335" t="n">
        <f aca="true">IF(OFFSET($P$1,0,AC$13)=0,0,OFFSET($P$12,0,AC$13))</f>
        <v>0</v>
      </c>
      <c r="AD12" s="335" t="n">
        <f aca="true">IF(OFFSET($P$1,0,AD$13)=0,0,OFFSET($P$12,0,AD$13))</f>
        <v>0</v>
      </c>
      <c r="AE12" s="335" t="n">
        <f aca="true">IF(OFFSET($P$1,0,AE$13)=0,0,OFFSET($P$12,0,AE$13))</f>
        <v>0</v>
      </c>
      <c r="AF12" s="335" t="n">
        <f aca="true">IF(OFFSET($P$1,0,AF$13)=0,0,OFFSET($P$12,0,AF$13))</f>
        <v>0</v>
      </c>
      <c r="AG12" s="335" t="n">
        <f aca="true">IF(OFFSET($P$1,0,AG$13)=0,0,OFFSET($P$12,0,AG$13))</f>
        <v>0</v>
      </c>
      <c r="AH12" s="335" t="n">
        <f aca="true">IF(OFFSET($P$1,0,AH$13)=0,0,OFFSET($P$12,0,AH$13))</f>
        <v>0</v>
      </c>
      <c r="AI12" s="335" t="n">
        <f aca="true">IF(OFFSET($P$1,0,AI$13)=0,0,OFFSET($P$12,0,AI$13))</f>
        <v>0</v>
      </c>
      <c r="AJ12" s="335" t="n">
        <f aca="true">IF(OFFSET($P$1,0,AJ$13)=0,0,OFFSET($P$12,0,AJ$13))</f>
        <v>0</v>
      </c>
      <c r="AK12" s="335" t="n">
        <f aca="true">IF(OFFSET($P$1,0,AK$13)=0,0,OFFSET($P$12,0,AK$13))</f>
        <v>0</v>
      </c>
      <c r="AM12" s="335" t="n">
        <f aca="true">IF(OFFSET($P$1,0,AM$13)=0,0,OFFSET($P$12,0,AM$13))</f>
        <v>0</v>
      </c>
      <c r="AN12" s="336" t="n">
        <f aca="true">IF(OFFSET($P$1,0,AN$13)=0,0,OFFSET($P$12,0,AN$13))</f>
        <v>0</v>
      </c>
      <c r="AO12" s="336" t="n">
        <f aca="true">IF(OFFSET($P$1,0,AO$13)=0,0,OFFSET($P$12,0,AO$13))</f>
        <v>0</v>
      </c>
      <c r="AP12" s="336" t="n">
        <f aca="true">IF(OFFSET($P$1,0,AP$13)=0,0,OFFSET($P$12,0,AP$13))</f>
        <v>0</v>
      </c>
      <c r="AQ12" s="336" t="n">
        <f aca="true">IF(OFFSET($P$1,0,AQ$13)=0,0,OFFSET($P$12,0,AQ$13))</f>
        <v>0</v>
      </c>
      <c r="AR12" s="336" t="n">
        <f aca="true">IF(OFFSET($P$1,0,AR$13)=0,0,OFFSET($P$12,0,AR$13))</f>
        <v>0</v>
      </c>
      <c r="AS12" s="336" t="n">
        <f aca="true">IF(OFFSET($P$1,0,AS$13)=0,0,OFFSET($P$12,0,AS$13))</f>
        <v>0</v>
      </c>
      <c r="AT12" s="336" t="n">
        <f aca="true">IF(OFFSET($P$1,0,AT$13)=0,0,OFFSET($P$12,0,AT$13))</f>
        <v>0</v>
      </c>
      <c r="AU12" s="336" t="n">
        <f aca="true">IF(OFFSET($P$1,0,AU$13)=0,0,OFFSET($P$12,0,AU$13))</f>
        <v>0</v>
      </c>
      <c r="AV12" s="337" t="n">
        <f aca="true">IF(OFFSET($P$1,0,AV$13)=0,0,OFFSET($P$12,0,AV$13))</f>
        <v>0</v>
      </c>
      <c r="AX12" s="335" t="n">
        <f aca="true">IF(OFFSET($P$1,0,AX$13)=0,0,OFFSET($P$12,0,AX$13))</f>
        <v>0</v>
      </c>
      <c r="AY12" s="336" t="n">
        <f aca="true">IF(OFFSET($P$1,0,AY$13)=0,0,OFFSET($P$12,0,AY$13))</f>
        <v>0</v>
      </c>
      <c r="AZ12" s="336" t="n">
        <f aca="true">IF(OFFSET($P$1,0,AZ$13)=0,0,OFFSET($P$12,0,AZ$13))</f>
        <v>0</v>
      </c>
      <c r="BA12" s="336" t="n">
        <f aca="true">IF(OFFSET($P$1,0,BA$13)=0,0,OFFSET($P$12,0,BA$13))</f>
        <v>0</v>
      </c>
      <c r="BB12" s="336" t="n">
        <f aca="true">IF(OFFSET($P$1,0,BB$13)=0,0,OFFSET($P$12,0,BB$13))</f>
        <v>0</v>
      </c>
      <c r="BC12" s="336" t="n">
        <f aca="true">IF(OFFSET($P$1,0,BC$13)=0,0,OFFSET($P$12,0,BC$13))</f>
        <v>0</v>
      </c>
      <c r="BD12" s="336" t="n">
        <f aca="true">IF(OFFSET($P$1,0,BD$13)=0,0,OFFSET($P$12,0,BD$13))</f>
        <v>0</v>
      </c>
      <c r="BE12" s="336" t="n">
        <f aca="true">IF(OFFSET($P$1,0,BE$13)=0,0,OFFSET($P$12,0,BE$13))</f>
        <v>0</v>
      </c>
      <c r="BF12" s="336" t="n">
        <f aca="true">IF(OFFSET($P$1,0,BF$13)=0,0,OFFSET($P$12,0,BF$13))</f>
        <v>0</v>
      </c>
      <c r="BG12" s="337" t="n">
        <f aca="true">IF(OFFSET($P$1,0,BG$13)=0,0,OFFSET($P$12,0,BG$13))</f>
        <v>0</v>
      </c>
    </row>
    <row r="13" customFormat="false" ht="12.75" hidden="false" customHeight="true" outlineLevel="0" collapsed="false">
      <c r="A13" s="59" t="s">
        <v>815</v>
      </c>
      <c r="B13" s="49" t="s">
        <v>812</v>
      </c>
      <c r="C13" s="338" t="s">
        <v>675</v>
      </c>
      <c r="D13" s="189" t="s">
        <v>750</v>
      </c>
      <c r="E13" s="189" t="s">
        <v>752</v>
      </c>
      <c r="F13" s="189" t="s">
        <v>121</v>
      </c>
      <c r="G13" s="191" t="s">
        <v>755</v>
      </c>
      <c r="H13" s="189" t="s">
        <v>729</v>
      </c>
      <c r="I13" s="189" t="s">
        <v>816</v>
      </c>
      <c r="J13" s="339"/>
      <c r="K13" s="197" t="s">
        <v>817</v>
      </c>
      <c r="L13" s="29"/>
      <c r="M13" s="189" t="s">
        <v>818</v>
      </c>
      <c r="N13" s="189" t="s">
        <v>819</v>
      </c>
      <c r="O13" s="340" t="e">
        <f aca="true">OFFSET(O13,0,-1)+1</f>
        <v>#VALUE!</v>
      </c>
      <c r="Q13" s="341" t="n">
        <f aca="true">OFFSET(Q13,0,-1)+1</f>
        <v>1</v>
      </c>
      <c r="R13" s="340" t="n">
        <f aca="true">OFFSET(R13,0,-1)+1</f>
        <v>2</v>
      </c>
      <c r="S13" s="340" t="n">
        <f aca="true">OFFSET(S13,0,-1)+1</f>
        <v>3</v>
      </c>
      <c r="T13" s="340" t="n">
        <f aca="true">OFFSET(T13,0,-1)+1</f>
        <v>4</v>
      </c>
      <c r="U13" s="340" t="n">
        <f aca="true">OFFSET(U13,0,-1)+1</f>
        <v>5</v>
      </c>
      <c r="V13" s="340" t="n">
        <f aca="true">OFFSET(V13,0,-1)+1</f>
        <v>6</v>
      </c>
      <c r="W13" s="340" t="n">
        <f aca="true">OFFSET(W13,0,-1)+1</f>
        <v>7</v>
      </c>
      <c r="X13" s="340" t="n">
        <f aca="true">OFFSET(X13,0,-1)+1</f>
        <v>8</v>
      </c>
      <c r="Y13" s="340" t="n">
        <f aca="true">OFFSET(Y13,0,-1)+1</f>
        <v>9</v>
      </c>
      <c r="Z13" s="342" t="n">
        <f aca="true">OFFSET(Z13,0,-1)+1</f>
        <v>10</v>
      </c>
      <c r="AB13" s="343" t="n">
        <f aca="true">OFFSET(AB13,0,-1)+1</f>
        <v>1</v>
      </c>
      <c r="AC13" s="344" t="n">
        <f aca="true">OFFSET(AC13,0,-1)+1</f>
        <v>2</v>
      </c>
      <c r="AD13" s="344" t="n">
        <f aca="true">OFFSET(AD13,0,-1)+1</f>
        <v>3</v>
      </c>
      <c r="AE13" s="344" t="n">
        <f aca="true">OFFSET(AE13,0,-1)+1</f>
        <v>4</v>
      </c>
      <c r="AF13" s="344" t="n">
        <f aca="true">OFFSET(AF13,0,-1)+1</f>
        <v>5</v>
      </c>
      <c r="AG13" s="344" t="n">
        <f aca="true">OFFSET(AG13,0,-1)+1</f>
        <v>6</v>
      </c>
      <c r="AH13" s="344" t="n">
        <f aca="true">OFFSET(AH13,0,-1)+1</f>
        <v>7</v>
      </c>
      <c r="AI13" s="344" t="n">
        <f aca="true">OFFSET(AI13,0,-1)+1</f>
        <v>8</v>
      </c>
      <c r="AJ13" s="344" t="n">
        <f aca="true">OFFSET(AJ13,0,-1)+1</f>
        <v>9</v>
      </c>
      <c r="AK13" s="345" t="n">
        <f aca="true">OFFSET(AK13,0,-1)+1</f>
        <v>10</v>
      </c>
      <c r="AM13" s="343" t="n">
        <f aca="true">OFFSET(AM13,0,-1)+1</f>
        <v>1</v>
      </c>
      <c r="AN13" s="344" t="n">
        <f aca="true">OFFSET(AN13,0,-1)+1</f>
        <v>2</v>
      </c>
      <c r="AO13" s="344" t="n">
        <f aca="true">OFFSET(AO13,0,-1)+1</f>
        <v>3</v>
      </c>
      <c r="AP13" s="344" t="n">
        <f aca="true">OFFSET(AP13,0,-1)+1</f>
        <v>4</v>
      </c>
      <c r="AQ13" s="344" t="n">
        <f aca="true">OFFSET(AQ13,0,-1)+1</f>
        <v>5</v>
      </c>
      <c r="AR13" s="344" t="n">
        <f aca="true">OFFSET(AR13,0,-1)+1</f>
        <v>6</v>
      </c>
      <c r="AS13" s="344" t="n">
        <f aca="true">OFFSET(AS13,0,-1)+1</f>
        <v>7</v>
      </c>
      <c r="AT13" s="344" t="n">
        <f aca="true">OFFSET(AT13,0,-1)+1</f>
        <v>8</v>
      </c>
      <c r="AU13" s="344" t="n">
        <f aca="true">OFFSET(AU13,0,-1)+1</f>
        <v>9</v>
      </c>
      <c r="AV13" s="345" t="n">
        <f aca="true">OFFSET(AV13,0,-1)+1</f>
        <v>10</v>
      </c>
      <c r="AX13" s="343" t="n">
        <f aca="true">OFFSET(AX13,0,-1)+1</f>
        <v>1</v>
      </c>
      <c r="AY13" s="344" t="n">
        <f aca="true">OFFSET(AY13,0,-1)+1</f>
        <v>2</v>
      </c>
      <c r="AZ13" s="344" t="n">
        <f aca="true">OFFSET(AZ13,0,-1)+1</f>
        <v>3</v>
      </c>
      <c r="BA13" s="344" t="n">
        <f aca="true">OFFSET(BA13,0,-1)+1</f>
        <v>4</v>
      </c>
      <c r="BB13" s="344" t="n">
        <f aca="true">OFFSET(BB13,0,-1)+1</f>
        <v>5</v>
      </c>
      <c r="BC13" s="344" t="n">
        <f aca="true">OFFSET(BC13,0,-1)+1</f>
        <v>6</v>
      </c>
      <c r="BD13" s="344" t="n">
        <f aca="true">OFFSET(BD13,0,-1)+1</f>
        <v>7</v>
      </c>
      <c r="BE13" s="344" t="n">
        <f aca="true">OFFSET(BE13,0,-1)+1</f>
        <v>8</v>
      </c>
      <c r="BF13" s="344" t="n">
        <f aca="true">OFFSET(BF13,0,-1)+1</f>
        <v>9</v>
      </c>
      <c r="BG13" s="345" t="n">
        <f aca="true">OFFSET(BG13,0,-1)+1</f>
        <v>10</v>
      </c>
    </row>
    <row r="14" customFormat="false" ht="12.75" hidden="true" customHeight="false" outlineLevel="0" collapsed="false">
      <c r="A14" s="49" t="str">
        <f aca="true">IF(AUTOEVENTO="Manual",IF(K14&lt;&gt;"",MIN(VALUE(LEFT(K14,FIND(".",K14)-1)),COUNTA(EVENTOS.Lista)),0),IF(OR($B14&gt;AUTOEVENTO,$B14="S",$B14=0),SUBSTITUTE(OFFSET($A14,-1,0),IF($D14="Serviço",".",""),""),ROW(A14)-ROW($A$15)&amp;"."))</f>
        <v>AUTOEVENTO</v>
      </c>
      <c r="B14" s="49" t="str">
        <f aca="true">OFFSET(ORÇAMENTO!C$15,ROW(B14)-ROW(B$15),0)</f>
        <v>S</v>
      </c>
      <c r="C14" s="49" t="str">
        <f aca="true">OFFSET(ORÇAMENTO!L$15,ROW(C14)-ROW(C$15),0)</f>
        <v/>
      </c>
      <c r="D14" s="201" t="str">
        <f aca="true">OFFSET(ORÇAMENTO!N$15,ROW(D14)-ROW(D$15),0)</f>
        <v>Serviço</v>
      </c>
      <c r="E14" s="202" t="str">
        <f aca="true">OFFSET(ORÇAMENTO!O$15,ROW(E14)-ROW(E$15),0)</f>
        <v>-</v>
      </c>
      <c r="F14" s="346" t="str">
        <f aca="true">OFFSET(ORÇAMENTO!R$15,ROW(F14)-ROW(F$15),0)</f>
        <v>(abra o arquivo 'Referência 09-2025.xlsm)</v>
      </c>
      <c r="G14" s="347" t="str">
        <f aca="true">IF($D14&lt;&gt;"Serviço","",OFFSET(ORÇAMENTO!S$15,ROW(G14)-ROW(G$15),0))</f>
        <v>-</v>
      </c>
      <c r="H14" s="207" t="n">
        <f aca="true">IF($D14&lt;&gt;"Serviço",0,IF(ACOMPANHAMENTO="BM",ROUND(OFFSET(ORÇAMENTO!AJ$15,ROW(H14)-ROW(H$15),0),15-13*ORÇAMENTO!$AF$7),SUMPRODUCT(($Q$1:$AA$1=1)*ROUND($Q14:$AA14,15-13*ORÇAMENTO!$AF$7))))</f>
        <v>0</v>
      </c>
      <c r="I14" s="348"/>
      <c r="J14" s="349" t="e">
        <f aca="false" t="array" ref="J14:J14">IF(B14&lt;&gt;"S","",IF(AND(ACOMPANHAMENTO="PLE",AUTOEVENTO="Manual",OR(H14&gt;0,ORÇAMENTO!AC14="QUANT."),OR(K14="",M14=0,N14="")),"►",IF(AND(ACOMPANHAMENTO="PLE",ORÇAMENTO!AC14="QUANT."),"►►",IF(AND(COUNTIF($P$11:$AA$11,"▼")=0,H14&gt;0,I14=""),"◄",""))))</f>
        <v>#VALUE!</v>
      </c>
      <c r="K14" s="350"/>
      <c r="L14" s="351" t="s">
        <v>807</v>
      </c>
      <c r="M14" s="352" t="str">
        <f aca="true">IF($D14&lt;&gt;"Serviço","",
          IF(AUTOEVENTO="manual",$A14,
                IF(ISERROR(MATCH($A14,$A$15:OFFSET($A14,-1,0),0)),MAX($M$15:OFFSET(M14,-1,0))+1,
                      INDEX($M$15:OFFSET(M14,-1,0),MATCH($A14,$A$15:OFFSET($A14,-1,0),0)))))</f>
        <v># Evento</v>
      </c>
      <c r="N14" s="353" t="e">
        <f aca="true">IF($D14&lt;&gt;"Serviço","",
         IF(AUTOEVENTO="Manual",
                IF($A14=0,"&lt;-- defina o número do agrupador",
                       OFFSET(EVENTOS!$D$15,$A14-$A$15,0)),
                OFFSET($F$15,$A14,0)))</f>
        <v>#VALUE!</v>
      </c>
      <c r="O14" s="354"/>
      <c r="Q14" s="354"/>
      <c r="R14" s="355"/>
      <c r="S14" s="355"/>
      <c r="T14" s="355"/>
      <c r="U14" s="355"/>
      <c r="V14" s="355"/>
      <c r="W14" s="355"/>
      <c r="X14" s="355"/>
      <c r="Y14" s="355"/>
      <c r="Z14" s="356"/>
      <c r="AB14" s="357" t="n">
        <f aca="true">IF(AND($D14="Serviço",AB$12&lt;&gt;0,$H14&gt;0,OR(AUTOEVENTO&lt;&gt;"manual",$M14&lt;&gt;$A$15)),
        IF(Import.TipoArredondamento&lt;&gt;"TransfereGOV",
              ROUND(OFFSET($P14,0,AB$13),15-13*ORÇAMENTO!$AF$7)/$H14*OFFSET(ORÇAMENTO!$X$15,ROW(AB14)-ROW(AB$15),0),
              ROUND(ROUND(OFFSET($P14,0,AB$13),15-13*ORÇAMENTO!$AF$7)*OFFSET(ORÇAMENTO!$W$15,ROW(AB14)-ROW(AB$15),0),15-13*ORÇAMENTO!$AF$11)),
         0)</f>
        <v>0</v>
      </c>
      <c r="AC14" s="357" t="n">
        <f aca="true">IF(AND($D14="Serviço",AC$12&lt;&gt;0,$H14&gt;0,OR(AUTOEVENTO&lt;&gt;"manual",$M14&lt;&gt;$A$15)),
        IF(Import.TipoArredondamento&lt;&gt;"TransfereGOV",
              ROUND(OFFSET($P14,0,AC$13),15-13*ORÇAMENTO!$AF$7)/$H14*OFFSET(ORÇAMENTO!$X$15,ROW(AC14)-ROW(AC$15),0),
              ROUND(ROUND(OFFSET($P14,0,AC$13),15-13*ORÇAMENTO!$AF$7)*OFFSET(ORÇAMENTO!$W$15,ROW(AC14)-ROW(AC$15),0),15-13*ORÇAMENTO!$AF$11)),
         0)</f>
        <v>0</v>
      </c>
      <c r="AD14" s="357" t="n">
        <f aca="true">IF(AND($D14="Serviço",AD$12&lt;&gt;0,$H14&gt;0,OR(AUTOEVENTO&lt;&gt;"manual",$M14&lt;&gt;$A$15)),
        IF(Import.TipoArredondamento&lt;&gt;"TransfereGOV",
              ROUND(OFFSET($P14,0,AD$13),15-13*ORÇAMENTO!$AF$7)/$H14*OFFSET(ORÇAMENTO!$X$15,ROW(AD14)-ROW(AD$15),0),
              ROUND(ROUND(OFFSET($P14,0,AD$13),15-13*ORÇAMENTO!$AF$7)*OFFSET(ORÇAMENTO!$W$15,ROW(AD14)-ROW(AD$15),0),15-13*ORÇAMENTO!$AF$11)),
         0)</f>
        <v>0</v>
      </c>
      <c r="AE14" s="357" t="n">
        <f aca="true">IF(AND($D14="Serviço",AE$12&lt;&gt;0,$H14&gt;0,OR(AUTOEVENTO&lt;&gt;"manual",$M14&lt;&gt;$A$15)),
        IF(Import.TipoArredondamento&lt;&gt;"TransfereGOV",
              ROUND(OFFSET($P14,0,AE$13),15-13*ORÇAMENTO!$AF$7)/$H14*OFFSET(ORÇAMENTO!$X$15,ROW(AE14)-ROW(AE$15),0),
              ROUND(ROUND(OFFSET($P14,0,AE$13),15-13*ORÇAMENTO!$AF$7)*OFFSET(ORÇAMENTO!$W$15,ROW(AE14)-ROW(AE$15),0),15-13*ORÇAMENTO!$AF$11)),
         0)</f>
        <v>0</v>
      </c>
      <c r="AF14" s="357" t="n">
        <f aca="true">IF(AND($D14="Serviço",AF$12&lt;&gt;0,$H14&gt;0,OR(AUTOEVENTO&lt;&gt;"manual",$M14&lt;&gt;$A$15)),
        IF(Import.TipoArredondamento&lt;&gt;"TransfereGOV",
              ROUND(OFFSET($P14,0,AF$13),15-13*ORÇAMENTO!$AF$7)/$H14*OFFSET(ORÇAMENTO!$X$15,ROW(AF14)-ROW(AF$15),0),
              ROUND(ROUND(OFFSET($P14,0,AF$13),15-13*ORÇAMENTO!$AF$7)*OFFSET(ORÇAMENTO!$W$15,ROW(AF14)-ROW(AF$15),0),15-13*ORÇAMENTO!$AF$11)),
         0)</f>
        <v>0</v>
      </c>
      <c r="AG14" s="357" t="n">
        <f aca="true">IF(AND($D14="Serviço",AG$12&lt;&gt;0,$H14&gt;0,OR(AUTOEVENTO&lt;&gt;"manual",$M14&lt;&gt;$A$15)),
        IF(Import.TipoArredondamento&lt;&gt;"TransfereGOV",
              ROUND(OFFSET($P14,0,AG$13),15-13*ORÇAMENTO!$AF$7)/$H14*OFFSET(ORÇAMENTO!$X$15,ROW(AG14)-ROW(AG$15),0),
              ROUND(ROUND(OFFSET($P14,0,AG$13),15-13*ORÇAMENTO!$AF$7)*OFFSET(ORÇAMENTO!$W$15,ROW(AG14)-ROW(AG$15),0),15-13*ORÇAMENTO!$AF$11)),
         0)</f>
        <v>0</v>
      </c>
      <c r="AH14" s="357" t="n">
        <f aca="true">IF(AND($D14="Serviço",AH$12&lt;&gt;0,$H14&gt;0,OR(AUTOEVENTO&lt;&gt;"manual",$M14&lt;&gt;$A$15)),
        IF(Import.TipoArredondamento&lt;&gt;"TransfereGOV",
              ROUND(OFFSET($P14,0,AH$13),15-13*ORÇAMENTO!$AF$7)/$H14*OFFSET(ORÇAMENTO!$X$15,ROW(AH14)-ROW(AH$15),0),
              ROUND(ROUND(OFFSET($P14,0,AH$13),15-13*ORÇAMENTO!$AF$7)*OFFSET(ORÇAMENTO!$W$15,ROW(AH14)-ROW(AH$15),0),15-13*ORÇAMENTO!$AF$11)),
         0)</f>
        <v>0</v>
      </c>
      <c r="AI14" s="357" t="n">
        <f aca="true">IF(AND($D14="Serviço",AI$12&lt;&gt;0,$H14&gt;0,OR(AUTOEVENTO&lt;&gt;"manual",$M14&lt;&gt;$A$15)),
        IF(Import.TipoArredondamento&lt;&gt;"TransfereGOV",
              ROUND(OFFSET($P14,0,AI$13),15-13*ORÇAMENTO!$AF$7)/$H14*OFFSET(ORÇAMENTO!$X$15,ROW(AI14)-ROW(AI$15),0),
              ROUND(ROUND(OFFSET($P14,0,AI$13),15-13*ORÇAMENTO!$AF$7)*OFFSET(ORÇAMENTO!$W$15,ROW(AI14)-ROW(AI$15),0),15-13*ORÇAMENTO!$AF$11)),
         0)</f>
        <v>0</v>
      </c>
      <c r="AJ14" s="357" t="n">
        <f aca="true">IF(AND($D14="Serviço",AJ$12&lt;&gt;0,$H14&gt;0,OR(AUTOEVENTO&lt;&gt;"manual",$M14&lt;&gt;$A$15)),
        IF(Import.TipoArredondamento&lt;&gt;"TransfereGOV",
              ROUND(OFFSET($P14,0,AJ$13),15-13*ORÇAMENTO!$AF$7)/$H14*OFFSET(ORÇAMENTO!$X$15,ROW(AJ14)-ROW(AJ$15),0),
              ROUND(ROUND(OFFSET($P14,0,AJ$13),15-13*ORÇAMENTO!$AF$7)*OFFSET(ORÇAMENTO!$W$15,ROW(AJ14)-ROW(AJ$15),0),15-13*ORÇAMENTO!$AF$11)),
         0)</f>
        <v>0</v>
      </c>
      <c r="AK14" s="357" t="n">
        <f aca="true">IF(AND($D14="Serviço",AK$12&lt;&gt;0,$H14&gt;0,OR(AUTOEVENTO&lt;&gt;"manual",$M14&lt;&gt;$A$15)),
        IF(Import.TipoArredondamento&lt;&gt;"TransfereGOV",
              ROUND(OFFSET($P14,0,AK$13),15-13*ORÇAMENTO!$AF$7)/$H14*OFFSET(ORÇAMENTO!$X$15,ROW(AK14)-ROW(AK$15),0),
              ROUND(ROUND(OFFSET($P14,0,AK$13),15-13*ORÇAMENTO!$AF$7)*OFFSET(ORÇAMENTO!$W$15,ROW(AK14)-ROW(AK$15),0),15-13*ORÇAMENTO!$AF$11)),
         0)</f>
        <v>0</v>
      </c>
      <c r="AM14" s="358" t="e">
        <f aca="true">IF(OR($D14&lt;&gt;"Serviço",AND(AUTOEVENTO="Manual",$M14=$A$15)),0,
         IF(OFFSET(CRONOPLE!$F$15,$M14-$A$15,AM$13)="",10^12,OFFSET(CRONOPLE!$F$15,$M14-$A$15,AM$13)))</f>
        <v>#VALUE!</v>
      </c>
      <c r="AN14" s="358" t="e">
        <f aca="true">IF(OR($D14&lt;&gt;"Serviço",AND(AUTOEVENTO="Manual",$M14=$A$15)),0,
         IF(OFFSET(CRONOPLE!$F$15,$M14-$A$15,AN$13)="",10^12,OFFSET(CRONOPLE!$F$15,$M14-$A$15,AN$13)))</f>
        <v>#VALUE!</v>
      </c>
      <c r="AO14" s="358" t="e">
        <f aca="true">IF(OR($D14&lt;&gt;"Serviço",AND(AUTOEVENTO="Manual",$M14=$A$15)),0,
         IF(OFFSET(CRONOPLE!$F$15,$M14-$A$15,AO$13)="",10^12,OFFSET(CRONOPLE!$F$15,$M14-$A$15,AO$13)))</f>
        <v>#VALUE!</v>
      </c>
      <c r="AP14" s="358" t="e">
        <f aca="true">IF(OR($D14&lt;&gt;"Serviço",AND(AUTOEVENTO="Manual",$M14=$A$15)),0,
         IF(OFFSET(CRONOPLE!$F$15,$M14-$A$15,AP$13)="",10^12,OFFSET(CRONOPLE!$F$15,$M14-$A$15,AP$13)))</f>
        <v>#VALUE!</v>
      </c>
      <c r="AQ14" s="358" t="e">
        <f aca="true">IF(OR($D14&lt;&gt;"Serviço",AND(AUTOEVENTO="Manual",$M14=$A$15)),0,
         IF(OFFSET(CRONOPLE!$F$15,$M14-$A$15,AQ$13)="",10^12,OFFSET(CRONOPLE!$F$15,$M14-$A$15,AQ$13)))</f>
        <v>#VALUE!</v>
      </c>
      <c r="AR14" s="358" t="e">
        <f aca="true">IF(OR($D14&lt;&gt;"Serviço",AND(AUTOEVENTO="Manual",$M14=$A$15)),0,
         IF(OFFSET(CRONOPLE!$F$15,$M14-$A$15,AR$13)="",10^12,OFFSET(CRONOPLE!$F$15,$M14-$A$15,AR$13)))</f>
        <v>#VALUE!</v>
      </c>
      <c r="AS14" s="358" t="e">
        <f aca="true">IF(OR($D14&lt;&gt;"Serviço",AND(AUTOEVENTO="Manual",$M14=$A$15)),0,
         IF(OFFSET(CRONOPLE!$F$15,$M14-$A$15,AS$13)="",10^12,OFFSET(CRONOPLE!$F$15,$M14-$A$15,AS$13)))</f>
        <v>#VALUE!</v>
      </c>
      <c r="AT14" s="358" t="e">
        <f aca="true">IF(OR($D14&lt;&gt;"Serviço",AND(AUTOEVENTO="Manual",$M14=$A$15)),0,
         IF(OFFSET(CRONOPLE!$F$15,$M14-$A$15,AT$13)="",10^12,OFFSET(CRONOPLE!$F$15,$M14-$A$15,AT$13)))</f>
        <v>#VALUE!</v>
      </c>
      <c r="AU14" s="358" t="e">
        <f aca="true">IF(OR($D14&lt;&gt;"Serviço",AND(AUTOEVENTO="Manual",$M14=$A$15)),0,
         IF(OFFSET(CRONOPLE!$F$15,$M14-$A$15,AU$13)="",10^12,OFFSET(CRONOPLE!$F$15,$M14-$A$15,AU$13)))</f>
        <v>#VALUE!</v>
      </c>
      <c r="AV14" s="358" t="e">
        <f aca="true">IF(OR($D14&lt;&gt;"Serviço",AND(AUTOEVENTO="Manual",$M14=$A$15)),0,
         IF(OFFSET(CRONOPLE!$F$15,$M14-$A$15,AV$13)="",10^12,OFFSET(CRONOPLE!$F$15,$M14-$A$15,AV$13)))</f>
        <v>#VALUE!</v>
      </c>
      <c r="AX14" s="359" t="n">
        <f aca="true">IF(OR($D14&lt;&gt;"Serviço",AND(AUTOEVENTO="Manual",$M14=$A$15),$M14&gt;(ROW(PLE.lastrow)-ROW(PLE.firstrow))),0,
           IF(OFFSET(PLE!$G$15,$M14-$A$15,AX$13)="",10^12,OFFSET(PLE!$G$15,$M14-$A$15,AX$13)))</f>
        <v>0</v>
      </c>
      <c r="AY14" s="359" t="n">
        <f aca="true">IF(OR($D14&lt;&gt;"Serviço",AND(AUTOEVENTO="Manual",$M14=$A$15),$M14&gt;(ROW(PLE.lastrow)-ROW(PLE.firstrow))),0,
           IF(OFFSET(PLE!$G$15,$M14-$A$15,AY$13)="",10^12,OFFSET(PLE!$G$15,$M14-$A$15,AY$13)))</f>
        <v>0</v>
      </c>
      <c r="AZ14" s="359" t="n">
        <f aca="true">IF(OR($D14&lt;&gt;"Serviço",AND(AUTOEVENTO="Manual",$M14=$A$15),$M14&gt;(ROW(PLE.lastrow)-ROW(PLE.firstrow))),0,
           IF(OFFSET(PLE!$G$15,$M14-$A$15,AZ$13)="",10^12,OFFSET(PLE!$G$15,$M14-$A$15,AZ$13)))</f>
        <v>0</v>
      </c>
      <c r="BA14" s="359" t="n">
        <f aca="true">IF(OR($D14&lt;&gt;"Serviço",AND(AUTOEVENTO="Manual",$M14=$A$15),$M14&gt;(ROW(PLE.lastrow)-ROW(PLE.firstrow))),0,
           IF(OFFSET(PLE!$G$15,$M14-$A$15,BA$13)="",10^12,OFFSET(PLE!$G$15,$M14-$A$15,BA$13)))</f>
        <v>0</v>
      </c>
      <c r="BB14" s="359" t="n">
        <f aca="true">IF(OR($D14&lt;&gt;"Serviço",AND(AUTOEVENTO="Manual",$M14=$A$15),$M14&gt;(ROW(PLE.lastrow)-ROW(PLE.firstrow))),0,
           IF(OFFSET(PLE!$G$15,$M14-$A$15,BB$13)="",10^12,OFFSET(PLE!$G$15,$M14-$A$15,BB$13)))</f>
        <v>0</v>
      </c>
      <c r="BC14" s="359" t="n">
        <f aca="true">IF(OR($D14&lt;&gt;"Serviço",AND(AUTOEVENTO="Manual",$M14=$A$15),$M14&gt;(ROW(PLE.lastrow)-ROW(PLE.firstrow))),0,
           IF(OFFSET(PLE!$G$15,$M14-$A$15,BC$13)="",10^12,OFFSET(PLE!$G$15,$M14-$A$15,BC$13)))</f>
        <v>0</v>
      </c>
      <c r="BD14" s="359" t="n">
        <f aca="true">IF(OR($D14&lt;&gt;"Serviço",AND(AUTOEVENTO="Manual",$M14=$A$15),$M14&gt;(ROW(PLE.lastrow)-ROW(PLE.firstrow))),0,
           IF(OFFSET(PLE!$G$15,$M14-$A$15,BD$13)="",10^12,OFFSET(PLE!$G$15,$M14-$A$15,BD$13)))</f>
        <v>0</v>
      </c>
      <c r="BE14" s="359" t="n">
        <f aca="true">IF(OR($D14&lt;&gt;"Serviço",AND(AUTOEVENTO="Manual",$M14=$A$15),$M14&gt;(ROW(PLE.lastrow)-ROW(PLE.firstrow))),0,
           IF(OFFSET(PLE!$G$15,$M14-$A$15,BE$13)="",10^12,OFFSET(PLE!$G$15,$M14-$A$15,BE$13)))</f>
        <v>0</v>
      </c>
      <c r="BF14" s="359" t="n">
        <f aca="true">IF(OR($D14&lt;&gt;"Serviço",AND(AUTOEVENTO="Manual",$M14=$A$15),$M14&gt;(ROW(PLE.lastrow)-ROW(PLE.firstrow))),0,
           IF(OFFSET(PLE!$G$15,$M14-$A$15,BF$13)="",10^12,OFFSET(PLE!$G$15,$M14-$A$15,BF$13)))</f>
        <v>0</v>
      </c>
      <c r="BG14" s="359" t="n">
        <f aca="true">IF(OR($D14&lt;&gt;"Serviço",AND(AUTOEVENTO="Manual",$M14=$A$15),$M14&gt;(ROW(PLE.lastrow)-ROW(PLE.firstrow))),0,
           IF(OFFSET(PLE!$G$15,$M14-$A$15,BG$13)="",10^12,OFFSET(PLE!$G$15,$M14-$A$15,BG$13)))</f>
        <v>0</v>
      </c>
    </row>
    <row r="15" customFormat="false" ht="12.75" hidden="false" customHeight="true" outlineLevel="0" collapsed="false">
      <c r="A15" s="49" t="n">
        <f aca="false" t="array" ref="A15:A15">IF(AdmLocal="Automática",1,0)</f>
        <v>0</v>
      </c>
      <c r="B15" s="49" t="str">
        <f aca="true">OFFSET(ORÇAMENTO!C$15,ROW(B15)-ROW(B$15),0)</f>
        <v>L</v>
      </c>
      <c r="C15" s="49" t="str">
        <f aca="true">OFFSET(ORÇAMENTO!L$15,ROW(C15)-ROW(C$15),0)</f>
        <v>F</v>
      </c>
      <c r="D15" s="222" t="str">
        <f aca="false">IF(TIPOORCAMENTO="LICITADO","CTEF","LOTE")</f>
        <v>LOTE</v>
      </c>
      <c r="E15" s="360" t="str">
        <f aca="false">Import.DescLote</f>
        <v>REFORMA DO TELHADO</v>
      </c>
      <c r="F15" s="360"/>
      <c r="G15" s="360"/>
      <c r="H15" s="360"/>
      <c r="I15" s="361"/>
      <c r="J15" s="339"/>
      <c r="K15" s="362"/>
      <c r="L15" s="351" t="s">
        <v>807</v>
      </c>
      <c r="M15" s="363" t="n">
        <v>0</v>
      </c>
      <c r="N15" s="364" t="s">
        <v>820</v>
      </c>
      <c r="O15" s="365" t="e">
        <f aca="true">OFFSET($AA$15,0,O$13)</f>
        <v>#VALUE!</v>
      </c>
      <c r="Q15" s="366" t="n">
        <f aca="true">OFFSET($AA$15,0,Q$13)</f>
        <v>0</v>
      </c>
      <c r="R15" s="365" t="n">
        <f aca="true">OFFSET($AA$15,0,R$13)</f>
        <v>0</v>
      </c>
      <c r="S15" s="365" t="n">
        <f aca="true">OFFSET($AA$15,0,S$13)</f>
        <v>0</v>
      </c>
      <c r="T15" s="365" t="n">
        <f aca="true">OFFSET($AA$15,0,T$13)</f>
        <v>0</v>
      </c>
      <c r="U15" s="365" t="n">
        <f aca="true">OFFSET($AA$15,0,U$13)</f>
        <v>0</v>
      </c>
      <c r="V15" s="365" t="n">
        <f aca="true">OFFSET($AA$15,0,V$13)</f>
        <v>0</v>
      </c>
      <c r="W15" s="365" t="n">
        <f aca="true">OFFSET($AA$15,0,W$13)</f>
        <v>0</v>
      </c>
      <c r="X15" s="365" t="n">
        <f aca="true">OFFSET($AA$15,0,X$13)</f>
        <v>0</v>
      </c>
      <c r="Y15" s="365" t="n">
        <f aca="true">OFFSET($AA$15,0,Y$13)</f>
        <v>0</v>
      </c>
      <c r="Z15" s="367" t="n">
        <f aca="true">OFFSET($AA$15,0,Z$13)</f>
        <v>0</v>
      </c>
      <c r="AB15" s="368" t="n">
        <f aca="true">ROUND(SUM(OFFSET(AB$15,1,0):AB$40),2)</f>
        <v>0</v>
      </c>
      <c r="AC15" s="368" t="n">
        <f aca="true">SUM(OFFSET(AC$15,1,0):AC$40)</f>
        <v>0</v>
      </c>
      <c r="AD15" s="368" t="n">
        <f aca="true">SUM(OFFSET(AD$15,1,0):AD$40)</f>
        <v>0</v>
      </c>
      <c r="AE15" s="368" t="n">
        <f aca="true">SUM(OFFSET(AE$15,1,0):AE$40)</f>
        <v>0</v>
      </c>
      <c r="AF15" s="368" t="n">
        <f aca="true">SUM(OFFSET(AF$15,1,0):AF$40)</f>
        <v>0</v>
      </c>
      <c r="AG15" s="368" t="n">
        <f aca="true">SUM(OFFSET(AG$15,1,0):AG$40)</f>
        <v>0</v>
      </c>
      <c r="AH15" s="368" t="n">
        <f aca="true">SUM(OFFSET(AH$15,1,0):AH$40)</f>
        <v>0</v>
      </c>
      <c r="AI15" s="368" t="n">
        <f aca="true">SUM(OFFSET(AI$15,1,0):AI$40)</f>
        <v>0</v>
      </c>
      <c r="AJ15" s="368" t="n">
        <f aca="true">SUM(OFFSET(AJ$15,1,0):AJ$40)</f>
        <v>0</v>
      </c>
      <c r="AK15" s="368" t="n">
        <f aca="true">SUM(OFFSET(AK$15,1,0):AK$40)</f>
        <v>0</v>
      </c>
      <c r="AM15" s="369" t="n">
        <f aca="false">10^12</f>
        <v>1000000000000</v>
      </c>
      <c r="AN15" s="369" t="n">
        <f aca="false">10^12</f>
        <v>1000000000000</v>
      </c>
      <c r="AO15" s="369" t="n">
        <f aca="false">10^12</f>
        <v>1000000000000</v>
      </c>
      <c r="AP15" s="369" t="n">
        <f aca="false">10^12</f>
        <v>1000000000000</v>
      </c>
      <c r="AQ15" s="369" t="n">
        <f aca="false">10^12</f>
        <v>1000000000000</v>
      </c>
      <c r="AR15" s="369" t="n">
        <f aca="false">10^12</f>
        <v>1000000000000</v>
      </c>
      <c r="AS15" s="369" t="n">
        <f aca="false">10^12</f>
        <v>1000000000000</v>
      </c>
      <c r="AT15" s="369" t="n">
        <f aca="false">10^12</f>
        <v>1000000000000</v>
      </c>
      <c r="AU15" s="369" t="n">
        <f aca="false">10^12</f>
        <v>1000000000000</v>
      </c>
      <c r="AV15" s="369" t="n">
        <f aca="false">10^12</f>
        <v>1000000000000</v>
      </c>
      <c r="AX15" s="369" t="n">
        <f aca="false">10^12</f>
        <v>1000000000000</v>
      </c>
      <c r="AY15" s="369" t="n">
        <f aca="false">10^12</f>
        <v>1000000000000</v>
      </c>
      <c r="AZ15" s="369" t="n">
        <f aca="false">10^12</f>
        <v>1000000000000</v>
      </c>
      <c r="BA15" s="369" t="n">
        <f aca="false">10^12</f>
        <v>1000000000000</v>
      </c>
      <c r="BB15" s="369" t="n">
        <f aca="false">10^12</f>
        <v>1000000000000</v>
      </c>
      <c r="BC15" s="369" t="n">
        <f aca="false">10^12</f>
        <v>1000000000000</v>
      </c>
      <c r="BD15" s="369" t="n">
        <f aca="false">10^12</f>
        <v>1000000000000</v>
      </c>
      <c r="BE15" s="369" t="n">
        <f aca="false">10^12</f>
        <v>1000000000000</v>
      </c>
      <c r="BF15" s="369" t="n">
        <f aca="false">10^12</f>
        <v>1000000000000</v>
      </c>
      <c r="BG15" s="369" t="n">
        <f aca="false">10^12</f>
        <v>1000000000000</v>
      </c>
    </row>
    <row r="16" s="1" customFormat="true" ht="12.75" hidden="false" customHeight="false" outlineLevel="0" collapsed="false">
      <c r="A16" s="49" t="str">
        <f aca="true">IF(AUTOEVENTO="Manual",IF(K16&lt;&gt;"",MIN(VALUE(LEFT(K16,FIND(".",K16)-1)),COUNTA(EVENTOS.Lista)),0),IF(OR($B16&gt;AUTOEVENTO,$B16="S",$B16=0),SUBSTITUTE(OFFSET($A16,-1,0),IF($D16="Serviço",".",""),""),ROW(A16)-ROW($A$15)&amp;"."))</f>
        <v>1.</v>
      </c>
      <c r="B16" s="49" t="n">
        <f aca="true">OFFSET(ORÇAMENTO!C$15,ROW(B16)-ROW(B$15),0)</f>
        <v>1</v>
      </c>
      <c r="C16" s="49" t="str">
        <f aca="true">OFFSET(ORÇAMENTO!L$15,ROW(C16)-ROW(C$15),0)</f>
        <v>F</v>
      </c>
      <c r="D16" s="201" t="str">
        <f aca="true">OFFSET(ORÇAMENTO!N$15,ROW(D16)-ROW(D$15),0)</f>
        <v>Meta</v>
      </c>
      <c r="E16" s="202" t="str">
        <f aca="true">OFFSET(ORÇAMENTO!O$15,ROW(E16)-ROW(E$15),0)</f>
        <v>1.</v>
      </c>
      <c r="F16" s="346" t="str">
        <f aca="true">OFFSET(ORÇAMENTO!R$15,ROW(F16)-ROW(F$15),0)</f>
        <v>REFORMA DO TELHADO</v>
      </c>
      <c r="G16" s="347" t="str">
        <f aca="true">IF($D16&lt;&gt;"Serviço","",OFFSET(ORÇAMENTO!S$15,ROW(G16)-ROW(G$15),0))</f>
        <v/>
      </c>
      <c r="H16" s="207" t="n">
        <f aca="true">IF($D16&lt;&gt;"Serviço",0,IF(ACOMPANHAMENTO="BM",ROUND(OFFSET(ORÇAMENTO!AJ$15,ROW(H16)-ROW(H$15),0),15-13*ORÇAMENTO!$AF$7),SUMPRODUCT(($Q$1:$AA$1=1)*ROUND($Q16:$AA16,15-13*ORÇAMENTO!$AF$7))))</f>
        <v>0</v>
      </c>
      <c r="I16" s="348"/>
      <c r="J16" s="349" t="str">
        <f aca="false" t="array" ref="J16:J16">IF(B16&lt;&gt;"S","",IF(AND(ACOMPANHAMENTO="PLE",AUTOEVENTO="Manual",OR(H16&gt;0,ORÇAMENTO!AC16="QUANT."),OR(K16="",M16=0,N16="")),"►",IF(AND(ACOMPANHAMENTO="PLE",ORÇAMENTO!AC16="QUANT."),"►►",IF(AND(COUNTIF($P$11:$AA$11,"▼")=0,H16&gt;0,I16=""),"◄",""))))</f>
        <v/>
      </c>
      <c r="K16" s="350"/>
      <c r="L16" s="351" t="s">
        <v>807</v>
      </c>
      <c r="M16" s="352" t="str">
        <f aca="true">IF($D16&lt;&gt;"Serviço","",
          IF(AUTOEVENTO="manual",$A16,
                IF(ISERROR(MATCH($A16,$A$15:OFFSET($A16,-1,0),0)),MAX($M$15:OFFSET(M16,-1,0))+1,
                      INDEX($M$15:OFFSET(M16,-1,0),MATCH($A16,$A$15:OFFSET($A16,-1,0),0)))))</f>
        <v/>
      </c>
      <c r="N16" s="353" t="str">
        <f aca="true">IF($D16&lt;&gt;"Serviço","",
         IF(AUTOEVENTO="Manual",
                IF($A16=0,"&lt;-- defina o número do agrupador",
                       OFFSET(EVENTOS!$D$15,$A16-$A$15,0)),
                OFFSET($F$15,$A16,0)))</f>
        <v/>
      </c>
      <c r="O16" s="354"/>
      <c r="Q16" s="354"/>
      <c r="R16" s="355"/>
      <c r="S16" s="355"/>
      <c r="T16" s="355"/>
      <c r="U16" s="355"/>
      <c r="V16" s="355"/>
      <c r="W16" s="355"/>
      <c r="X16" s="355"/>
      <c r="Y16" s="355"/>
      <c r="Z16" s="356"/>
      <c r="AB16" s="357" t="n">
        <f aca="true">IF(AND($D16="Serviço",AB$12&lt;&gt;0,$H16&gt;0,OR(AUTOEVENTO&lt;&gt;"manual",$M16&lt;&gt;$A$15)),
        IF(Import.TipoArredondamento&lt;&gt;"TransfereGOV",
              ROUND(OFFSET($P16,0,AB$13),15-13*ORÇAMENTO!$AF$7)/$H16*OFFSET(ORÇAMENTO!$X$15,ROW(AB16)-ROW(AB$15),0),
              ROUND(ROUND(OFFSET($P16,0,AB$13),15-13*ORÇAMENTO!$AF$7)*OFFSET(ORÇAMENTO!$W$15,ROW(AB16)-ROW(AB$15),0),15-13*ORÇAMENTO!$AF$11)),
         0)</f>
        <v>0</v>
      </c>
      <c r="AC16" s="357" t="n">
        <f aca="true">IF(AND($D16="Serviço",AC$12&lt;&gt;0,$H16&gt;0,OR(AUTOEVENTO&lt;&gt;"manual",$M16&lt;&gt;$A$15)),
        IF(Import.TipoArredondamento&lt;&gt;"TransfereGOV",
              ROUND(OFFSET($P16,0,AC$13),15-13*ORÇAMENTO!$AF$7)/$H16*OFFSET(ORÇAMENTO!$X$15,ROW(AC16)-ROW(AC$15),0),
              ROUND(ROUND(OFFSET($P16,0,AC$13),15-13*ORÇAMENTO!$AF$7)*OFFSET(ORÇAMENTO!$W$15,ROW(AC16)-ROW(AC$15),0),15-13*ORÇAMENTO!$AF$11)),
         0)</f>
        <v>0</v>
      </c>
      <c r="AD16" s="357" t="n">
        <f aca="true">IF(AND($D16="Serviço",AD$12&lt;&gt;0,$H16&gt;0,OR(AUTOEVENTO&lt;&gt;"manual",$M16&lt;&gt;$A$15)),
        IF(Import.TipoArredondamento&lt;&gt;"TransfereGOV",
              ROUND(OFFSET($P16,0,AD$13),15-13*ORÇAMENTO!$AF$7)/$H16*OFFSET(ORÇAMENTO!$X$15,ROW(AD16)-ROW(AD$15),0),
              ROUND(ROUND(OFFSET($P16,0,AD$13),15-13*ORÇAMENTO!$AF$7)*OFFSET(ORÇAMENTO!$W$15,ROW(AD16)-ROW(AD$15),0),15-13*ORÇAMENTO!$AF$11)),
         0)</f>
        <v>0</v>
      </c>
      <c r="AE16" s="357" t="n">
        <f aca="true">IF(AND($D16="Serviço",AE$12&lt;&gt;0,$H16&gt;0,OR(AUTOEVENTO&lt;&gt;"manual",$M16&lt;&gt;$A$15)),
        IF(Import.TipoArredondamento&lt;&gt;"TransfereGOV",
              ROUND(OFFSET($P16,0,AE$13),15-13*ORÇAMENTO!$AF$7)/$H16*OFFSET(ORÇAMENTO!$X$15,ROW(AE16)-ROW(AE$15),0),
              ROUND(ROUND(OFFSET($P16,0,AE$13),15-13*ORÇAMENTO!$AF$7)*OFFSET(ORÇAMENTO!$W$15,ROW(AE16)-ROW(AE$15),0),15-13*ORÇAMENTO!$AF$11)),
         0)</f>
        <v>0</v>
      </c>
      <c r="AF16" s="357" t="n">
        <f aca="true">IF(AND($D16="Serviço",AF$12&lt;&gt;0,$H16&gt;0,OR(AUTOEVENTO&lt;&gt;"manual",$M16&lt;&gt;$A$15)),
        IF(Import.TipoArredondamento&lt;&gt;"TransfereGOV",
              ROUND(OFFSET($P16,0,AF$13),15-13*ORÇAMENTO!$AF$7)/$H16*OFFSET(ORÇAMENTO!$X$15,ROW(AF16)-ROW(AF$15),0),
              ROUND(ROUND(OFFSET($P16,0,AF$13),15-13*ORÇAMENTO!$AF$7)*OFFSET(ORÇAMENTO!$W$15,ROW(AF16)-ROW(AF$15),0),15-13*ORÇAMENTO!$AF$11)),
         0)</f>
        <v>0</v>
      </c>
      <c r="AG16" s="357" t="n">
        <f aca="true">IF(AND($D16="Serviço",AG$12&lt;&gt;0,$H16&gt;0,OR(AUTOEVENTO&lt;&gt;"manual",$M16&lt;&gt;$A$15)),
        IF(Import.TipoArredondamento&lt;&gt;"TransfereGOV",
              ROUND(OFFSET($P16,0,AG$13),15-13*ORÇAMENTO!$AF$7)/$H16*OFFSET(ORÇAMENTO!$X$15,ROW(AG16)-ROW(AG$15),0),
              ROUND(ROUND(OFFSET($P16,0,AG$13),15-13*ORÇAMENTO!$AF$7)*OFFSET(ORÇAMENTO!$W$15,ROW(AG16)-ROW(AG$15),0),15-13*ORÇAMENTO!$AF$11)),
         0)</f>
        <v>0</v>
      </c>
      <c r="AH16" s="357" t="n">
        <f aca="true">IF(AND($D16="Serviço",AH$12&lt;&gt;0,$H16&gt;0,OR(AUTOEVENTO&lt;&gt;"manual",$M16&lt;&gt;$A$15)),
        IF(Import.TipoArredondamento&lt;&gt;"TransfereGOV",
              ROUND(OFFSET($P16,0,AH$13),15-13*ORÇAMENTO!$AF$7)/$H16*OFFSET(ORÇAMENTO!$X$15,ROW(AH16)-ROW(AH$15),0),
              ROUND(ROUND(OFFSET($P16,0,AH$13),15-13*ORÇAMENTO!$AF$7)*OFFSET(ORÇAMENTO!$W$15,ROW(AH16)-ROW(AH$15),0),15-13*ORÇAMENTO!$AF$11)),
         0)</f>
        <v>0</v>
      </c>
      <c r="AI16" s="357" t="n">
        <f aca="true">IF(AND($D16="Serviço",AI$12&lt;&gt;0,$H16&gt;0,OR(AUTOEVENTO&lt;&gt;"manual",$M16&lt;&gt;$A$15)),
        IF(Import.TipoArredondamento&lt;&gt;"TransfereGOV",
              ROUND(OFFSET($P16,0,AI$13),15-13*ORÇAMENTO!$AF$7)/$H16*OFFSET(ORÇAMENTO!$X$15,ROW(AI16)-ROW(AI$15),0),
              ROUND(ROUND(OFFSET($P16,0,AI$13),15-13*ORÇAMENTO!$AF$7)*OFFSET(ORÇAMENTO!$W$15,ROW(AI16)-ROW(AI$15),0),15-13*ORÇAMENTO!$AF$11)),
         0)</f>
        <v>0</v>
      </c>
      <c r="AJ16" s="357" t="n">
        <f aca="true">IF(AND($D16="Serviço",AJ$12&lt;&gt;0,$H16&gt;0,OR(AUTOEVENTO&lt;&gt;"manual",$M16&lt;&gt;$A$15)),
        IF(Import.TipoArredondamento&lt;&gt;"TransfereGOV",
              ROUND(OFFSET($P16,0,AJ$13),15-13*ORÇAMENTO!$AF$7)/$H16*OFFSET(ORÇAMENTO!$X$15,ROW(AJ16)-ROW(AJ$15),0),
              ROUND(ROUND(OFFSET($P16,0,AJ$13),15-13*ORÇAMENTO!$AF$7)*OFFSET(ORÇAMENTO!$W$15,ROW(AJ16)-ROW(AJ$15),0),15-13*ORÇAMENTO!$AF$11)),
         0)</f>
        <v>0</v>
      </c>
      <c r="AK16" s="357" t="n">
        <f aca="true">IF(AND($D16="Serviço",AK$12&lt;&gt;0,$H16&gt;0,OR(AUTOEVENTO&lt;&gt;"manual",$M16&lt;&gt;$A$15)),
        IF(Import.TipoArredondamento&lt;&gt;"TransfereGOV",
              ROUND(OFFSET($P16,0,AK$13),15-13*ORÇAMENTO!$AF$7)/$H16*OFFSET(ORÇAMENTO!$X$15,ROW(AK16)-ROW(AK$15),0),
              ROUND(ROUND(OFFSET($P16,0,AK$13),15-13*ORÇAMENTO!$AF$7)*OFFSET(ORÇAMENTO!$W$15,ROW(AK16)-ROW(AK$15),0),15-13*ORÇAMENTO!$AF$11)),
         0)</f>
        <v>0</v>
      </c>
      <c r="AM16" s="358" t="n">
        <f aca="true">IF(OR($D16&lt;&gt;"Serviço",AND(AUTOEVENTO="Manual",$M16=$A$15)),0,
         IF(OFFSET(CRONOPLE!$F$15,$M16-$A$15,AM$13)="",10^12,OFFSET(CRONOPLE!$F$15,$M16-$A$15,AM$13)))</f>
        <v>0</v>
      </c>
      <c r="AN16" s="358" t="n">
        <f aca="true">IF(OR($D16&lt;&gt;"Serviço",AND(AUTOEVENTO="Manual",$M16=$A$15)),0,
         IF(OFFSET(CRONOPLE!$F$15,$M16-$A$15,AN$13)="",10^12,OFFSET(CRONOPLE!$F$15,$M16-$A$15,AN$13)))</f>
        <v>0</v>
      </c>
      <c r="AO16" s="358" t="n">
        <f aca="true">IF(OR($D16&lt;&gt;"Serviço",AND(AUTOEVENTO="Manual",$M16=$A$15)),0,
         IF(OFFSET(CRONOPLE!$F$15,$M16-$A$15,AO$13)="",10^12,OFFSET(CRONOPLE!$F$15,$M16-$A$15,AO$13)))</f>
        <v>0</v>
      </c>
      <c r="AP16" s="358" t="n">
        <f aca="true">IF(OR($D16&lt;&gt;"Serviço",AND(AUTOEVENTO="Manual",$M16=$A$15)),0,
         IF(OFFSET(CRONOPLE!$F$15,$M16-$A$15,AP$13)="",10^12,OFFSET(CRONOPLE!$F$15,$M16-$A$15,AP$13)))</f>
        <v>0</v>
      </c>
      <c r="AQ16" s="358" t="n">
        <f aca="true">IF(OR($D16&lt;&gt;"Serviço",AND(AUTOEVENTO="Manual",$M16=$A$15)),0,
         IF(OFFSET(CRONOPLE!$F$15,$M16-$A$15,AQ$13)="",10^12,OFFSET(CRONOPLE!$F$15,$M16-$A$15,AQ$13)))</f>
        <v>0</v>
      </c>
      <c r="AR16" s="358" t="n">
        <f aca="true">IF(OR($D16&lt;&gt;"Serviço",AND(AUTOEVENTO="Manual",$M16=$A$15)),0,
         IF(OFFSET(CRONOPLE!$F$15,$M16-$A$15,AR$13)="",10^12,OFFSET(CRONOPLE!$F$15,$M16-$A$15,AR$13)))</f>
        <v>0</v>
      </c>
      <c r="AS16" s="358" t="n">
        <f aca="true">IF(OR($D16&lt;&gt;"Serviço",AND(AUTOEVENTO="Manual",$M16=$A$15)),0,
         IF(OFFSET(CRONOPLE!$F$15,$M16-$A$15,AS$13)="",10^12,OFFSET(CRONOPLE!$F$15,$M16-$A$15,AS$13)))</f>
        <v>0</v>
      </c>
      <c r="AT16" s="358" t="n">
        <f aca="true">IF(OR($D16&lt;&gt;"Serviço",AND(AUTOEVENTO="Manual",$M16=$A$15)),0,
         IF(OFFSET(CRONOPLE!$F$15,$M16-$A$15,AT$13)="",10^12,OFFSET(CRONOPLE!$F$15,$M16-$A$15,AT$13)))</f>
        <v>0</v>
      </c>
      <c r="AU16" s="358" t="n">
        <f aca="true">IF(OR($D16&lt;&gt;"Serviço",AND(AUTOEVENTO="Manual",$M16=$A$15)),0,
         IF(OFFSET(CRONOPLE!$F$15,$M16-$A$15,AU$13)="",10^12,OFFSET(CRONOPLE!$F$15,$M16-$A$15,AU$13)))</f>
        <v>0</v>
      </c>
      <c r="AV16" s="358" t="n">
        <f aca="true">IF(OR($D16&lt;&gt;"Serviço",AND(AUTOEVENTO="Manual",$M16=$A$15)),0,
         IF(OFFSET(CRONOPLE!$F$15,$M16-$A$15,AV$13)="",10^12,OFFSET(CRONOPLE!$F$15,$M16-$A$15,AV$13)))</f>
        <v>0</v>
      </c>
      <c r="AX16" s="359" t="n">
        <f aca="true">IF(OR($D16&lt;&gt;"Serviço",AND(AUTOEVENTO="Manual",$M16=$A$15),$M16&gt;(ROW(PLE.lastrow)-ROW(PLE.firstrow))),0,
           IF(OFFSET(PLE!$G$15,$M16-$A$15,AX$13)="",10^12,OFFSET(PLE!$G$15,$M16-$A$15,AX$13)))</f>
        <v>0</v>
      </c>
      <c r="AY16" s="359" t="n">
        <f aca="true">IF(OR($D16&lt;&gt;"Serviço",AND(AUTOEVENTO="Manual",$M16=$A$15),$M16&gt;(ROW(PLE.lastrow)-ROW(PLE.firstrow))),0,
           IF(OFFSET(PLE!$G$15,$M16-$A$15,AY$13)="",10^12,OFFSET(PLE!$G$15,$M16-$A$15,AY$13)))</f>
        <v>0</v>
      </c>
      <c r="AZ16" s="359" t="n">
        <f aca="true">IF(OR($D16&lt;&gt;"Serviço",AND(AUTOEVENTO="Manual",$M16=$A$15),$M16&gt;(ROW(PLE.lastrow)-ROW(PLE.firstrow))),0,
           IF(OFFSET(PLE!$G$15,$M16-$A$15,AZ$13)="",10^12,OFFSET(PLE!$G$15,$M16-$A$15,AZ$13)))</f>
        <v>0</v>
      </c>
      <c r="BA16" s="359" t="n">
        <f aca="true">IF(OR($D16&lt;&gt;"Serviço",AND(AUTOEVENTO="Manual",$M16=$A$15),$M16&gt;(ROW(PLE.lastrow)-ROW(PLE.firstrow))),0,
           IF(OFFSET(PLE!$G$15,$M16-$A$15,BA$13)="",10^12,OFFSET(PLE!$G$15,$M16-$A$15,BA$13)))</f>
        <v>0</v>
      </c>
      <c r="BB16" s="359" t="n">
        <f aca="true">IF(OR($D16&lt;&gt;"Serviço",AND(AUTOEVENTO="Manual",$M16=$A$15),$M16&gt;(ROW(PLE.lastrow)-ROW(PLE.firstrow))),0,
           IF(OFFSET(PLE!$G$15,$M16-$A$15,BB$13)="",10^12,OFFSET(PLE!$G$15,$M16-$A$15,BB$13)))</f>
        <v>0</v>
      </c>
      <c r="BC16" s="359" t="n">
        <f aca="true">IF(OR($D16&lt;&gt;"Serviço",AND(AUTOEVENTO="Manual",$M16=$A$15),$M16&gt;(ROW(PLE.lastrow)-ROW(PLE.firstrow))),0,
           IF(OFFSET(PLE!$G$15,$M16-$A$15,BC$13)="",10^12,OFFSET(PLE!$G$15,$M16-$A$15,BC$13)))</f>
        <v>0</v>
      </c>
      <c r="BD16" s="359" t="n">
        <f aca="true">IF(OR($D16&lt;&gt;"Serviço",AND(AUTOEVENTO="Manual",$M16=$A$15),$M16&gt;(ROW(PLE.lastrow)-ROW(PLE.firstrow))),0,
           IF(OFFSET(PLE!$G$15,$M16-$A$15,BD$13)="",10^12,OFFSET(PLE!$G$15,$M16-$A$15,BD$13)))</f>
        <v>0</v>
      </c>
      <c r="BE16" s="359" t="n">
        <f aca="true">IF(OR($D16&lt;&gt;"Serviço",AND(AUTOEVENTO="Manual",$M16=$A$15),$M16&gt;(ROW(PLE.lastrow)-ROW(PLE.firstrow))),0,
           IF(OFFSET(PLE!$G$15,$M16-$A$15,BE$13)="",10^12,OFFSET(PLE!$G$15,$M16-$A$15,BE$13)))</f>
        <v>0</v>
      </c>
      <c r="BF16" s="359" t="n">
        <f aca="true">IF(OR($D16&lt;&gt;"Serviço",AND(AUTOEVENTO="Manual",$M16=$A$15),$M16&gt;(ROW(PLE.lastrow)-ROW(PLE.firstrow))),0,
           IF(OFFSET(PLE!$G$15,$M16-$A$15,BF$13)="",10^12,OFFSET(PLE!$G$15,$M16-$A$15,BF$13)))</f>
        <v>0</v>
      </c>
      <c r="BG16" s="359" t="n">
        <f aca="true">IF(OR($D16&lt;&gt;"Serviço",AND(AUTOEVENTO="Manual",$M16=$A$15),$M16&gt;(ROW(PLE.lastrow)-ROW(PLE.firstrow))),0,
           IF(OFFSET(PLE!$G$15,$M16-$A$15,BG$13)="",10^12,OFFSET(PLE!$G$15,$M16-$A$15,BG$13)))</f>
        <v>0</v>
      </c>
    </row>
    <row r="17" s="1" customFormat="true" ht="12.75" hidden="false" customHeight="false" outlineLevel="0" collapsed="false">
      <c r="A17" s="49" t="str">
        <f aca="true">IF(AUTOEVENTO="Manual",IF(K17&lt;&gt;"",MIN(VALUE(LEFT(K17,FIND(".",K17)-1)),COUNTA(EVENTOS.Lista)),0),IF(OR($B17&gt;AUTOEVENTO,$B17="S",$B17=0),SUBSTITUTE(OFFSET($A17,-1,0),IF($D17="Serviço",".",""),""),ROW(A17)-ROW($A$15)&amp;"."))</f>
        <v>2.</v>
      </c>
      <c r="B17" s="49" t="n">
        <f aca="true">OFFSET(ORÇAMENTO!C$15,ROW(B17)-ROW(B$15),0)</f>
        <v>2</v>
      </c>
      <c r="C17" s="49" t="str">
        <f aca="true">OFFSET(ORÇAMENTO!L$15,ROW(C17)-ROW(C$15),0)</f>
        <v>F</v>
      </c>
      <c r="D17" s="236" t="str">
        <f aca="true">OFFSET(ORÇAMENTO!N$15,ROW(D17)-ROW(D$15),0)</f>
        <v>Nível 2</v>
      </c>
      <c r="E17" s="202" t="str">
        <f aca="true">OFFSET(ORÇAMENTO!O$15,ROW(E17)-ROW(E$15),0)</f>
        <v>1.1.</v>
      </c>
      <c r="F17" s="346" t="str">
        <f aca="true">OFFSET(ORÇAMENTO!R$15,ROW(F17)-ROW(F$15),0)</f>
        <v>ADMINISTRAÇÃO LOCAL</v>
      </c>
      <c r="G17" s="347" t="str">
        <f aca="true">IF($D17&lt;&gt;"Serviço","",OFFSET(ORÇAMENTO!S$15,ROW(G17)-ROW(G$15),0))</f>
        <v/>
      </c>
      <c r="H17" s="207" t="n">
        <f aca="true">IF($D17&lt;&gt;"Serviço",0,IF(ACOMPANHAMENTO="BM",ROUND(OFFSET(ORÇAMENTO!AJ$15,ROW(H17)-ROW(H$15),0),15-13*ORÇAMENTO!$AF$7),SUMPRODUCT(($Q$1:$AA$1=1)*ROUND($Q17:$AA17,15-13*ORÇAMENTO!$AF$7))))</f>
        <v>0</v>
      </c>
      <c r="I17" s="348"/>
      <c r="J17" s="349" t="str">
        <f aca="false" t="array" ref="J17:J17">IF(B17&lt;&gt;"S","",IF(AND(ACOMPANHAMENTO="PLE",AUTOEVENTO="Manual",OR(H17&gt;0,ORÇAMENTO!AC17="QUANT."),OR(K17="",M17=0,N17="")),"►",IF(AND(ACOMPANHAMENTO="PLE",ORÇAMENTO!AC17="QUANT."),"►►",IF(AND(COUNTIF($P$11:$AA$11,"▼")=0,H17&gt;0,I17=""),"◄",""))))</f>
        <v/>
      </c>
      <c r="K17" s="350"/>
      <c r="L17" s="351" t="s">
        <v>807</v>
      </c>
      <c r="M17" s="370" t="str">
        <f aca="true">IF($D17&lt;&gt;"Serviço","",
          IF(AUTOEVENTO="manual",$A17,
                IF(ISERROR(MATCH($A17,$A$15:OFFSET($A17,-1,0),0)),MAX($M$15:OFFSET(M17,-1,0))+1,
                      INDEX($M$15:OFFSET(M17,-1,0),MATCH($A17,$A$15:OFFSET($A17,-1,0),0)))))</f>
        <v/>
      </c>
      <c r="N17" s="353" t="str">
        <f aca="true">IF($D17&lt;&gt;"Serviço","",
         IF(AUTOEVENTO="Manual",
                IF($A17=0,"&lt;-- defina o número do agrupador",
                       OFFSET(EVENTOS!$D$15,$A17-$A$15,0)),
                OFFSET($F$15,$A17,0)))</f>
        <v/>
      </c>
      <c r="O17" s="354"/>
      <c r="Q17" s="354"/>
      <c r="R17" s="355"/>
      <c r="S17" s="355"/>
      <c r="T17" s="355"/>
      <c r="U17" s="355"/>
      <c r="V17" s="355"/>
      <c r="W17" s="355"/>
      <c r="X17" s="355"/>
      <c r="Y17" s="355"/>
      <c r="Z17" s="356"/>
      <c r="AB17" s="357" t="n">
        <f aca="true">IF(AND($D17="Serviço",AB$12&lt;&gt;0,$H17&gt;0,OR(AUTOEVENTO&lt;&gt;"manual",$M17&lt;&gt;$A$15)),
        IF(Import.TipoArredondamento&lt;&gt;"TransfereGOV",
              ROUND(OFFSET($P17,0,AB$13),15-13*ORÇAMENTO!$AF$7)/$H17*OFFSET(ORÇAMENTO!$X$15,ROW(AB17)-ROW(AB$15),0),
              ROUND(ROUND(OFFSET($P17,0,AB$13),15-13*ORÇAMENTO!$AF$7)*OFFSET(ORÇAMENTO!$W$15,ROW(AB17)-ROW(AB$15),0),15-13*ORÇAMENTO!$AF$11)),
         0)</f>
        <v>0</v>
      </c>
      <c r="AC17" s="357" t="n">
        <f aca="true">IF(AND($D17="Serviço",AC$12&lt;&gt;0,$H17&gt;0,OR(AUTOEVENTO&lt;&gt;"manual",$M17&lt;&gt;$A$15)),
        IF(Import.TipoArredondamento&lt;&gt;"TransfereGOV",
              ROUND(OFFSET($P17,0,AC$13),15-13*ORÇAMENTO!$AF$7)/$H17*OFFSET(ORÇAMENTO!$X$15,ROW(AC17)-ROW(AC$15),0),
              ROUND(ROUND(OFFSET($P17,0,AC$13),15-13*ORÇAMENTO!$AF$7)*OFFSET(ORÇAMENTO!$W$15,ROW(AC17)-ROW(AC$15),0),15-13*ORÇAMENTO!$AF$11)),
         0)</f>
        <v>0</v>
      </c>
      <c r="AD17" s="357" t="n">
        <f aca="true">IF(AND($D17="Serviço",AD$12&lt;&gt;0,$H17&gt;0,OR(AUTOEVENTO&lt;&gt;"manual",$M17&lt;&gt;$A$15)),
        IF(Import.TipoArredondamento&lt;&gt;"TransfereGOV",
              ROUND(OFFSET($P17,0,AD$13),15-13*ORÇAMENTO!$AF$7)/$H17*OFFSET(ORÇAMENTO!$X$15,ROW(AD17)-ROW(AD$15),0),
              ROUND(ROUND(OFFSET($P17,0,AD$13),15-13*ORÇAMENTO!$AF$7)*OFFSET(ORÇAMENTO!$W$15,ROW(AD17)-ROW(AD$15),0),15-13*ORÇAMENTO!$AF$11)),
         0)</f>
        <v>0</v>
      </c>
      <c r="AE17" s="357" t="n">
        <f aca="true">IF(AND($D17="Serviço",AE$12&lt;&gt;0,$H17&gt;0,OR(AUTOEVENTO&lt;&gt;"manual",$M17&lt;&gt;$A$15)),
        IF(Import.TipoArredondamento&lt;&gt;"TransfereGOV",
              ROUND(OFFSET($P17,0,AE$13),15-13*ORÇAMENTO!$AF$7)/$H17*OFFSET(ORÇAMENTO!$X$15,ROW(AE17)-ROW(AE$15),0),
              ROUND(ROUND(OFFSET($P17,0,AE$13),15-13*ORÇAMENTO!$AF$7)*OFFSET(ORÇAMENTO!$W$15,ROW(AE17)-ROW(AE$15),0),15-13*ORÇAMENTO!$AF$11)),
         0)</f>
        <v>0</v>
      </c>
      <c r="AF17" s="357" t="n">
        <f aca="true">IF(AND($D17="Serviço",AF$12&lt;&gt;0,$H17&gt;0,OR(AUTOEVENTO&lt;&gt;"manual",$M17&lt;&gt;$A$15)),
        IF(Import.TipoArredondamento&lt;&gt;"TransfereGOV",
              ROUND(OFFSET($P17,0,AF$13),15-13*ORÇAMENTO!$AF$7)/$H17*OFFSET(ORÇAMENTO!$X$15,ROW(AF17)-ROW(AF$15),0),
              ROUND(ROUND(OFFSET($P17,0,AF$13),15-13*ORÇAMENTO!$AF$7)*OFFSET(ORÇAMENTO!$W$15,ROW(AF17)-ROW(AF$15),0),15-13*ORÇAMENTO!$AF$11)),
         0)</f>
        <v>0</v>
      </c>
      <c r="AG17" s="357" t="n">
        <f aca="true">IF(AND($D17="Serviço",AG$12&lt;&gt;0,$H17&gt;0,OR(AUTOEVENTO&lt;&gt;"manual",$M17&lt;&gt;$A$15)),
        IF(Import.TipoArredondamento&lt;&gt;"TransfereGOV",
              ROUND(OFFSET($P17,0,AG$13),15-13*ORÇAMENTO!$AF$7)/$H17*OFFSET(ORÇAMENTO!$X$15,ROW(AG17)-ROW(AG$15),0),
              ROUND(ROUND(OFFSET($P17,0,AG$13),15-13*ORÇAMENTO!$AF$7)*OFFSET(ORÇAMENTO!$W$15,ROW(AG17)-ROW(AG$15),0),15-13*ORÇAMENTO!$AF$11)),
         0)</f>
        <v>0</v>
      </c>
      <c r="AH17" s="357" t="n">
        <f aca="true">IF(AND($D17="Serviço",AH$12&lt;&gt;0,$H17&gt;0,OR(AUTOEVENTO&lt;&gt;"manual",$M17&lt;&gt;$A$15)),
        IF(Import.TipoArredondamento&lt;&gt;"TransfereGOV",
              ROUND(OFFSET($P17,0,AH$13),15-13*ORÇAMENTO!$AF$7)/$H17*OFFSET(ORÇAMENTO!$X$15,ROW(AH17)-ROW(AH$15),0),
              ROUND(ROUND(OFFSET($P17,0,AH$13),15-13*ORÇAMENTO!$AF$7)*OFFSET(ORÇAMENTO!$W$15,ROW(AH17)-ROW(AH$15),0),15-13*ORÇAMENTO!$AF$11)),
         0)</f>
        <v>0</v>
      </c>
      <c r="AI17" s="357" t="n">
        <f aca="true">IF(AND($D17="Serviço",AI$12&lt;&gt;0,$H17&gt;0,OR(AUTOEVENTO&lt;&gt;"manual",$M17&lt;&gt;$A$15)),
        IF(Import.TipoArredondamento&lt;&gt;"TransfereGOV",
              ROUND(OFFSET($P17,0,AI$13),15-13*ORÇAMENTO!$AF$7)/$H17*OFFSET(ORÇAMENTO!$X$15,ROW(AI17)-ROW(AI$15),0),
              ROUND(ROUND(OFFSET($P17,0,AI$13),15-13*ORÇAMENTO!$AF$7)*OFFSET(ORÇAMENTO!$W$15,ROW(AI17)-ROW(AI$15),0),15-13*ORÇAMENTO!$AF$11)),
         0)</f>
        <v>0</v>
      </c>
      <c r="AJ17" s="357" t="n">
        <f aca="true">IF(AND($D17="Serviço",AJ$12&lt;&gt;0,$H17&gt;0,OR(AUTOEVENTO&lt;&gt;"manual",$M17&lt;&gt;$A$15)),
        IF(Import.TipoArredondamento&lt;&gt;"TransfereGOV",
              ROUND(OFFSET($P17,0,AJ$13),15-13*ORÇAMENTO!$AF$7)/$H17*OFFSET(ORÇAMENTO!$X$15,ROW(AJ17)-ROW(AJ$15),0),
              ROUND(ROUND(OFFSET($P17,0,AJ$13),15-13*ORÇAMENTO!$AF$7)*OFFSET(ORÇAMENTO!$W$15,ROW(AJ17)-ROW(AJ$15),0),15-13*ORÇAMENTO!$AF$11)),
         0)</f>
        <v>0</v>
      </c>
      <c r="AK17" s="357" t="n">
        <f aca="true">IF(AND($D17="Serviço",AK$12&lt;&gt;0,$H17&gt;0,OR(AUTOEVENTO&lt;&gt;"manual",$M17&lt;&gt;$A$15)),
        IF(Import.TipoArredondamento&lt;&gt;"TransfereGOV",
              ROUND(OFFSET($P17,0,AK$13),15-13*ORÇAMENTO!$AF$7)/$H17*OFFSET(ORÇAMENTO!$X$15,ROW(AK17)-ROW(AK$15),0),
              ROUND(ROUND(OFFSET($P17,0,AK$13),15-13*ORÇAMENTO!$AF$7)*OFFSET(ORÇAMENTO!$W$15,ROW(AK17)-ROW(AK$15),0),15-13*ORÇAMENTO!$AF$11)),
         0)</f>
        <v>0</v>
      </c>
      <c r="AM17" s="358" t="n">
        <f aca="true">IF(OR($D17&lt;&gt;"Serviço",AND(AUTOEVENTO="Manual",$M17=$A$15)),0,
         IF(OFFSET(CRONOPLE!$F$15,$M17-$A$15,AM$13)="",10^12,OFFSET(CRONOPLE!$F$15,$M17-$A$15,AM$13)))</f>
        <v>0</v>
      </c>
      <c r="AN17" s="358" t="n">
        <f aca="true">IF(OR($D17&lt;&gt;"Serviço",AND(AUTOEVENTO="Manual",$M17=$A$15)),0,
         IF(OFFSET(CRONOPLE!$F$15,$M17-$A$15,AN$13)="",10^12,OFFSET(CRONOPLE!$F$15,$M17-$A$15,AN$13)))</f>
        <v>0</v>
      </c>
      <c r="AO17" s="358" t="n">
        <f aca="true">IF(OR($D17&lt;&gt;"Serviço",AND(AUTOEVENTO="Manual",$M17=$A$15)),0,
         IF(OFFSET(CRONOPLE!$F$15,$M17-$A$15,AO$13)="",10^12,OFFSET(CRONOPLE!$F$15,$M17-$A$15,AO$13)))</f>
        <v>0</v>
      </c>
      <c r="AP17" s="358" t="n">
        <f aca="true">IF(OR($D17&lt;&gt;"Serviço",AND(AUTOEVENTO="Manual",$M17=$A$15)),0,
         IF(OFFSET(CRONOPLE!$F$15,$M17-$A$15,AP$13)="",10^12,OFFSET(CRONOPLE!$F$15,$M17-$A$15,AP$13)))</f>
        <v>0</v>
      </c>
      <c r="AQ17" s="358" t="n">
        <f aca="true">IF(OR($D17&lt;&gt;"Serviço",AND(AUTOEVENTO="Manual",$M17=$A$15)),0,
         IF(OFFSET(CRONOPLE!$F$15,$M17-$A$15,AQ$13)="",10^12,OFFSET(CRONOPLE!$F$15,$M17-$A$15,AQ$13)))</f>
        <v>0</v>
      </c>
      <c r="AR17" s="358" t="n">
        <f aca="true">IF(OR($D17&lt;&gt;"Serviço",AND(AUTOEVENTO="Manual",$M17=$A$15)),0,
         IF(OFFSET(CRONOPLE!$F$15,$M17-$A$15,AR$13)="",10^12,OFFSET(CRONOPLE!$F$15,$M17-$A$15,AR$13)))</f>
        <v>0</v>
      </c>
      <c r="AS17" s="358" t="n">
        <f aca="true">IF(OR($D17&lt;&gt;"Serviço",AND(AUTOEVENTO="Manual",$M17=$A$15)),0,
         IF(OFFSET(CRONOPLE!$F$15,$M17-$A$15,AS$13)="",10^12,OFFSET(CRONOPLE!$F$15,$M17-$A$15,AS$13)))</f>
        <v>0</v>
      </c>
      <c r="AT17" s="358" t="n">
        <f aca="true">IF(OR($D17&lt;&gt;"Serviço",AND(AUTOEVENTO="Manual",$M17=$A$15)),0,
         IF(OFFSET(CRONOPLE!$F$15,$M17-$A$15,AT$13)="",10^12,OFFSET(CRONOPLE!$F$15,$M17-$A$15,AT$13)))</f>
        <v>0</v>
      </c>
      <c r="AU17" s="358" t="n">
        <f aca="true">IF(OR($D17&lt;&gt;"Serviço",AND(AUTOEVENTO="Manual",$M17=$A$15)),0,
         IF(OFFSET(CRONOPLE!$F$15,$M17-$A$15,AU$13)="",10^12,OFFSET(CRONOPLE!$F$15,$M17-$A$15,AU$13)))</f>
        <v>0</v>
      </c>
      <c r="AV17" s="358" t="n">
        <f aca="true">IF(OR($D17&lt;&gt;"Serviço",AND(AUTOEVENTO="Manual",$M17=$A$15)),0,
         IF(OFFSET(CRONOPLE!$F$15,$M17-$A$15,AV$13)="",10^12,OFFSET(CRONOPLE!$F$15,$M17-$A$15,AV$13)))</f>
        <v>0</v>
      </c>
      <c r="AX17" s="359" t="n">
        <f aca="true">IF(OR($D17&lt;&gt;"Serviço",AND(AUTOEVENTO="Manual",$M17=$A$15),$M17&gt;(ROW(PLE.lastrow)-ROW(PLE.firstrow))),0,
           IF(OFFSET(PLE!$G$15,$M17-$A$15,AX$13)="",10^12,OFFSET(PLE!$G$15,$M17-$A$15,AX$13)))</f>
        <v>0</v>
      </c>
      <c r="AY17" s="359" t="n">
        <f aca="true">IF(OR($D17&lt;&gt;"Serviço",AND(AUTOEVENTO="Manual",$M17=$A$15),$M17&gt;(ROW(PLE.lastrow)-ROW(PLE.firstrow))),0,
           IF(OFFSET(PLE!$G$15,$M17-$A$15,AY$13)="",10^12,OFFSET(PLE!$G$15,$M17-$A$15,AY$13)))</f>
        <v>0</v>
      </c>
      <c r="AZ17" s="359" t="n">
        <f aca="true">IF(OR($D17&lt;&gt;"Serviço",AND(AUTOEVENTO="Manual",$M17=$A$15),$M17&gt;(ROW(PLE.lastrow)-ROW(PLE.firstrow))),0,
           IF(OFFSET(PLE!$G$15,$M17-$A$15,AZ$13)="",10^12,OFFSET(PLE!$G$15,$M17-$A$15,AZ$13)))</f>
        <v>0</v>
      </c>
      <c r="BA17" s="359" t="n">
        <f aca="true">IF(OR($D17&lt;&gt;"Serviço",AND(AUTOEVENTO="Manual",$M17=$A$15),$M17&gt;(ROW(PLE.lastrow)-ROW(PLE.firstrow))),0,
           IF(OFFSET(PLE!$G$15,$M17-$A$15,BA$13)="",10^12,OFFSET(PLE!$G$15,$M17-$A$15,BA$13)))</f>
        <v>0</v>
      </c>
      <c r="BB17" s="359" t="n">
        <f aca="true">IF(OR($D17&lt;&gt;"Serviço",AND(AUTOEVENTO="Manual",$M17=$A$15),$M17&gt;(ROW(PLE.lastrow)-ROW(PLE.firstrow))),0,
           IF(OFFSET(PLE!$G$15,$M17-$A$15,BB$13)="",10^12,OFFSET(PLE!$G$15,$M17-$A$15,BB$13)))</f>
        <v>0</v>
      </c>
      <c r="BC17" s="359" t="n">
        <f aca="true">IF(OR($D17&lt;&gt;"Serviço",AND(AUTOEVENTO="Manual",$M17=$A$15),$M17&gt;(ROW(PLE.lastrow)-ROW(PLE.firstrow))),0,
           IF(OFFSET(PLE!$G$15,$M17-$A$15,BC$13)="",10^12,OFFSET(PLE!$G$15,$M17-$A$15,BC$13)))</f>
        <v>0</v>
      </c>
      <c r="BD17" s="359" t="n">
        <f aca="true">IF(OR($D17&lt;&gt;"Serviço",AND(AUTOEVENTO="Manual",$M17=$A$15),$M17&gt;(ROW(PLE.lastrow)-ROW(PLE.firstrow))),0,
           IF(OFFSET(PLE!$G$15,$M17-$A$15,BD$13)="",10^12,OFFSET(PLE!$G$15,$M17-$A$15,BD$13)))</f>
        <v>0</v>
      </c>
      <c r="BE17" s="359" t="n">
        <f aca="true">IF(OR($D17&lt;&gt;"Serviço",AND(AUTOEVENTO="Manual",$M17=$A$15),$M17&gt;(ROW(PLE.lastrow)-ROW(PLE.firstrow))),0,
           IF(OFFSET(PLE!$G$15,$M17-$A$15,BE$13)="",10^12,OFFSET(PLE!$G$15,$M17-$A$15,BE$13)))</f>
        <v>0</v>
      </c>
      <c r="BF17" s="359" t="n">
        <f aca="true">IF(OR($D17&lt;&gt;"Serviço",AND(AUTOEVENTO="Manual",$M17=$A$15),$M17&gt;(ROW(PLE.lastrow)-ROW(PLE.firstrow))),0,
           IF(OFFSET(PLE!$G$15,$M17-$A$15,BF$13)="",10^12,OFFSET(PLE!$G$15,$M17-$A$15,BF$13)))</f>
        <v>0</v>
      </c>
      <c r="BG17" s="359" t="n">
        <f aca="true">IF(OR($D17&lt;&gt;"Serviço",AND(AUTOEVENTO="Manual",$M17=$A$15),$M17&gt;(ROW(PLE.lastrow)-ROW(PLE.firstrow))),0,
           IF(OFFSET(PLE!$G$15,$M17-$A$15,BG$13)="",10^12,OFFSET(PLE!$G$15,$M17-$A$15,BG$13)))</f>
        <v>0</v>
      </c>
    </row>
    <row r="18" s="1" customFormat="true" ht="12.75" hidden="false" customHeight="false" outlineLevel="0" collapsed="false">
      <c r="A18" s="49" t="str">
        <f aca="true">IF(AUTOEVENTO="Manual",IF(K18&lt;&gt;"",MIN(VALUE(LEFT(K18,FIND(".",K18)-1)),COUNTA(EVENTOS.Lista)),0),IF(OR($B18&gt;AUTOEVENTO,$B18="S",$B18=0),SUBSTITUTE(OFFSET($A18,-1,0),IF($D18="Serviço",".",""),""),ROW(A18)-ROW($A$15)&amp;"."))</f>
        <v>2.</v>
      </c>
      <c r="B18" s="49" t="n">
        <f aca="true">OFFSET(ORÇAMENTO!C$15,ROW(B18)-ROW(B$15),0)</f>
        <v>3</v>
      </c>
      <c r="C18" s="49" t="str">
        <f aca="true">OFFSET(ORÇAMENTO!L$15,ROW(C18)-ROW(C$15),0)</f>
        <v>F</v>
      </c>
      <c r="D18" s="236" t="str">
        <f aca="true">OFFSET(ORÇAMENTO!N$15,ROW(D18)-ROW(D$15),0)</f>
        <v>Nível 3</v>
      </c>
      <c r="E18" s="202" t="str">
        <f aca="true">OFFSET(ORÇAMENTO!O$15,ROW(E18)-ROW(E$15),0)</f>
        <v>1.1.1.</v>
      </c>
      <c r="F18" s="346" t="str">
        <f aca="true">OFFSET(ORÇAMENTO!R$15,ROW(F18)-ROW(F$15),0)</f>
        <v>Administração local</v>
      </c>
      <c r="G18" s="347" t="str">
        <f aca="true">IF($D18&lt;&gt;"Serviço","",OFFSET(ORÇAMENTO!S$15,ROW(G18)-ROW(G$15),0))</f>
        <v/>
      </c>
      <c r="H18" s="207" t="n">
        <f aca="true">IF($D18&lt;&gt;"Serviço",0,IF(ACOMPANHAMENTO="BM",ROUND(OFFSET(ORÇAMENTO!AJ$15,ROW(H18)-ROW(H$15),0),15-13*ORÇAMENTO!$AF$7),SUMPRODUCT(($Q$1:$AA$1=1)*ROUND($Q18:$AA18,15-13*ORÇAMENTO!$AF$7))))</f>
        <v>0</v>
      </c>
      <c r="I18" s="348"/>
      <c r="J18" s="349" t="str">
        <f aca="false" t="array" ref="J18:J18">IF(B18&lt;&gt;"S","",IF(AND(ACOMPANHAMENTO="PLE",AUTOEVENTO="Manual",OR(H18&gt;0,ORÇAMENTO!AC18="QUANT."),OR(K18="",M18=0,N18="")),"►",IF(AND(ACOMPANHAMENTO="PLE",ORÇAMENTO!AC18="QUANT."),"►►",IF(AND(COUNTIF($P$11:$AA$11,"▼")=0,H18&gt;0,I18=""),"◄",""))))</f>
        <v/>
      </c>
      <c r="K18" s="350"/>
      <c r="L18" s="351" t="s">
        <v>807</v>
      </c>
      <c r="M18" s="370" t="str">
        <f aca="true">IF($D18&lt;&gt;"Serviço","",
          IF(AUTOEVENTO="manual",$A18,
                IF(ISERROR(MATCH($A18,$A$15:OFFSET($A18,-1,0),0)),MAX($M$15:OFFSET(M18,-1,0))+1,
                      INDEX($M$15:OFFSET(M18,-1,0),MATCH($A18,$A$15:OFFSET($A18,-1,0),0)))))</f>
        <v/>
      </c>
      <c r="N18" s="353" t="str">
        <f aca="true">IF($D18&lt;&gt;"Serviço","",
         IF(AUTOEVENTO="Manual",
                IF($A18=0,"&lt;-- defina o número do agrupador",
                       OFFSET(EVENTOS!$D$15,$A18-$A$15,0)),
                OFFSET($F$15,$A18,0)))</f>
        <v/>
      </c>
      <c r="O18" s="354"/>
      <c r="Q18" s="354"/>
      <c r="R18" s="355"/>
      <c r="S18" s="355"/>
      <c r="T18" s="355"/>
      <c r="U18" s="355"/>
      <c r="V18" s="355"/>
      <c r="W18" s="355"/>
      <c r="X18" s="355"/>
      <c r="Y18" s="355"/>
      <c r="Z18" s="356"/>
      <c r="AB18" s="357" t="n">
        <f aca="true">IF(AND($D18="Serviço",AB$12&lt;&gt;0,$H18&gt;0,OR(AUTOEVENTO&lt;&gt;"manual",$M18&lt;&gt;$A$15)),
        IF(Import.TipoArredondamento&lt;&gt;"TransfereGOV",
              ROUND(OFFSET($P18,0,AB$13),15-13*ORÇAMENTO!$AF$7)/$H18*OFFSET(ORÇAMENTO!$X$15,ROW(AB18)-ROW(AB$15),0),
              ROUND(ROUND(OFFSET($P18,0,AB$13),15-13*ORÇAMENTO!$AF$7)*OFFSET(ORÇAMENTO!$W$15,ROW(AB18)-ROW(AB$15),0),15-13*ORÇAMENTO!$AF$11)),
         0)</f>
        <v>0</v>
      </c>
      <c r="AC18" s="357" t="n">
        <f aca="true">IF(AND($D18="Serviço",AC$12&lt;&gt;0,$H18&gt;0,OR(AUTOEVENTO&lt;&gt;"manual",$M18&lt;&gt;$A$15)),
        IF(Import.TipoArredondamento&lt;&gt;"TransfereGOV",
              ROUND(OFFSET($P18,0,AC$13),15-13*ORÇAMENTO!$AF$7)/$H18*OFFSET(ORÇAMENTO!$X$15,ROW(AC18)-ROW(AC$15),0),
              ROUND(ROUND(OFFSET($P18,0,AC$13),15-13*ORÇAMENTO!$AF$7)*OFFSET(ORÇAMENTO!$W$15,ROW(AC18)-ROW(AC$15),0),15-13*ORÇAMENTO!$AF$11)),
         0)</f>
        <v>0</v>
      </c>
      <c r="AD18" s="357" t="n">
        <f aca="true">IF(AND($D18="Serviço",AD$12&lt;&gt;0,$H18&gt;0,OR(AUTOEVENTO&lt;&gt;"manual",$M18&lt;&gt;$A$15)),
        IF(Import.TipoArredondamento&lt;&gt;"TransfereGOV",
              ROUND(OFFSET($P18,0,AD$13),15-13*ORÇAMENTO!$AF$7)/$H18*OFFSET(ORÇAMENTO!$X$15,ROW(AD18)-ROW(AD$15),0),
              ROUND(ROUND(OFFSET($P18,0,AD$13),15-13*ORÇAMENTO!$AF$7)*OFFSET(ORÇAMENTO!$W$15,ROW(AD18)-ROW(AD$15),0),15-13*ORÇAMENTO!$AF$11)),
         0)</f>
        <v>0</v>
      </c>
      <c r="AE18" s="357" t="n">
        <f aca="true">IF(AND($D18="Serviço",AE$12&lt;&gt;0,$H18&gt;0,OR(AUTOEVENTO&lt;&gt;"manual",$M18&lt;&gt;$A$15)),
        IF(Import.TipoArredondamento&lt;&gt;"TransfereGOV",
              ROUND(OFFSET($P18,0,AE$13),15-13*ORÇAMENTO!$AF$7)/$H18*OFFSET(ORÇAMENTO!$X$15,ROW(AE18)-ROW(AE$15),0),
              ROUND(ROUND(OFFSET($P18,0,AE$13),15-13*ORÇAMENTO!$AF$7)*OFFSET(ORÇAMENTO!$W$15,ROW(AE18)-ROW(AE$15),0),15-13*ORÇAMENTO!$AF$11)),
         0)</f>
        <v>0</v>
      </c>
      <c r="AF18" s="357" t="n">
        <f aca="true">IF(AND($D18="Serviço",AF$12&lt;&gt;0,$H18&gt;0,OR(AUTOEVENTO&lt;&gt;"manual",$M18&lt;&gt;$A$15)),
        IF(Import.TipoArredondamento&lt;&gt;"TransfereGOV",
              ROUND(OFFSET($P18,0,AF$13),15-13*ORÇAMENTO!$AF$7)/$H18*OFFSET(ORÇAMENTO!$X$15,ROW(AF18)-ROW(AF$15),0),
              ROUND(ROUND(OFFSET($P18,0,AF$13),15-13*ORÇAMENTO!$AF$7)*OFFSET(ORÇAMENTO!$W$15,ROW(AF18)-ROW(AF$15),0),15-13*ORÇAMENTO!$AF$11)),
         0)</f>
        <v>0</v>
      </c>
      <c r="AG18" s="357" t="n">
        <f aca="true">IF(AND($D18="Serviço",AG$12&lt;&gt;0,$H18&gt;0,OR(AUTOEVENTO&lt;&gt;"manual",$M18&lt;&gt;$A$15)),
        IF(Import.TipoArredondamento&lt;&gt;"TransfereGOV",
              ROUND(OFFSET($P18,0,AG$13),15-13*ORÇAMENTO!$AF$7)/$H18*OFFSET(ORÇAMENTO!$X$15,ROW(AG18)-ROW(AG$15),0),
              ROUND(ROUND(OFFSET($P18,0,AG$13),15-13*ORÇAMENTO!$AF$7)*OFFSET(ORÇAMENTO!$W$15,ROW(AG18)-ROW(AG$15),0),15-13*ORÇAMENTO!$AF$11)),
         0)</f>
        <v>0</v>
      </c>
      <c r="AH18" s="357" t="n">
        <f aca="true">IF(AND($D18="Serviço",AH$12&lt;&gt;0,$H18&gt;0,OR(AUTOEVENTO&lt;&gt;"manual",$M18&lt;&gt;$A$15)),
        IF(Import.TipoArredondamento&lt;&gt;"TransfereGOV",
              ROUND(OFFSET($P18,0,AH$13),15-13*ORÇAMENTO!$AF$7)/$H18*OFFSET(ORÇAMENTO!$X$15,ROW(AH18)-ROW(AH$15),0),
              ROUND(ROUND(OFFSET($P18,0,AH$13),15-13*ORÇAMENTO!$AF$7)*OFFSET(ORÇAMENTO!$W$15,ROW(AH18)-ROW(AH$15),0),15-13*ORÇAMENTO!$AF$11)),
         0)</f>
        <v>0</v>
      </c>
      <c r="AI18" s="357" t="n">
        <f aca="true">IF(AND($D18="Serviço",AI$12&lt;&gt;0,$H18&gt;0,OR(AUTOEVENTO&lt;&gt;"manual",$M18&lt;&gt;$A$15)),
        IF(Import.TipoArredondamento&lt;&gt;"TransfereGOV",
              ROUND(OFFSET($P18,0,AI$13),15-13*ORÇAMENTO!$AF$7)/$H18*OFFSET(ORÇAMENTO!$X$15,ROW(AI18)-ROW(AI$15),0),
              ROUND(ROUND(OFFSET($P18,0,AI$13),15-13*ORÇAMENTO!$AF$7)*OFFSET(ORÇAMENTO!$W$15,ROW(AI18)-ROW(AI$15),0),15-13*ORÇAMENTO!$AF$11)),
         0)</f>
        <v>0</v>
      </c>
      <c r="AJ18" s="357" t="n">
        <f aca="true">IF(AND($D18="Serviço",AJ$12&lt;&gt;0,$H18&gt;0,OR(AUTOEVENTO&lt;&gt;"manual",$M18&lt;&gt;$A$15)),
        IF(Import.TipoArredondamento&lt;&gt;"TransfereGOV",
              ROUND(OFFSET($P18,0,AJ$13),15-13*ORÇAMENTO!$AF$7)/$H18*OFFSET(ORÇAMENTO!$X$15,ROW(AJ18)-ROW(AJ$15),0),
              ROUND(ROUND(OFFSET($P18,0,AJ$13),15-13*ORÇAMENTO!$AF$7)*OFFSET(ORÇAMENTO!$W$15,ROW(AJ18)-ROW(AJ$15),0),15-13*ORÇAMENTO!$AF$11)),
         0)</f>
        <v>0</v>
      </c>
      <c r="AK18" s="357" t="n">
        <f aca="true">IF(AND($D18="Serviço",AK$12&lt;&gt;0,$H18&gt;0,OR(AUTOEVENTO&lt;&gt;"manual",$M18&lt;&gt;$A$15)),
        IF(Import.TipoArredondamento&lt;&gt;"TransfereGOV",
              ROUND(OFFSET($P18,0,AK$13),15-13*ORÇAMENTO!$AF$7)/$H18*OFFSET(ORÇAMENTO!$X$15,ROW(AK18)-ROW(AK$15),0),
              ROUND(ROUND(OFFSET($P18,0,AK$13),15-13*ORÇAMENTO!$AF$7)*OFFSET(ORÇAMENTO!$W$15,ROW(AK18)-ROW(AK$15),0),15-13*ORÇAMENTO!$AF$11)),
         0)</f>
        <v>0</v>
      </c>
      <c r="AM18" s="358" t="n">
        <f aca="true">IF(OR($D18&lt;&gt;"Serviço",AND(AUTOEVENTO="Manual",$M18=$A$15)),0,
         IF(OFFSET(CRONOPLE!$F$15,$M18-$A$15,AM$13)="",10^12,OFFSET(CRONOPLE!$F$15,$M18-$A$15,AM$13)))</f>
        <v>0</v>
      </c>
      <c r="AN18" s="358" t="n">
        <f aca="true">IF(OR($D18&lt;&gt;"Serviço",AND(AUTOEVENTO="Manual",$M18=$A$15)),0,
         IF(OFFSET(CRONOPLE!$F$15,$M18-$A$15,AN$13)="",10^12,OFFSET(CRONOPLE!$F$15,$M18-$A$15,AN$13)))</f>
        <v>0</v>
      </c>
      <c r="AO18" s="358" t="n">
        <f aca="true">IF(OR($D18&lt;&gt;"Serviço",AND(AUTOEVENTO="Manual",$M18=$A$15)),0,
         IF(OFFSET(CRONOPLE!$F$15,$M18-$A$15,AO$13)="",10^12,OFFSET(CRONOPLE!$F$15,$M18-$A$15,AO$13)))</f>
        <v>0</v>
      </c>
      <c r="AP18" s="358" t="n">
        <f aca="true">IF(OR($D18&lt;&gt;"Serviço",AND(AUTOEVENTO="Manual",$M18=$A$15)),0,
         IF(OFFSET(CRONOPLE!$F$15,$M18-$A$15,AP$13)="",10^12,OFFSET(CRONOPLE!$F$15,$M18-$A$15,AP$13)))</f>
        <v>0</v>
      </c>
      <c r="AQ18" s="358" t="n">
        <f aca="true">IF(OR($D18&lt;&gt;"Serviço",AND(AUTOEVENTO="Manual",$M18=$A$15)),0,
         IF(OFFSET(CRONOPLE!$F$15,$M18-$A$15,AQ$13)="",10^12,OFFSET(CRONOPLE!$F$15,$M18-$A$15,AQ$13)))</f>
        <v>0</v>
      </c>
      <c r="AR18" s="358" t="n">
        <f aca="true">IF(OR($D18&lt;&gt;"Serviço",AND(AUTOEVENTO="Manual",$M18=$A$15)),0,
         IF(OFFSET(CRONOPLE!$F$15,$M18-$A$15,AR$13)="",10^12,OFFSET(CRONOPLE!$F$15,$M18-$A$15,AR$13)))</f>
        <v>0</v>
      </c>
      <c r="AS18" s="358" t="n">
        <f aca="true">IF(OR($D18&lt;&gt;"Serviço",AND(AUTOEVENTO="Manual",$M18=$A$15)),0,
         IF(OFFSET(CRONOPLE!$F$15,$M18-$A$15,AS$13)="",10^12,OFFSET(CRONOPLE!$F$15,$M18-$A$15,AS$13)))</f>
        <v>0</v>
      </c>
      <c r="AT18" s="358" t="n">
        <f aca="true">IF(OR($D18&lt;&gt;"Serviço",AND(AUTOEVENTO="Manual",$M18=$A$15)),0,
         IF(OFFSET(CRONOPLE!$F$15,$M18-$A$15,AT$13)="",10^12,OFFSET(CRONOPLE!$F$15,$M18-$A$15,AT$13)))</f>
        <v>0</v>
      </c>
      <c r="AU18" s="358" t="n">
        <f aca="true">IF(OR($D18&lt;&gt;"Serviço",AND(AUTOEVENTO="Manual",$M18=$A$15)),0,
         IF(OFFSET(CRONOPLE!$F$15,$M18-$A$15,AU$13)="",10^12,OFFSET(CRONOPLE!$F$15,$M18-$A$15,AU$13)))</f>
        <v>0</v>
      </c>
      <c r="AV18" s="358" t="n">
        <f aca="true">IF(OR($D18&lt;&gt;"Serviço",AND(AUTOEVENTO="Manual",$M18=$A$15)),0,
         IF(OFFSET(CRONOPLE!$F$15,$M18-$A$15,AV$13)="",10^12,OFFSET(CRONOPLE!$F$15,$M18-$A$15,AV$13)))</f>
        <v>0</v>
      </c>
      <c r="AX18" s="359" t="n">
        <f aca="true">IF(OR($D18&lt;&gt;"Serviço",AND(AUTOEVENTO="Manual",$M18=$A$15),$M18&gt;(ROW(PLE.lastrow)-ROW(PLE.firstrow))),0,
           IF(OFFSET(PLE!$G$15,$M18-$A$15,AX$13)="",10^12,OFFSET(PLE!$G$15,$M18-$A$15,AX$13)))</f>
        <v>0</v>
      </c>
      <c r="AY18" s="359" t="n">
        <f aca="true">IF(OR($D18&lt;&gt;"Serviço",AND(AUTOEVENTO="Manual",$M18=$A$15),$M18&gt;(ROW(PLE.lastrow)-ROW(PLE.firstrow))),0,
           IF(OFFSET(PLE!$G$15,$M18-$A$15,AY$13)="",10^12,OFFSET(PLE!$G$15,$M18-$A$15,AY$13)))</f>
        <v>0</v>
      </c>
      <c r="AZ18" s="359" t="n">
        <f aca="true">IF(OR($D18&lt;&gt;"Serviço",AND(AUTOEVENTO="Manual",$M18=$A$15),$M18&gt;(ROW(PLE.lastrow)-ROW(PLE.firstrow))),0,
           IF(OFFSET(PLE!$G$15,$M18-$A$15,AZ$13)="",10^12,OFFSET(PLE!$G$15,$M18-$A$15,AZ$13)))</f>
        <v>0</v>
      </c>
      <c r="BA18" s="359" t="n">
        <f aca="true">IF(OR($D18&lt;&gt;"Serviço",AND(AUTOEVENTO="Manual",$M18=$A$15),$M18&gt;(ROW(PLE.lastrow)-ROW(PLE.firstrow))),0,
           IF(OFFSET(PLE!$G$15,$M18-$A$15,BA$13)="",10^12,OFFSET(PLE!$G$15,$M18-$A$15,BA$13)))</f>
        <v>0</v>
      </c>
      <c r="BB18" s="359" t="n">
        <f aca="true">IF(OR($D18&lt;&gt;"Serviço",AND(AUTOEVENTO="Manual",$M18=$A$15),$M18&gt;(ROW(PLE.lastrow)-ROW(PLE.firstrow))),0,
           IF(OFFSET(PLE!$G$15,$M18-$A$15,BB$13)="",10^12,OFFSET(PLE!$G$15,$M18-$A$15,BB$13)))</f>
        <v>0</v>
      </c>
      <c r="BC18" s="359" t="n">
        <f aca="true">IF(OR($D18&lt;&gt;"Serviço",AND(AUTOEVENTO="Manual",$M18=$A$15),$M18&gt;(ROW(PLE.lastrow)-ROW(PLE.firstrow))),0,
           IF(OFFSET(PLE!$G$15,$M18-$A$15,BC$13)="",10^12,OFFSET(PLE!$G$15,$M18-$A$15,BC$13)))</f>
        <v>0</v>
      </c>
      <c r="BD18" s="359" t="n">
        <f aca="true">IF(OR($D18&lt;&gt;"Serviço",AND(AUTOEVENTO="Manual",$M18=$A$15),$M18&gt;(ROW(PLE.lastrow)-ROW(PLE.firstrow))),0,
           IF(OFFSET(PLE!$G$15,$M18-$A$15,BD$13)="",10^12,OFFSET(PLE!$G$15,$M18-$A$15,BD$13)))</f>
        <v>0</v>
      </c>
      <c r="BE18" s="359" t="n">
        <f aca="true">IF(OR($D18&lt;&gt;"Serviço",AND(AUTOEVENTO="Manual",$M18=$A$15),$M18&gt;(ROW(PLE.lastrow)-ROW(PLE.firstrow))),0,
           IF(OFFSET(PLE!$G$15,$M18-$A$15,BE$13)="",10^12,OFFSET(PLE!$G$15,$M18-$A$15,BE$13)))</f>
        <v>0</v>
      </c>
      <c r="BF18" s="359" t="n">
        <f aca="true">IF(OR($D18&lt;&gt;"Serviço",AND(AUTOEVENTO="Manual",$M18=$A$15),$M18&gt;(ROW(PLE.lastrow)-ROW(PLE.firstrow))),0,
           IF(OFFSET(PLE!$G$15,$M18-$A$15,BF$13)="",10^12,OFFSET(PLE!$G$15,$M18-$A$15,BF$13)))</f>
        <v>0</v>
      </c>
      <c r="BG18" s="359" t="n">
        <f aca="true">IF(OR($D18&lt;&gt;"Serviço",AND(AUTOEVENTO="Manual",$M18=$A$15),$M18&gt;(ROW(PLE.lastrow)-ROW(PLE.firstrow))),0,
           IF(OFFSET(PLE!$G$15,$M18-$A$15,BG$13)="",10^12,OFFSET(PLE!$G$15,$M18-$A$15,BG$13)))</f>
        <v>0</v>
      </c>
    </row>
    <row r="19" s="1" customFormat="true" ht="25.5" hidden="false" customHeight="false" outlineLevel="0" collapsed="false">
      <c r="A19" s="49" t="str">
        <f aca="true">IF(AUTOEVENTO="Manual",IF(K19&lt;&gt;"",MIN(VALUE(LEFT(K19,FIND(".",K19)-1)),COUNTA(EVENTOS.Lista)),0),IF(OR($B19&gt;AUTOEVENTO,$B19="S",$B19=0),SUBSTITUTE(OFFSET($A19,-1,0),IF($D19="Serviço",".",""),""),ROW(A19)-ROW($A$15)&amp;"."))</f>
        <v>2</v>
      </c>
      <c r="B19" s="49" t="str">
        <f aca="true">OFFSET(ORÇAMENTO!C$15,ROW(B19)-ROW(B$15),0)</f>
        <v>S</v>
      </c>
      <c r="C19" s="49" t="str">
        <f aca="true">OFFSET(ORÇAMENTO!L$15,ROW(C19)-ROW(C$15),0)</f>
        <v/>
      </c>
      <c r="D19" s="236" t="str">
        <f aca="true">OFFSET(ORÇAMENTO!N$15,ROW(D19)-ROW(D$15),0)</f>
        <v>Serviço</v>
      </c>
      <c r="E19" s="202" t="str">
        <f aca="true">OFFSET(ORÇAMENTO!O$15,ROW(E19)-ROW(E$15),0)</f>
        <v>-</v>
      </c>
      <c r="F19" s="346" t="str">
        <f aca="true">OFFSET(ORÇAMENTO!R$15,ROW(F19)-ROW(F$15),0)</f>
        <v>(abra o arquivo 'Referência 09-2025.xlsm)</v>
      </c>
      <c r="G19" s="347" t="str">
        <f aca="true">IF($D19&lt;&gt;"Serviço","",OFFSET(ORÇAMENTO!S$15,ROW(G19)-ROW(G$15),0))</f>
        <v>-</v>
      </c>
      <c r="H19" s="207" t="n">
        <f aca="true">IF($D19&lt;&gt;"Serviço",0,IF(ACOMPANHAMENTO="BM",ROUND(OFFSET(ORÇAMENTO!AJ$15,ROW(H19)-ROW(H$15),0),15-13*ORÇAMENTO!$AF$7),SUMPRODUCT(($Q$1:$AA$1=1)*ROUND($Q19:$AA19,15-13*ORÇAMENTO!$AF$7))))</f>
        <v>1</v>
      </c>
      <c r="I19" s="348" t="s">
        <v>821</v>
      </c>
      <c r="J19" s="349" t="str">
        <f aca="false" t="array" ref="J19:J19">IF(B19&lt;&gt;"S","",IF(AND(ACOMPANHAMENTO="PLE",AUTOEVENTO="Manual",OR(H19&gt;0,ORÇAMENTO!AC19="QUANT."),OR(K19="",M19=0,N19="")),"►",IF(AND(ACOMPANHAMENTO="PLE",ORÇAMENTO!AC19="QUANT."),"►►",IF(AND(COUNTIF($P$11:$AA$11,"▼")=0,H19&gt;0,I19=""),"◄",""))))</f>
        <v/>
      </c>
      <c r="K19" s="350"/>
      <c r="L19" s="351" t="s">
        <v>807</v>
      </c>
      <c r="M19" s="352" t="n">
        <f aca="true">IF($D19&lt;&gt;"Serviço","",
          IF(AUTOEVENTO="manual",$A19,
                IF(ISERROR(MATCH($A19,$A$15:OFFSET($A19,-1,0),0)),MAX($M$15:OFFSET(M19,-1,0))+1,
                      INDEX($M$15:OFFSET(M19,-1,0),MATCH($A19,$A$15:OFFSET($A19,-1,0),0)))))</f>
        <v>1</v>
      </c>
      <c r="N19" s="353" t="str">
        <f aca="true">IF($D19&lt;&gt;"Serviço","",
         IF(AUTOEVENTO="Manual",
                IF($A19=0,"&lt;-- defina o número do agrupador",
                       OFFSET(EVENTOS!$D$15,$A19-$A$15,0)),
                OFFSET($F$15,$A19,0)))</f>
        <v>ADMINISTRAÇÃO LOCAL</v>
      </c>
      <c r="O19" s="354"/>
      <c r="Q19" s="354"/>
      <c r="R19" s="355"/>
      <c r="S19" s="355"/>
      <c r="T19" s="355"/>
      <c r="U19" s="355"/>
      <c r="V19" s="355"/>
      <c r="W19" s="355"/>
      <c r="X19" s="355"/>
      <c r="Y19" s="355"/>
      <c r="Z19" s="356"/>
      <c r="AB19" s="357" t="n">
        <f aca="true">IF(AND($D19="Serviço",AB$12&lt;&gt;0,$H19&gt;0,OR(AUTOEVENTO&lt;&gt;"manual",$M19&lt;&gt;$A$15)),
        IF(Import.TipoArredondamento&lt;&gt;"TransfereGOV",
              ROUND(OFFSET($P19,0,AB$13),15-13*ORÇAMENTO!$AF$7)/$H19*OFFSET(ORÇAMENTO!$X$15,ROW(AB19)-ROW(AB$15),0),
              ROUND(ROUND(OFFSET($P19,0,AB$13),15-13*ORÇAMENTO!$AF$7)*OFFSET(ORÇAMENTO!$W$15,ROW(AB19)-ROW(AB$15),0),15-13*ORÇAMENTO!$AF$11)),
         0)</f>
        <v>0</v>
      </c>
      <c r="AC19" s="357" t="n">
        <f aca="true">IF(AND($D19="Serviço",AC$12&lt;&gt;0,$H19&gt;0,OR(AUTOEVENTO&lt;&gt;"manual",$M19&lt;&gt;$A$15)),
        IF(Import.TipoArredondamento&lt;&gt;"TransfereGOV",
              ROUND(OFFSET($P19,0,AC$13),15-13*ORÇAMENTO!$AF$7)/$H19*OFFSET(ORÇAMENTO!$X$15,ROW(AC19)-ROW(AC$15),0),
              ROUND(ROUND(OFFSET($P19,0,AC$13),15-13*ORÇAMENTO!$AF$7)*OFFSET(ORÇAMENTO!$W$15,ROW(AC19)-ROW(AC$15),0),15-13*ORÇAMENTO!$AF$11)),
         0)</f>
        <v>0</v>
      </c>
      <c r="AD19" s="357" t="n">
        <f aca="true">IF(AND($D19="Serviço",AD$12&lt;&gt;0,$H19&gt;0,OR(AUTOEVENTO&lt;&gt;"manual",$M19&lt;&gt;$A$15)),
        IF(Import.TipoArredondamento&lt;&gt;"TransfereGOV",
              ROUND(OFFSET($P19,0,AD$13),15-13*ORÇAMENTO!$AF$7)/$H19*OFFSET(ORÇAMENTO!$X$15,ROW(AD19)-ROW(AD$15),0),
              ROUND(ROUND(OFFSET($P19,0,AD$13),15-13*ORÇAMENTO!$AF$7)*OFFSET(ORÇAMENTO!$W$15,ROW(AD19)-ROW(AD$15),0),15-13*ORÇAMENTO!$AF$11)),
         0)</f>
        <v>0</v>
      </c>
      <c r="AE19" s="357" t="n">
        <f aca="true">IF(AND($D19="Serviço",AE$12&lt;&gt;0,$H19&gt;0,OR(AUTOEVENTO&lt;&gt;"manual",$M19&lt;&gt;$A$15)),
        IF(Import.TipoArredondamento&lt;&gt;"TransfereGOV",
              ROUND(OFFSET($P19,0,AE$13),15-13*ORÇAMENTO!$AF$7)/$H19*OFFSET(ORÇAMENTO!$X$15,ROW(AE19)-ROW(AE$15),0),
              ROUND(ROUND(OFFSET($P19,0,AE$13),15-13*ORÇAMENTO!$AF$7)*OFFSET(ORÇAMENTO!$W$15,ROW(AE19)-ROW(AE$15),0),15-13*ORÇAMENTO!$AF$11)),
         0)</f>
        <v>0</v>
      </c>
      <c r="AF19" s="357" t="n">
        <f aca="true">IF(AND($D19="Serviço",AF$12&lt;&gt;0,$H19&gt;0,OR(AUTOEVENTO&lt;&gt;"manual",$M19&lt;&gt;$A$15)),
        IF(Import.TipoArredondamento&lt;&gt;"TransfereGOV",
              ROUND(OFFSET($P19,0,AF$13),15-13*ORÇAMENTO!$AF$7)/$H19*OFFSET(ORÇAMENTO!$X$15,ROW(AF19)-ROW(AF$15),0),
              ROUND(ROUND(OFFSET($P19,0,AF$13),15-13*ORÇAMENTO!$AF$7)*OFFSET(ORÇAMENTO!$W$15,ROW(AF19)-ROW(AF$15),0),15-13*ORÇAMENTO!$AF$11)),
         0)</f>
        <v>0</v>
      </c>
      <c r="AG19" s="357" t="n">
        <f aca="true">IF(AND($D19="Serviço",AG$12&lt;&gt;0,$H19&gt;0,OR(AUTOEVENTO&lt;&gt;"manual",$M19&lt;&gt;$A$15)),
        IF(Import.TipoArredondamento&lt;&gt;"TransfereGOV",
              ROUND(OFFSET($P19,0,AG$13),15-13*ORÇAMENTO!$AF$7)/$H19*OFFSET(ORÇAMENTO!$X$15,ROW(AG19)-ROW(AG$15),0),
              ROUND(ROUND(OFFSET($P19,0,AG$13),15-13*ORÇAMENTO!$AF$7)*OFFSET(ORÇAMENTO!$W$15,ROW(AG19)-ROW(AG$15),0),15-13*ORÇAMENTO!$AF$11)),
         0)</f>
        <v>0</v>
      </c>
      <c r="AH19" s="357" t="n">
        <f aca="true">IF(AND($D19="Serviço",AH$12&lt;&gt;0,$H19&gt;0,OR(AUTOEVENTO&lt;&gt;"manual",$M19&lt;&gt;$A$15)),
        IF(Import.TipoArredondamento&lt;&gt;"TransfereGOV",
              ROUND(OFFSET($P19,0,AH$13),15-13*ORÇAMENTO!$AF$7)/$H19*OFFSET(ORÇAMENTO!$X$15,ROW(AH19)-ROW(AH$15),0),
              ROUND(ROUND(OFFSET($P19,0,AH$13),15-13*ORÇAMENTO!$AF$7)*OFFSET(ORÇAMENTO!$W$15,ROW(AH19)-ROW(AH$15),0),15-13*ORÇAMENTO!$AF$11)),
         0)</f>
        <v>0</v>
      </c>
      <c r="AI19" s="357" t="n">
        <f aca="true">IF(AND($D19="Serviço",AI$12&lt;&gt;0,$H19&gt;0,OR(AUTOEVENTO&lt;&gt;"manual",$M19&lt;&gt;$A$15)),
        IF(Import.TipoArredondamento&lt;&gt;"TransfereGOV",
              ROUND(OFFSET($P19,0,AI$13),15-13*ORÇAMENTO!$AF$7)/$H19*OFFSET(ORÇAMENTO!$X$15,ROW(AI19)-ROW(AI$15),0),
              ROUND(ROUND(OFFSET($P19,0,AI$13),15-13*ORÇAMENTO!$AF$7)*OFFSET(ORÇAMENTO!$W$15,ROW(AI19)-ROW(AI$15),0),15-13*ORÇAMENTO!$AF$11)),
         0)</f>
        <v>0</v>
      </c>
      <c r="AJ19" s="357" t="n">
        <f aca="true">IF(AND($D19="Serviço",AJ$12&lt;&gt;0,$H19&gt;0,OR(AUTOEVENTO&lt;&gt;"manual",$M19&lt;&gt;$A$15)),
        IF(Import.TipoArredondamento&lt;&gt;"TransfereGOV",
              ROUND(OFFSET($P19,0,AJ$13),15-13*ORÇAMENTO!$AF$7)/$H19*OFFSET(ORÇAMENTO!$X$15,ROW(AJ19)-ROW(AJ$15),0),
              ROUND(ROUND(OFFSET($P19,0,AJ$13),15-13*ORÇAMENTO!$AF$7)*OFFSET(ORÇAMENTO!$W$15,ROW(AJ19)-ROW(AJ$15),0),15-13*ORÇAMENTO!$AF$11)),
         0)</f>
        <v>0</v>
      </c>
      <c r="AK19" s="357" t="n">
        <f aca="true">IF(AND($D19="Serviço",AK$12&lt;&gt;0,$H19&gt;0,OR(AUTOEVENTO&lt;&gt;"manual",$M19&lt;&gt;$A$15)),
        IF(Import.TipoArredondamento&lt;&gt;"TransfereGOV",
              ROUND(OFFSET($P19,0,AK$13),15-13*ORÇAMENTO!$AF$7)/$H19*OFFSET(ORÇAMENTO!$X$15,ROW(AK19)-ROW(AK$15),0),
              ROUND(ROUND(OFFSET($P19,0,AK$13),15-13*ORÇAMENTO!$AF$7)*OFFSET(ORÇAMENTO!$W$15,ROW(AK19)-ROW(AK$15),0),15-13*ORÇAMENTO!$AF$11)),
         0)</f>
        <v>0</v>
      </c>
      <c r="AM19" s="358" t="n">
        <f aca="true">IF(OR($D19&lt;&gt;"Serviço",AND(AUTOEVENTO="Manual",$M19=$A$15)),0,
         IF(OFFSET(CRONOPLE!$F$15,$M19-$A$15,AM$13)="",10^12,OFFSET(CRONOPLE!$F$15,$M19-$A$15,AM$13)))</f>
        <v>1000000000000</v>
      </c>
      <c r="AN19" s="358" t="n">
        <f aca="true">IF(OR($D19&lt;&gt;"Serviço",AND(AUTOEVENTO="Manual",$M19=$A$15)),0,
         IF(OFFSET(CRONOPLE!$F$15,$M19-$A$15,AN$13)="",10^12,OFFSET(CRONOPLE!$F$15,$M19-$A$15,AN$13)))</f>
        <v>1000000000000</v>
      </c>
      <c r="AO19" s="358" t="n">
        <f aca="true">IF(OR($D19&lt;&gt;"Serviço",AND(AUTOEVENTO="Manual",$M19=$A$15)),0,
         IF(OFFSET(CRONOPLE!$F$15,$M19-$A$15,AO$13)="",10^12,OFFSET(CRONOPLE!$F$15,$M19-$A$15,AO$13)))</f>
        <v>1000000000000</v>
      </c>
      <c r="AP19" s="358" t="n">
        <f aca="true">IF(OR($D19&lt;&gt;"Serviço",AND(AUTOEVENTO="Manual",$M19=$A$15)),0,
         IF(OFFSET(CRONOPLE!$F$15,$M19-$A$15,AP$13)="",10^12,OFFSET(CRONOPLE!$F$15,$M19-$A$15,AP$13)))</f>
        <v>1000000000000</v>
      </c>
      <c r="AQ19" s="358" t="n">
        <f aca="true">IF(OR($D19&lt;&gt;"Serviço",AND(AUTOEVENTO="Manual",$M19=$A$15)),0,
         IF(OFFSET(CRONOPLE!$F$15,$M19-$A$15,AQ$13)="",10^12,OFFSET(CRONOPLE!$F$15,$M19-$A$15,AQ$13)))</f>
        <v>1000000000000</v>
      </c>
      <c r="AR19" s="358" t="n">
        <f aca="true">IF(OR($D19&lt;&gt;"Serviço",AND(AUTOEVENTO="Manual",$M19=$A$15)),0,
         IF(OFFSET(CRONOPLE!$F$15,$M19-$A$15,AR$13)="",10^12,OFFSET(CRONOPLE!$F$15,$M19-$A$15,AR$13)))</f>
        <v>1000000000000</v>
      </c>
      <c r="AS19" s="358" t="n">
        <f aca="true">IF(OR($D19&lt;&gt;"Serviço",AND(AUTOEVENTO="Manual",$M19=$A$15)),0,
         IF(OFFSET(CRONOPLE!$F$15,$M19-$A$15,AS$13)="",10^12,OFFSET(CRONOPLE!$F$15,$M19-$A$15,AS$13)))</f>
        <v>1000000000000</v>
      </c>
      <c r="AT19" s="358" t="n">
        <f aca="true">IF(OR($D19&lt;&gt;"Serviço",AND(AUTOEVENTO="Manual",$M19=$A$15)),0,
         IF(OFFSET(CRONOPLE!$F$15,$M19-$A$15,AT$13)="",10^12,OFFSET(CRONOPLE!$F$15,$M19-$A$15,AT$13)))</f>
        <v>1000000000000</v>
      </c>
      <c r="AU19" s="358" t="n">
        <f aca="true">IF(OR($D19&lt;&gt;"Serviço",AND(AUTOEVENTO="Manual",$M19=$A$15)),0,
         IF(OFFSET(CRONOPLE!$F$15,$M19-$A$15,AU$13)="",10^12,OFFSET(CRONOPLE!$F$15,$M19-$A$15,AU$13)))</f>
        <v>1000000000000</v>
      </c>
      <c r="AV19" s="358" t="n">
        <f aca="true">IF(OR($D19&lt;&gt;"Serviço",AND(AUTOEVENTO="Manual",$M19=$A$15)),0,
         IF(OFFSET(CRONOPLE!$F$15,$M19-$A$15,AV$13)="",10^12,OFFSET(CRONOPLE!$F$15,$M19-$A$15,AV$13)))</f>
        <v>1000000000000</v>
      </c>
      <c r="AX19" s="359" t="n">
        <f aca="true">IF(OR($D19&lt;&gt;"Serviço",AND(AUTOEVENTO="Manual",$M19=$A$15),$M19&gt;(ROW(PLE.lastrow)-ROW(PLE.firstrow))),0,
           IF(OFFSET(PLE!$G$15,$M19-$A$15,AX$13)="",10^12,OFFSET(PLE!$G$15,$M19-$A$15,AX$13)))</f>
        <v>1000000000000</v>
      </c>
      <c r="AY19" s="359" t="n">
        <f aca="true">IF(OR($D19&lt;&gt;"Serviço",AND(AUTOEVENTO="Manual",$M19=$A$15),$M19&gt;(ROW(PLE.lastrow)-ROW(PLE.firstrow))),0,
           IF(OFFSET(PLE!$G$15,$M19-$A$15,AY$13)="",10^12,OFFSET(PLE!$G$15,$M19-$A$15,AY$13)))</f>
        <v>1000000000000</v>
      </c>
      <c r="AZ19" s="359" t="n">
        <f aca="true">IF(OR($D19&lt;&gt;"Serviço",AND(AUTOEVENTO="Manual",$M19=$A$15),$M19&gt;(ROW(PLE.lastrow)-ROW(PLE.firstrow))),0,
           IF(OFFSET(PLE!$G$15,$M19-$A$15,AZ$13)="",10^12,OFFSET(PLE!$G$15,$M19-$A$15,AZ$13)))</f>
        <v>1000000000000</v>
      </c>
      <c r="BA19" s="359" t="n">
        <f aca="true">IF(OR($D19&lt;&gt;"Serviço",AND(AUTOEVENTO="Manual",$M19=$A$15),$M19&gt;(ROW(PLE.lastrow)-ROW(PLE.firstrow))),0,
           IF(OFFSET(PLE!$G$15,$M19-$A$15,BA$13)="",10^12,OFFSET(PLE!$G$15,$M19-$A$15,BA$13)))</f>
        <v>1000000000000</v>
      </c>
      <c r="BB19" s="359" t="n">
        <f aca="true">IF(OR($D19&lt;&gt;"Serviço",AND(AUTOEVENTO="Manual",$M19=$A$15),$M19&gt;(ROW(PLE.lastrow)-ROW(PLE.firstrow))),0,
           IF(OFFSET(PLE!$G$15,$M19-$A$15,BB$13)="",10^12,OFFSET(PLE!$G$15,$M19-$A$15,BB$13)))</f>
        <v>1000000000000</v>
      </c>
      <c r="BC19" s="359" t="n">
        <f aca="true">IF(OR($D19&lt;&gt;"Serviço",AND(AUTOEVENTO="Manual",$M19=$A$15),$M19&gt;(ROW(PLE.lastrow)-ROW(PLE.firstrow))),0,
           IF(OFFSET(PLE!$G$15,$M19-$A$15,BC$13)="",10^12,OFFSET(PLE!$G$15,$M19-$A$15,BC$13)))</f>
        <v>1000000000000</v>
      </c>
      <c r="BD19" s="359" t="n">
        <f aca="true">IF(OR($D19&lt;&gt;"Serviço",AND(AUTOEVENTO="Manual",$M19=$A$15),$M19&gt;(ROW(PLE.lastrow)-ROW(PLE.firstrow))),0,
           IF(OFFSET(PLE!$G$15,$M19-$A$15,BD$13)="",10^12,OFFSET(PLE!$G$15,$M19-$A$15,BD$13)))</f>
        <v>1000000000000</v>
      </c>
      <c r="BE19" s="359" t="n">
        <f aca="true">IF(OR($D19&lt;&gt;"Serviço",AND(AUTOEVENTO="Manual",$M19=$A$15),$M19&gt;(ROW(PLE.lastrow)-ROW(PLE.firstrow))),0,
           IF(OFFSET(PLE!$G$15,$M19-$A$15,BE$13)="",10^12,OFFSET(PLE!$G$15,$M19-$A$15,BE$13)))</f>
        <v>1000000000000</v>
      </c>
      <c r="BF19" s="359" t="n">
        <f aca="true">IF(OR($D19&lt;&gt;"Serviço",AND(AUTOEVENTO="Manual",$M19=$A$15),$M19&gt;(ROW(PLE.lastrow)-ROW(PLE.firstrow))),0,
           IF(OFFSET(PLE!$G$15,$M19-$A$15,BF$13)="",10^12,OFFSET(PLE!$G$15,$M19-$A$15,BF$13)))</f>
        <v>1000000000000</v>
      </c>
      <c r="BG19" s="359" t="n">
        <f aca="true">IF(OR($D19&lt;&gt;"Serviço",AND(AUTOEVENTO="Manual",$M19=$A$15),$M19&gt;(ROW(PLE.lastrow)-ROW(PLE.firstrow))),0,
           IF(OFFSET(PLE!$G$15,$M19-$A$15,BG$13)="",10^12,OFFSET(PLE!$G$15,$M19-$A$15,BG$13)))</f>
        <v>1000000000000</v>
      </c>
    </row>
    <row r="20" s="1" customFormat="true" ht="12.75" hidden="false" customHeight="false" outlineLevel="0" collapsed="false">
      <c r="A20" s="49" t="str">
        <f aca="true">IF(AUTOEVENTO="Manual",IF(K20&lt;&gt;"",MIN(VALUE(LEFT(K20,FIND(".",K20)-1)),COUNTA(EVENTOS.Lista)),0),IF(OR($B20&gt;AUTOEVENTO,$B20="S",$B20=0),SUBSTITUTE(OFFSET($A20,-1,0),IF($D20="Serviço",".",""),""),ROW(A20)-ROW($A$15)&amp;"."))</f>
        <v>5.</v>
      </c>
      <c r="B20" s="49" t="n">
        <f aca="true">OFFSET(ORÇAMENTO!C$15,ROW(B20)-ROW(B$15),0)</f>
        <v>2</v>
      </c>
      <c r="C20" s="49" t="str">
        <f aca="true">OFFSET(ORÇAMENTO!L$15,ROW(C20)-ROW(C$15),0)</f>
        <v>F</v>
      </c>
      <c r="D20" s="201" t="str">
        <f aca="true">OFFSET(ORÇAMENTO!N$15,ROW(D20)-ROW(D$15),0)</f>
        <v>Nível 2</v>
      </c>
      <c r="E20" s="202" t="str">
        <f aca="true">OFFSET(ORÇAMENTO!O$15,ROW(E20)-ROW(E$15),0)</f>
        <v>1.2.</v>
      </c>
      <c r="F20" s="346" t="str">
        <f aca="true">OFFSET(ORÇAMENTO!R$15,ROW(F20)-ROW(F$15),0)</f>
        <v>SERVIÇOS PRELIMINARES</v>
      </c>
      <c r="G20" s="347" t="str">
        <f aca="true">IF($D20&lt;&gt;"Serviço","",OFFSET(ORÇAMENTO!S$15,ROW(G20)-ROW(G$15),0))</f>
        <v/>
      </c>
      <c r="H20" s="207" t="n">
        <f aca="true">IF($D20&lt;&gt;"Serviço",0,IF(ACOMPANHAMENTO="BM",ROUND(OFFSET(ORÇAMENTO!AJ$15,ROW(H20)-ROW(H$15),0),15-13*ORÇAMENTO!$AF$7),SUMPRODUCT(($Q$1:$AA$1=1)*ROUND($Q20:$AA20,15-13*ORÇAMENTO!$AF$7))))</f>
        <v>0</v>
      </c>
      <c r="I20" s="348"/>
      <c r="J20" s="349" t="str">
        <f aca="false" t="array" ref="J20:J20">IF(B20&lt;&gt;"S","",IF(AND(ACOMPANHAMENTO="PLE",AUTOEVENTO="Manual",OR(H20&gt;0,ORÇAMENTO!AC20="QUANT."),OR(K20="",M20=0,N20="")),"►",IF(AND(ACOMPANHAMENTO="PLE",ORÇAMENTO!AC20="QUANT."),"►►",IF(AND(COUNTIF($P$11:$AA$11,"▼")=0,H20&gt;0,I20=""),"◄",""))))</f>
        <v/>
      </c>
      <c r="K20" s="350"/>
      <c r="L20" s="351" t="s">
        <v>807</v>
      </c>
      <c r="M20" s="352" t="str">
        <f aca="true">IF($D20&lt;&gt;"Serviço","",
          IF(AUTOEVENTO="manual",$A20,
                IF(ISERROR(MATCH($A20,$A$15:OFFSET($A20,-1,0),0)),MAX($M$15:OFFSET(M20,-1,0))+1,
                      INDEX($M$15:OFFSET(M20,-1,0),MATCH($A20,$A$15:OFFSET($A20,-1,0),0)))))</f>
        <v/>
      </c>
      <c r="N20" s="353" t="str">
        <f aca="true">IF($D20&lt;&gt;"Serviço","",
         IF(AUTOEVENTO="Manual",
                IF($A20=0,"&lt;-- defina o número do agrupador",
                       OFFSET(EVENTOS!$D$15,$A20-$A$15,0)),
                OFFSET($F$15,$A20,0)))</f>
        <v/>
      </c>
      <c r="O20" s="354"/>
      <c r="Q20" s="354"/>
      <c r="R20" s="355"/>
      <c r="S20" s="355"/>
      <c r="T20" s="355"/>
      <c r="U20" s="355"/>
      <c r="V20" s="355"/>
      <c r="W20" s="355"/>
      <c r="X20" s="355"/>
      <c r="Y20" s="355"/>
      <c r="Z20" s="356"/>
      <c r="AB20" s="357" t="n">
        <f aca="true">IF(AND($D20="Serviço",AB$12&lt;&gt;0,$H20&gt;0,OR(AUTOEVENTO&lt;&gt;"manual",$M20&lt;&gt;$A$15)),
        IF(Import.TipoArredondamento&lt;&gt;"TransfereGOV",
              ROUND(OFFSET($P20,0,AB$13),15-13*ORÇAMENTO!$AF$7)/$H20*OFFSET(ORÇAMENTO!$X$15,ROW(AB20)-ROW(AB$15),0),
              ROUND(ROUND(OFFSET($P20,0,AB$13),15-13*ORÇAMENTO!$AF$7)*OFFSET(ORÇAMENTO!$W$15,ROW(AB20)-ROW(AB$15),0),15-13*ORÇAMENTO!$AF$11)),
         0)</f>
        <v>0</v>
      </c>
      <c r="AC20" s="357" t="n">
        <f aca="true">IF(AND($D20="Serviço",AC$12&lt;&gt;0,$H20&gt;0,OR(AUTOEVENTO&lt;&gt;"manual",$M20&lt;&gt;$A$15)),
        IF(Import.TipoArredondamento&lt;&gt;"TransfereGOV",
              ROUND(OFFSET($P20,0,AC$13),15-13*ORÇAMENTO!$AF$7)/$H20*OFFSET(ORÇAMENTO!$X$15,ROW(AC20)-ROW(AC$15),0),
              ROUND(ROUND(OFFSET($P20,0,AC$13),15-13*ORÇAMENTO!$AF$7)*OFFSET(ORÇAMENTO!$W$15,ROW(AC20)-ROW(AC$15),0),15-13*ORÇAMENTO!$AF$11)),
         0)</f>
        <v>0</v>
      </c>
      <c r="AD20" s="357" t="n">
        <f aca="true">IF(AND($D20="Serviço",AD$12&lt;&gt;0,$H20&gt;0,OR(AUTOEVENTO&lt;&gt;"manual",$M20&lt;&gt;$A$15)),
        IF(Import.TipoArredondamento&lt;&gt;"TransfereGOV",
              ROUND(OFFSET($P20,0,AD$13),15-13*ORÇAMENTO!$AF$7)/$H20*OFFSET(ORÇAMENTO!$X$15,ROW(AD20)-ROW(AD$15),0),
              ROUND(ROUND(OFFSET($P20,0,AD$13),15-13*ORÇAMENTO!$AF$7)*OFFSET(ORÇAMENTO!$W$15,ROW(AD20)-ROW(AD$15),0),15-13*ORÇAMENTO!$AF$11)),
         0)</f>
        <v>0</v>
      </c>
      <c r="AE20" s="357" t="n">
        <f aca="true">IF(AND($D20="Serviço",AE$12&lt;&gt;0,$H20&gt;0,OR(AUTOEVENTO&lt;&gt;"manual",$M20&lt;&gt;$A$15)),
        IF(Import.TipoArredondamento&lt;&gt;"TransfereGOV",
              ROUND(OFFSET($P20,0,AE$13),15-13*ORÇAMENTO!$AF$7)/$H20*OFFSET(ORÇAMENTO!$X$15,ROW(AE20)-ROW(AE$15),0),
              ROUND(ROUND(OFFSET($P20,0,AE$13),15-13*ORÇAMENTO!$AF$7)*OFFSET(ORÇAMENTO!$W$15,ROW(AE20)-ROW(AE$15),0),15-13*ORÇAMENTO!$AF$11)),
         0)</f>
        <v>0</v>
      </c>
      <c r="AF20" s="357" t="n">
        <f aca="true">IF(AND($D20="Serviço",AF$12&lt;&gt;0,$H20&gt;0,OR(AUTOEVENTO&lt;&gt;"manual",$M20&lt;&gt;$A$15)),
        IF(Import.TipoArredondamento&lt;&gt;"TransfereGOV",
              ROUND(OFFSET($P20,0,AF$13),15-13*ORÇAMENTO!$AF$7)/$H20*OFFSET(ORÇAMENTO!$X$15,ROW(AF20)-ROW(AF$15),0),
              ROUND(ROUND(OFFSET($P20,0,AF$13),15-13*ORÇAMENTO!$AF$7)*OFFSET(ORÇAMENTO!$W$15,ROW(AF20)-ROW(AF$15),0),15-13*ORÇAMENTO!$AF$11)),
         0)</f>
        <v>0</v>
      </c>
      <c r="AG20" s="357" t="n">
        <f aca="true">IF(AND($D20="Serviço",AG$12&lt;&gt;0,$H20&gt;0,OR(AUTOEVENTO&lt;&gt;"manual",$M20&lt;&gt;$A$15)),
        IF(Import.TipoArredondamento&lt;&gt;"TransfereGOV",
              ROUND(OFFSET($P20,0,AG$13),15-13*ORÇAMENTO!$AF$7)/$H20*OFFSET(ORÇAMENTO!$X$15,ROW(AG20)-ROW(AG$15),0),
              ROUND(ROUND(OFFSET($P20,0,AG$13),15-13*ORÇAMENTO!$AF$7)*OFFSET(ORÇAMENTO!$W$15,ROW(AG20)-ROW(AG$15),0),15-13*ORÇAMENTO!$AF$11)),
         0)</f>
        <v>0</v>
      </c>
      <c r="AH20" s="357" t="n">
        <f aca="true">IF(AND($D20="Serviço",AH$12&lt;&gt;0,$H20&gt;0,OR(AUTOEVENTO&lt;&gt;"manual",$M20&lt;&gt;$A$15)),
        IF(Import.TipoArredondamento&lt;&gt;"TransfereGOV",
              ROUND(OFFSET($P20,0,AH$13),15-13*ORÇAMENTO!$AF$7)/$H20*OFFSET(ORÇAMENTO!$X$15,ROW(AH20)-ROW(AH$15),0),
              ROUND(ROUND(OFFSET($P20,0,AH$13),15-13*ORÇAMENTO!$AF$7)*OFFSET(ORÇAMENTO!$W$15,ROW(AH20)-ROW(AH$15),0),15-13*ORÇAMENTO!$AF$11)),
         0)</f>
        <v>0</v>
      </c>
      <c r="AI20" s="357" t="n">
        <f aca="true">IF(AND($D20="Serviço",AI$12&lt;&gt;0,$H20&gt;0,OR(AUTOEVENTO&lt;&gt;"manual",$M20&lt;&gt;$A$15)),
        IF(Import.TipoArredondamento&lt;&gt;"TransfereGOV",
              ROUND(OFFSET($P20,0,AI$13),15-13*ORÇAMENTO!$AF$7)/$H20*OFFSET(ORÇAMENTO!$X$15,ROW(AI20)-ROW(AI$15),0),
              ROUND(ROUND(OFFSET($P20,0,AI$13),15-13*ORÇAMENTO!$AF$7)*OFFSET(ORÇAMENTO!$W$15,ROW(AI20)-ROW(AI$15),0),15-13*ORÇAMENTO!$AF$11)),
         0)</f>
        <v>0</v>
      </c>
      <c r="AJ20" s="357" t="n">
        <f aca="true">IF(AND($D20="Serviço",AJ$12&lt;&gt;0,$H20&gt;0,OR(AUTOEVENTO&lt;&gt;"manual",$M20&lt;&gt;$A$15)),
        IF(Import.TipoArredondamento&lt;&gt;"TransfereGOV",
              ROUND(OFFSET($P20,0,AJ$13),15-13*ORÇAMENTO!$AF$7)/$H20*OFFSET(ORÇAMENTO!$X$15,ROW(AJ20)-ROW(AJ$15),0),
              ROUND(ROUND(OFFSET($P20,0,AJ$13),15-13*ORÇAMENTO!$AF$7)*OFFSET(ORÇAMENTO!$W$15,ROW(AJ20)-ROW(AJ$15),0),15-13*ORÇAMENTO!$AF$11)),
         0)</f>
        <v>0</v>
      </c>
      <c r="AK20" s="357" t="n">
        <f aca="true">IF(AND($D20="Serviço",AK$12&lt;&gt;0,$H20&gt;0,OR(AUTOEVENTO&lt;&gt;"manual",$M20&lt;&gt;$A$15)),
        IF(Import.TipoArredondamento&lt;&gt;"TransfereGOV",
              ROUND(OFFSET($P20,0,AK$13),15-13*ORÇAMENTO!$AF$7)/$H20*OFFSET(ORÇAMENTO!$X$15,ROW(AK20)-ROW(AK$15),0),
              ROUND(ROUND(OFFSET($P20,0,AK$13),15-13*ORÇAMENTO!$AF$7)*OFFSET(ORÇAMENTO!$W$15,ROW(AK20)-ROW(AK$15),0),15-13*ORÇAMENTO!$AF$11)),
         0)</f>
        <v>0</v>
      </c>
      <c r="AM20" s="358" t="n">
        <f aca="true">IF(OR($D20&lt;&gt;"Serviço",AND(AUTOEVENTO="Manual",$M20=$A$15)),0,
         IF(OFFSET(CRONOPLE!$F$15,$M20-$A$15,AM$13)="",10^12,OFFSET(CRONOPLE!$F$15,$M20-$A$15,AM$13)))</f>
        <v>0</v>
      </c>
      <c r="AN20" s="358" t="n">
        <f aca="true">IF(OR($D20&lt;&gt;"Serviço",AND(AUTOEVENTO="Manual",$M20=$A$15)),0,
         IF(OFFSET(CRONOPLE!$F$15,$M20-$A$15,AN$13)="",10^12,OFFSET(CRONOPLE!$F$15,$M20-$A$15,AN$13)))</f>
        <v>0</v>
      </c>
      <c r="AO20" s="358" t="n">
        <f aca="true">IF(OR($D20&lt;&gt;"Serviço",AND(AUTOEVENTO="Manual",$M20=$A$15)),0,
         IF(OFFSET(CRONOPLE!$F$15,$M20-$A$15,AO$13)="",10^12,OFFSET(CRONOPLE!$F$15,$M20-$A$15,AO$13)))</f>
        <v>0</v>
      </c>
      <c r="AP20" s="358" t="n">
        <f aca="true">IF(OR($D20&lt;&gt;"Serviço",AND(AUTOEVENTO="Manual",$M20=$A$15)),0,
         IF(OFFSET(CRONOPLE!$F$15,$M20-$A$15,AP$13)="",10^12,OFFSET(CRONOPLE!$F$15,$M20-$A$15,AP$13)))</f>
        <v>0</v>
      </c>
      <c r="AQ20" s="358" t="n">
        <f aca="true">IF(OR($D20&lt;&gt;"Serviço",AND(AUTOEVENTO="Manual",$M20=$A$15)),0,
         IF(OFFSET(CRONOPLE!$F$15,$M20-$A$15,AQ$13)="",10^12,OFFSET(CRONOPLE!$F$15,$M20-$A$15,AQ$13)))</f>
        <v>0</v>
      </c>
      <c r="AR20" s="358" t="n">
        <f aca="true">IF(OR($D20&lt;&gt;"Serviço",AND(AUTOEVENTO="Manual",$M20=$A$15)),0,
         IF(OFFSET(CRONOPLE!$F$15,$M20-$A$15,AR$13)="",10^12,OFFSET(CRONOPLE!$F$15,$M20-$A$15,AR$13)))</f>
        <v>0</v>
      </c>
      <c r="AS20" s="358" t="n">
        <f aca="true">IF(OR($D20&lt;&gt;"Serviço",AND(AUTOEVENTO="Manual",$M20=$A$15)),0,
         IF(OFFSET(CRONOPLE!$F$15,$M20-$A$15,AS$13)="",10^12,OFFSET(CRONOPLE!$F$15,$M20-$A$15,AS$13)))</f>
        <v>0</v>
      </c>
      <c r="AT20" s="358" t="n">
        <f aca="true">IF(OR($D20&lt;&gt;"Serviço",AND(AUTOEVENTO="Manual",$M20=$A$15)),0,
         IF(OFFSET(CRONOPLE!$F$15,$M20-$A$15,AT$13)="",10^12,OFFSET(CRONOPLE!$F$15,$M20-$A$15,AT$13)))</f>
        <v>0</v>
      </c>
      <c r="AU20" s="358" t="n">
        <f aca="true">IF(OR($D20&lt;&gt;"Serviço",AND(AUTOEVENTO="Manual",$M20=$A$15)),0,
         IF(OFFSET(CRONOPLE!$F$15,$M20-$A$15,AU$13)="",10^12,OFFSET(CRONOPLE!$F$15,$M20-$A$15,AU$13)))</f>
        <v>0</v>
      </c>
      <c r="AV20" s="358" t="n">
        <f aca="true">IF(OR($D20&lt;&gt;"Serviço",AND(AUTOEVENTO="Manual",$M20=$A$15)),0,
         IF(OFFSET(CRONOPLE!$F$15,$M20-$A$15,AV$13)="",10^12,OFFSET(CRONOPLE!$F$15,$M20-$A$15,AV$13)))</f>
        <v>0</v>
      </c>
      <c r="AX20" s="359" t="n">
        <f aca="true">IF(OR($D20&lt;&gt;"Serviço",AND(AUTOEVENTO="Manual",$M20=$A$15),$M20&gt;(ROW(PLE.lastrow)-ROW(PLE.firstrow))),0,
           IF(OFFSET(PLE!$G$15,$M20-$A$15,AX$13)="",10^12,OFFSET(PLE!$G$15,$M20-$A$15,AX$13)))</f>
        <v>0</v>
      </c>
      <c r="AY20" s="359" t="n">
        <f aca="true">IF(OR($D20&lt;&gt;"Serviço",AND(AUTOEVENTO="Manual",$M20=$A$15),$M20&gt;(ROW(PLE.lastrow)-ROW(PLE.firstrow))),0,
           IF(OFFSET(PLE!$G$15,$M20-$A$15,AY$13)="",10^12,OFFSET(PLE!$G$15,$M20-$A$15,AY$13)))</f>
        <v>0</v>
      </c>
      <c r="AZ20" s="359" t="n">
        <f aca="true">IF(OR($D20&lt;&gt;"Serviço",AND(AUTOEVENTO="Manual",$M20=$A$15),$M20&gt;(ROW(PLE.lastrow)-ROW(PLE.firstrow))),0,
           IF(OFFSET(PLE!$G$15,$M20-$A$15,AZ$13)="",10^12,OFFSET(PLE!$G$15,$M20-$A$15,AZ$13)))</f>
        <v>0</v>
      </c>
      <c r="BA20" s="359" t="n">
        <f aca="true">IF(OR($D20&lt;&gt;"Serviço",AND(AUTOEVENTO="Manual",$M20=$A$15),$M20&gt;(ROW(PLE.lastrow)-ROW(PLE.firstrow))),0,
           IF(OFFSET(PLE!$G$15,$M20-$A$15,BA$13)="",10^12,OFFSET(PLE!$G$15,$M20-$A$15,BA$13)))</f>
        <v>0</v>
      </c>
      <c r="BB20" s="359" t="n">
        <f aca="true">IF(OR($D20&lt;&gt;"Serviço",AND(AUTOEVENTO="Manual",$M20=$A$15),$M20&gt;(ROW(PLE.lastrow)-ROW(PLE.firstrow))),0,
           IF(OFFSET(PLE!$G$15,$M20-$A$15,BB$13)="",10^12,OFFSET(PLE!$G$15,$M20-$A$15,BB$13)))</f>
        <v>0</v>
      </c>
      <c r="BC20" s="359" t="n">
        <f aca="true">IF(OR($D20&lt;&gt;"Serviço",AND(AUTOEVENTO="Manual",$M20=$A$15),$M20&gt;(ROW(PLE.lastrow)-ROW(PLE.firstrow))),0,
           IF(OFFSET(PLE!$G$15,$M20-$A$15,BC$13)="",10^12,OFFSET(PLE!$G$15,$M20-$A$15,BC$13)))</f>
        <v>0</v>
      </c>
      <c r="BD20" s="359" t="n">
        <f aca="true">IF(OR($D20&lt;&gt;"Serviço",AND(AUTOEVENTO="Manual",$M20=$A$15),$M20&gt;(ROW(PLE.lastrow)-ROW(PLE.firstrow))),0,
           IF(OFFSET(PLE!$G$15,$M20-$A$15,BD$13)="",10^12,OFFSET(PLE!$G$15,$M20-$A$15,BD$13)))</f>
        <v>0</v>
      </c>
      <c r="BE20" s="359" t="n">
        <f aca="true">IF(OR($D20&lt;&gt;"Serviço",AND(AUTOEVENTO="Manual",$M20=$A$15),$M20&gt;(ROW(PLE.lastrow)-ROW(PLE.firstrow))),0,
           IF(OFFSET(PLE!$G$15,$M20-$A$15,BE$13)="",10^12,OFFSET(PLE!$G$15,$M20-$A$15,BE$13)))</f>
        <v>0</v>
      </c>
      <c r="BF20" s="359" t="n">
        <f aca="true">IF(OR($D20&lt;&gt;"Serviço",AND(AUTOEVENTO="Manual",$M20=$A$15),$M20&gt;(ROW(PLE.lastrow)-ROW(PLE.firstrow))),0,
           IF(OFFSET(PLE!$G$15,$M20-$A$15,BF$13)="",10^12,OFFSET(PLE!$G$15,$M20-$A$15,BF$13)))</f>
        <v>0</v>
      </c>
      <c r="BG20" s="359" t="n">
        <f aca="true">IF(OR($D20&lt;&gt;"Serviço",AND(AUTOEVENTO="Manual",$M20=$A$15),$M20&gt;(ROW(PLE.lastrow)-ROW(PLE.firstrow))),0,
           IF(OFFSET(PLE!$G$15,$M20-$A$15,BG$13)="",10^12,OFFSET(PLE!$G$15,$M20-$A$15,BG$13)))</f>
        <v>0</v>
      </c>
    </row>
    <row r="21" s="1" customFormat="true" ht="12.75" hidden="false" customHeight="false" outlineLevel="0" collapsed="false">
      <c r="A21" s="49" t="str">
        <f aca="true">IF(AUTOEVENTO="Manual",IF(K21&lt;&gt;"",MIN(VALUE(LEFT(K21,FIND(".",K21)-1)),COUNTA(EVENTOS.Lista)),0),IF(OR($B21&gt;AUTOEVENTO,$B21="S",$B21=0),SUBSTITUTE(OFFSET($A21,-1,0),IF($D21="Serviço",".",""),""),ROW(A21)-ROW($A$15)&amp;"."))</f>
        <v>5.</v>
      </c>
      <c r="B21" s="49" t="n">
        <f aca="true">OFFSET(ORÇAMENTO!C$15,ROW(B21)-ROW(B$15),0)</f>
        <v>3</v>
      </c>
      <c r="C21" s="49" t="str">
        <f aca="true">OFFSET(ORÇAMENTO!L$15,ROW(C21)-ROW(C$15),0)</f>
        <v>F</v>
      </c>
      <c r="D21" s="236" t="str">
        <f aca="true">OFFSET(ORÇAMENTO!N$15,ROW(D21)-ROW(D$15),0)</f>
        <v>Nível 3</v>
      </c>
      <c r="E21" s="202" t="str">
        <f aca="true">OFFSET(ORÇAMENTO!O$15,ROW(E21)-ROW(E$15),0)</f>
        <v>1.2.1.</v>
      </c>
      <c r="F21" s="346" t="str">
        <f aca="true">OFFSET(ORÇAMENTO!R$15,ROW(F21)-ROW(F$15),0)</f>
        <v>Serviços preliminares</v>
      </c>
      <c r="G21" s="347" t="str">
        <f aca="true">IF($D21&lt;&gt;"Serviço","",OFFSET(ORÇAMENTO!S$15,ROW(G21)-ROW(G$15),0))</f>
        <v/>
      </c>
      <c r="H21" s="207" t="n">
        <f aca="true">IF($D21&lt;&gt;"Serviço",0,IF(ACOMPANHAMENTO="BM",ROUND(OFFSET(ORÇAMENTO!AJ$15,ROW(H21)-ROW(H$15),0),15-13*ORÇAMENTO!$AF$7),SUMPRODUCT(($Q$1:$AA$1=1)*ROUND($Q21:$AA21,15-13*ORÇAMENTO!$AF$7))))</f>
        <v>0</v>
      </c>
      <c r="I21" s="348"/>
      <c r="J21" s="349" t="str">
        <f aca="false" t="array" ref="J21:J21">IF(B21&lt;&gt;"S","",IF(AND(ACOMPANHAMENTO="PLE",AUTOEVENTO="Manual",OR(H21&gt;0,ORÇAMENTO!AC21="QUANT."),OR(K21="",M21=0,N21="")),"►",IF(AND(ACOMPANHAMENTO="PLE",ORÇAMENTO!AC21="QUANT."),"►►",IF(AND(COUNTIF($P$11:$AA$11,"▼")=0,H21&gt;0,I21=""),"◄",""))))</f>
        <v/>
      </c>
      <c r="K21" s="350"/>
      <c r="L21" s="351" t="s">
        <v>807</v>
      </c>
      <c r="M21" s="370" t="str">
        <f aca="true">IF($D21&lt;&gt;"Serviço","",
          IF(AUTOEVENTO="manual",$A21,
                IF(ISERROR(MATCH($A21,$A$15:OFFSET($A21,-1,0),0)),MAX($M$15:OFFSET(M21,-1,0))+1,
                      INDEX($M$15:OFFSET(M21,-1,0),MATCH($A21,$A$15:OFFSET($A21,-1,0),0)))))</f>
        <v/>
      </c>
      <c r="N21" s="353" t="str">
        <f aca="true">IF($D21&lt;&gt;"Serviço","",
         IF(AUTOEVENTO="Manual",
                IF($A21=0,"&lt;-- defina o número do agrupador",
                       OFFSET(EVENTOS!$D$15,$A21-$A$15,0)),
                OFFSET($F$15,$A21,0)))</f>
        <v/>
      </c>
      <c r="O21" s="354"/>
      <c r="Q21" s="354"/>
      <c r="R21" s="355"/>
      <c r="S21" s="355"/>
      <c r="T21" s="355"/>
      <c r="U21" s="355"/>
      <c r="V21" s="355"/>
      <c r="W21" s="355"/>
      <c r="X21" s="355"/>
      <c r="Y21" s="355"/>
      <c r="Z21" s="356"/>
      <c r="AB21" s="357" t="n">
        <f aca="true">IF(AND($D21="Serviço",AB$12&lt;&gt;0,$H21&gt;0,OR(AUTOEVENTO&lt;&gt;"manual",$M21&lt;&gt;$A$15)),
        IF(Import.TipoArredondamento&lt;&gt;"TransfereGOV",
              ROUND(OFFSET($P21,0,AB$13),15-13*ORÇAMENTO!$AF$7)/$H21*OFFSET(ORÇAMENTO!$X$15,ROW(AB21)-ROW(AB$15),0),
              ROUND(ROUND(OFFSET($P21,0,AB$13),15-13*ORÇAMENTO!$AF$7)*OFFSET(ORÇAMENTO!$W$15,ROW(AB21)-ROW(AB$15),0),15-13*ORÇAMENTO!$AF$11)),
         0)</f>
        <v>0</v>
      </c>
      <c r="AC21" s="357" t="n">
        <f aca="true">IF(AND($D21="Serviço",AC$12&lt;&gt;0,$H21&gt;0,OR(AUTOEVENTO&lt;&gt;"manual",$M21&lt;&gt;$A$15)),
        IF(Import.TipoArredondamento&lt;&gt;"TransfereGOV",
              ROUND(OFFSET($P21,0,AC$13),15-13*ORÇAMENTO!$AF$7)/$H21*OFFSET(ORÇAMENTO!$X$15,ROW(AC21)-ROW(AC$15),0),
              ROUND(ROUND(OFFSET($P21,0,AC$13),15-13*ORÇAMENTO!$AF$7)*OFFSET(ORÇAMENTO!$W$15,ROW(AC21)-ROW(AC$15),0),15-13*ORÇAMENTO!$AF$11)),
         0)</f>
        <v>0</v>
      </c>
      <c r="AD21" s="357" t="n">
        <f aca="true">IF(AND($D21="Serviço",AD$12&lt;&gt;0,$H21&gt;0,OR(AUTOEVENTO&lt;&gt;"manual",$M21&lt;&gt;$A$15)),
        IF(Import.TipoArredondamento&lt;&gt;"TransfereGOV",
              ROUND(OFFSET($P21,0,AD$13),15-13*ORÇAMENTO!$AF$7)/$H21*OFFSET(ORÇAMENTO!$X$15,ROW(AD21)-ROW(AD$15),0),
              ROUND(ROUND(OFFSET($P21,0,AD$13),15-13*ORÇAMENTO!$AF$7)*OFFSET(ORÇAMENTO!$W$15,ROW(AD21)-ROW(AD$15),0),15-13*ORÇAMENTO!$AF$11)),
         0)</f>
        <v>0</v>
      </c>
      <c r="AE21" s="357" t="n">
        <f aca="true">IF(AND($D21="Serviço",AE$12&lt;&gt;0,$H21&gt;0,OR(AUTOEVENTO&lt;&gt;"manual",$M21&lt;&gt;$A$15)),
        IF(Import.TipoArredondamento&lt;&gt;"TransfereGOV",
              ROUND(OFFSET($P21,0,AE$13),15-13*ORÇAMENTO!$AF$7)/$H21*OFFSET(ORÇAMENTO!$X$15,ROW(AE21)-ROW(AE$15),0),
              ROUND(ROUND(OFFSET($P21,0,AE$13),15-13*ORÇAMENTO!$AF$7)*OFFSET(ORÇAMENTO!$W$15,ROW(AE21)-ROW(AE$15),0),15-13*ORÇAMENTO!$AF$11)),
         0)</f>
        <v>0</v>
      </c>
      <c r="AF21" s="357" t="n">
        <f aca="true">IF(AND($D21="Serviço",AF$12&lt;&gt;0,$H21&gt;0,OR(AUTOEVENTO&lt;&gt;"manual",$M21&lt;&gt;$A$15)),
        IF(Import.TipoArredondamento&lt;&gt;"TransfereGOV",
              ROUND(OFFSET($P21,0,AF$13),15-13*ORÇAMENTO!$AF$7)/$H21*OFFSET(ORÇAMENTO!$X$15,ROW(AF21)-ROW(AF$15),0),
              ROUND(ROUND(OFFSET($P21,0,AF$13),15-13*ORÇAMENTO!$AF$7)*OFFSET(ORÇAMENTO!$W$15,ROW(AF21)-ROW(AF$15),0),15-13*ORÇAMENTO!$AF$11)),
         0)</f>
        <v>0</v>
      </c>
      <c r="AG21" s="357" t="n">
        <f aca="true">IF(AND($D21="Serviço",AG$12&lt;&gt;0,$H21&gt;0,OR(AUTOEVENTO&lt;&gt;"manual",$M21&lt;&gt;$A$15)),
        IF(Import.TipoArredondamento&lt;&gt;"TransfereGOV",
              ROUND(OFFSET($P21,0,AG$13),15-13*ORÇAMENTO!$AF$7)/$H21*OFFSET(ORÇAMENTO!$X$15,ROW(AG21)-ROW(AG$15),0),
              ROUND(ROUND(OFFSET($P21,0,AG$13),15-13*ORÇAMENTO!$AF$7)*OFFSET(ORÇAMENTO!$W$15,ROW(AG21)-ROW(AG$15),0),15-13*ORÇAMENTO!$AF$11)),
         0)</f>
        <v>0</v>
      </c>
      <c r="AH21" s="357" t="n">
        <f aca="true">IF(AND($D21="Serviço",AH$12&lt;&gt;0,$H21&gt;0,OR(AUTOEVENTO&lt;&gt;"manual",$M21&lt;&gt;$A$15)),
        IF(Import.TipoArredondamento&lt;&gt;"TransfereGOV",
              ROUND(OFFSET($P21,0,AH$13),15-13*ORÇAMENTO!$AF$7)/$H21*OFFSET(ORÇAMENTO!$X$15,ROW(AH21)-ROW(AH$15),0),
              ROUND(ROUND(OFFSET($P21,0,AH$13),15-13*ORÇAMENTO!$AF$7)*OFFSET(ORÇAMENTO!$W$15,ROW(AH21)-ROW(AH$15),0),15-13*ORÇAMENTO!$AF$11)),
         0)</f>
        <v>0</v>
      </c>
      <c r="AI21" s="357" t="n">
        <f aca="true">IF(AND($D21="Serviço",AI$12&lt;&gt;0,$H21&gt;0,OR(AUTOEVENTO&lt;&gt;"manual",$M21&lt;&gt;$A$15)),
        IF(Import.TipoArredondamento&lt;&gt;"TransfereGOV",
              ROUND(OFFSET($P21,0,AI$13),15-13*ORÇAMENTO!$AF$7)/$H21*OFFSET(ORÇAMENTO!$X$15,ROW(AI21)-ROW(AI$15),0),
              ROUND(ROUND(OFFSET($P21,0,AI$13),15-13*ORÇAMENTO!$AF$7)*OFFSET(ORÇAMENTO!$W$15,ROW(AI21)-ROW(AI$15),0),15-13*ORÇAMENTO!$AF$11)),
         0)</f>
        <v>0</v>
      </c>
      <c r="AJ21" s="357" t="n">
        <f aca="true">IF(AND($D21="Serviço",AJ$12&lt;&gt;0,$H21&gt;0,OR(AUTOEVENTO&lt;&gt;"manual",$M21&lt;&gt;$A$15)),
        IF(Import.TipoArredondamento&lt;&gt;"TransfereGOV",
              ROUND(OFFSET($P21,0,AJ$13),15-13*ORÇAMENTO!$AF$7)/$H21*OFFSET(ORÇAMENTO!$X$15,ROW(AJ21)-ROW(AJ$15),0),
              ROUND(ROUND(OFFSET($P21,0,AJ$13),15-13*ORÇAMENTO!$AF$7)*OFFSET(ORÇAMENTO!$W$15,ROW(AJ21)-ROW(AJ$15),0),15-13*ORÇAMENTO!$AF$11)),
         0)</f>
        <v>0</v>
      </c>
      <c r="AK21" s="357" t="n">
        <f aca="true">IF(AND($D21="Serviço",AK$12&lt;&gt;0,$H21&gt;0,OR(AUTOEVENTO&lt;&gt;"manual",$M21&lt;&gt;$A$15)),
        IF(Import.TipoArredondamento&lt;&gt;"TransfereGOV",
              ROUND(OFFSET($P21,0,AK$13),15-13*ORÇAMENTO!$AF$7)/$H21*OFFSET(ORÇAMENTO!$X$15,ROW(AK21)-ROW(AK$15),0),
              ROUND(ROUND(OFFSET($P21,0,AK$13),15-13*ORÇAMENTO!$AF$7)*OFFSET(ORÇAMENTO!$W$15,ROW(AK21)-ROW(AK$15),0),15-13*ORÇAMENTO!$AF$11)),
         0)</f>
        <v>0</v>
      </c>
      <c r="AM21" s="358" t="n">
        <f aca="true">IF(OR($D21&lt;&gt;"Serviço",AND(AUTOEVENTO="Manual",$M21=$A$15)),0,
         IF(OFFSET(CRONOPLE!$F$15,$M21-$A$15,AM$13)="",10^12,OFFSET(CRONOPLE!$F$15,$M21-$A$15,AM$13)))</f>
        <v>0</v>
      </c>
      <c r="AN21" s="358" t="n">
        <f aca="true">IF(OR($D21&lt;&gt;"Serviço",AND(AUTOEVENTO="Manual",$M21=$A$15)),0,
         IF(OFFSET(CRONOPLE!$F$15,$M21-$A$15,AN$13)="",10^12,OFFSET(CRONOPLE!$F$15,$M21-$A$15,AN$13)))</f>
        <v>0</v>
      </c>
      <c r="AO21" s="358" t="n">
        <f aca="true">IF(OR($D21&lt;&gt;"Serviço",AND(AUTOEVENTO="Manual",$M21=$A$15)),0,
         IF(OFFSET(CRONOPLE!$F$15,$M21-$A$15,AO$13)="",10^12,OFFSET(CRONOPLE!$F$15,$M21-$A$15,AO$13)))</f>
        <v>0</v>
      </c>
      <c r="AP21" s="358" t="n">
        <f aca="true">IF(OR($D21&lt;&gt;"Serviço",AND(AUTOEVENTO="Manual",$M21=$A$15)),0,
         IF(OFFSET(CRONOPLE!$F$15,$M21-$A$15,AP$13)="",10^12,OFFSET(CRONOPLE!$F$15,$M21-$A$15,AP$13)))</f>
        <v>0</v>
      </c>
      <c r="AQ21" s="358" t="n">
        <f aca="true">IF(OR($D21&lt;&gt;"Serviço",AND(AUTOEVENTO="Manual",$M21=$A$15)),0,
         IF(OFFSET(CRONOPLE!$F$15,$M21-$A$15,AQ$13)="",10^12,OFFSET(CRONOPLE!$F$15,$M21-$A$15,AQ$13)))</f>
        <v>0</v>
      </c>
      <c r="AR21" s="358" t="n">
        <f aca="true">IF(OR($D21&lt;&gt;"Serviço",AND(AUTOEVENTO="Manual",$M21=$A$15)),0,
         IF(OFFSET(CRONOPLE!$F$15,$M21-$A$15,AR$13)="",10^12,OFFSET(CRONOPLE!$F$15,$M21-$A$15,AR$13)))</f>
        <v>0</v>
      </c>
      <c r="AS21" s="358" t="n">
        <f aca="true">IF(OR($D21&lt;&gt;"Serviço",AND(AUTOEVENTO="Manual",$M21=$A$15)),0,
         IF(OFFSET(CRONOPLE!$F$15,$M21-$A$15,AS$13)="",10^12,OFFSET(CRONOPLE!$F$15,$M21-$A$15,AS$13)))</f>
        <v>0</v>
      </c>
      <c r="AT21" s="358" t="n">
        <f aca="true">IF(OR($D21&lt;&gt;"Serviço",AND(AUTOEVENTO="Manual",$M21=$A$15)),0,
         IF(OFFSET(CRONOPLE!$F$15,$M21-$A$15,AT$13)="",10^12,OFFSET(CRONOPLE!$F$15,$M21-$A$15,AT$13)))</f>
        <v>0</v>
      </c>
      <c r="AU21" s="358" t="n">
        <f aca="true">IF(OR($D21&lt;&gt;"Serviço",AND(AUTOEVENTO="Manual",$M21=$A$15)),0,
         IF(OFFSET(CRONOPLE!$F$15,$M21-$A$15,AU$13)="",10^12,OFFSET(CRONOPLE!$F$15,$M21-$A$15,AU$13)))</f>
        <v>0</v>
      </c>
      <c r="AV21" s="358" t="n">
        <f aca="true">IF(OR($D21&lt;&gt;"Serviço",AND(AUTOEVENTO="Manual",$M21=$A$15)),0,
         IF(OFFSET(CRONOPLE!$F$15,$M21-$A$15,AV$13)="",10^12,OFFSET(CRONOPLE!$F$15,$M21-$A$15,AV$13)))</f>
        <v>0</v>
      </c>
      <c r="AX21" s="359" t="n">
        <f aca="true">IF(OR($D21&lt;&gt;"Serviço",AND(AUTOEVENTO="Manual",$M21=$A$15),$M21&gt;(ROW(PLE.lastrow)-ROW(PLE.firstrow))),0,
           IF(OFFSET(PLE!$G$15,$M21-$A$15,AX$13)="",10^12,OFFSET(PLE!$G$15,$M21-$A$15,AX$13)))</f>
        <v>0</v>
      </c>
      <c r="AY21" s="359" t="n">
        <f aca="true">IF(OR($D21&lt;&gt;"Serviço",AND(AUTOEVENTO="Manual",$M21=$A$15),$M21&gt;(ROW(PLE.lastrow)-ROW(PLE.firstrow))),0,
           IF(OFFSET(PLE!$G$15,$M21-$A$15,AY$13)="",10^12,OFFSET(PLE!$G$15,$M21-$A$15,AY$13)))</f>
        <v>0</v>
      </c>
      <c r="AZ21" s="359" t="n">
        <f aca="true">IF(OR($D21&lt;&gt;"Serviço",AND(AUTOEVENTO="Manual",$M21=$A$15),$M21&gt;(ROW(PLE.lastrow)-ROW(PLE.firstrow))),0,
           IF(OFFSET(PLE!$G$15,$M21-$A$15,AZ$13)="",10^12,OFFSET(PLE!$G$15,$M21-$A$15,AZ$13)))</f>
        <v>0</v>
      </c>
      <c r="BA21" s="359" t="n">
        <f aca="true">IF(OR($D21&lt;&gt;"Serviço",AND(AUTOEVENTO="Manual",$M21=$A$15),$M21&gt;(ROW(PLE.lastrow)-ROW(PLE.firstrow))),0,
           IF(OFFSET(PLE!$G$15,$M21-$A$15,BA$13)="",10^12,OFFSET(PLE!$G$15,$M21-$A$15,BA$13)))</f>
        <v>0</v>
      </c>
      <c r="BB21" s="359" t="n">
        <f aca="true">IF(OR($D21&lt;&gt;"Serviço",AND(AUTOEVENTO="Manual",$M21=$A$15),$M21&gt;(ROW(PLE.lastrow)-ROW(PLE.firstrow))),0,
           IF(OFFSET(PLE!$G$15,$M21-$A$15,BB$13)="",10^12,OFFSET(PLE!$G$15,$M21-$A$15,BB$13)))</f>
        <v>0</v>
      </c>
      <c r="BC21" s="359" t="n">
        <f aca="true">IF(OR($D21&lt;&gt;"Serviço",AND(AUTOEVENTO="Manual",$M21=$A$15),$M21&gt;(ROW(PLE.lastrow)-ROW(PLE.firstrow))),0,
           IF(OFFSET(PLE!$G$15,$M21-$A$15,BC$13)="",10^12,OFFSET(PLE!$G$15,$M21-$A$15,BC$13)))</f>
        <v>0</v>
      </c>
      <c r="BD21" s="359" t="n">
        <f aca="true">IF(OR($D21&lt;&gt;"Serviço",AND(AUTOEVENTO="Manual",$M21=$A$15),$M21&gt;(ROW(PLE.lastrow)-ROW(PLE.firstrow))),0,
           IF(OFFSET(PLE!$G$15,$M21-$A$15,BD$13)="",10^12,OFFSET(PLE!$G$15,$M21-$A$15,BD$13)))</f>
        <v>0</v>
      </c>
      <c r="BE21" s="359" t="n">
        <f aca="true">IF(OR($D21&lt;&gt;"Serviço",AND(AUTOEVENTO="Manual",$M21=$A$15),$M21&gt;(ROW(PLE.lastrow)-ROW(PLE.firstrow))),0,
           IF(OFFSET(PLE!$G$15,$M21-$A$15,BE$13)="",10^12,OFFSET(PLE!$G$15,$M21-$A$15,BE$13)))</f>
        <v>0</v>
      </c>
      <c r="BF21" s="359" t="n">
        <f aca="true">IF(OR($D21&lt;&gt;"Serviço",AND(AUTOEVENTO="Manual",$M21=$A$15),$M21&gt;(ROW(PLE.lastrow)-ROW(PLE.firstrow))),0,
           IF(OFFSET(PLE!$G$15,$M21-$A$15,BF$13)="",10^12,OFFSET(PLE!$G$15,$M21-$A$15,BF$13)))</f>
        <v>0</v>
      </c>
      <c r="BG21" s="359" t="n">
        <f aca="true">IF(OR($D21&lt;&gt;"Serviço",AND(AUTOEVENTO="Manual",$M21=$A$15),$M21&gt;(ROW(PLE.lastrow)-ROW(PLE.firstrow))),0,
           IF(OFFSET(PLE!$G$15,$M21-$A$15,BG$13)="",10^12,OFFSET(PLE!$G$15,$M21-$A$15,BG$13)))</f>
        <v>0</v>
      </c>
    </row>
    <row r="22" s="1" customFormat="true" ht="25.5" hidden="false" customHeight="false" outlineLevel="0" collapsed="false">
      <c r="A22" s="49" t="str">
        <f aca="true">IF(AUTOEVENTO="Manual",IF(K22&lt;&gt;"",MIN(VALUE(LEFT(K22,FIND(".",K22)-1)),COUNTA(EVENTOS.Lista)),0),IF(OR($B22&gt;AUTOEVENTO,$B22="S",$B22=0),SUBSTITUTE(OFFSET($A22,-1,0),IF($D22="Serviço",".",""),""),ROW(A22)-ROW($A$15)&amp;"."))</f>
        <v>5</v>
      </c>
      <c r="B22" s="49" t="str">
        <f aca="true">OFFSET(ORÇAMENTO!C$15,ROW(B22)-ROW(B$15),0)</f>
        <v>S</v>
      </c>
      <c r="C22" s="49" t="str">
        <f aca="true">OFFSET(ORÇAMENTO!L$15,ROW(C22)-ROW(C$15),0)</f>
        <v/>
      </c>
      <c r="D22" s="201" t="str">
        <f aca="true">OFFSET(ORÇAMENTO!N$15,ROW(D22)-ROW(D$15),0)</f>
        <v>Serviço</v>
      </c>
      <c r="E22" s="202" t="str">
        <f aca="true">OFFSET(ORÇAMENTO!O$15,ROW(E22)-ROW(E$15),0)</f>
        <v>-</v>
      </c>
      <c r="F22" s="346" t="str">
        <f aca="true">OFFSET(ORÇAMENTO!R$15,ROW(F22)-ROW(F$15),0)</f>
        <v>(abra o arquivo 'Referência 09-2025.xlsm)</v>
      </c>
      <c r="G22" s="347" t="str">
        <f aca="true">IF($D22&lt;&gt;"Serviço","",OFFSET(ORÇAMENTO!S$15,ROW(G22)-ROW(G$15),0))</f>
        <v>M2</v>
      </c>
      <c r="H22" s="207" t="n">
        <f aca="true">IF($D22&lt;&gt;"Serviço",0,IF(ACOMPANHAMENTO="BM",ROUND(OFFSET(ORÇAMENTO!AJ$15,ROW(H22)-ROW(H$15),0),15-13*ORÇAMENTO!$AF$7),SUMPRODUCT(($Q$1:$AA$1=1)*ROUND($Q22:$AA22,15-13*ORÇAMENTO!$AF$7))))</f>
        <v>3</v>
      </c>
      <c r="I22" s="348"/>
      <c r="J22" s="349" t="str">
        <f aca="false" t="array" ref="J22:J22">IF(B22&lt;&gt;"S","",IF(AND(ACOMPANHAMENTO="PLE",AUTOEVENTO="Manual",OR(H22&gt;0,ORÇAMENTO!AC22="QUANT."),OR(K22="",M22=0,N22="")),"►",IF(AND(ACOMPANHAMENTO="PLE",ORÇAMENTO!AC22="QUANT."),"►►",IF(AND(COUNTIF($P$11:$AA$11,"▼")=0,H22&gt;0,I22=""),"◄",""))))</f>
        <v>◄</v>
      </c>
      <c r="K22" s="350"/>
      <c r="L22" s="351" t="s">
        <v>807</v>
      </c>
      <c r="M22" s="352" t="n">
        <f aca="true">IF($D22&lt;&gt;"Serviço","",
          IF(AUTOEVENTO="manual",$A22,
                IF(ISERROR(MATCH($A22,$A$15:OFFSET($A22,-1,0),0)),MAX($M$15:OFFSET(M22,-1,0))+1,
                      INDEX($M$15:OFFSET(M22,-1,0),MATCH($A22,$A$15:OFFSET($A22,-1,0),0)))))</f>
        <v>2</v>
      </c>
      <c r="N22" s="353" t="str">
        <f aca="true">IF($D22&lt;&gt;"Serviço","",
         IF(AUTOEVENTO="Manual",
                IF($A22=0,"&lt;-- defina o número do agrupador",
                       OFFSET(EVENTOS!$D$15,$A22-$A$15,0)),
                OFFSET($F$15,$A22,0)))</f>
        <v>SERVIÇOS PRELIMINARES</v>
      </c>
      <c r="O22" s="354"/>
      <c r="Q22" s="354"/>
      <c r="R22" s="355"/>
      <c r="S22" s="355"/>
      <c r="T22" s="355"/>
      <c r="U22" s="355"/>
      <c r="V22" s="355"/>
      <c r="W22" s="355"/>
      <c r="X22" s="355"/>
      <c r="Y22" s="355"/>
      <c r="Z22" s="356"/>
      <c r="AB22" s="357" t="n">
        <f aca="true">IF(AND($D22="Serviço",AB$12&lt;&gt;0,$H22&gt;0,OR(AUTOEVENTO&lt;&gt;"manual",$M22&lt;&gt;$A$15)),
        IF(Import.TipoArredondamento&lt;&gt;"TransfereGOV",
              ROUND(OFFSET($P22,0,AB$13),15-13*ORÇAMENTO!$AF$7)/$H22*OFFSET(ORÇAMENTO!$X$15,ROW(AB22)-ROW(AB$15),0),
              ROUND(ROUND(OFFSET($P22,0,AB$13),15-13*ORÇAMENTO!$AF$7)*OFFSET(ORÇAMENTO!$W$15,ROW(AB22)-ROW(AB$15),0),15-13*ORÇAMENTO!$AF$11)),
         0)</f>
        <v>0</v>
      </c>
      <c r="AC22" s="357" t="n">
        <f aca="true">IF(AND($D22="Serviço",AC$12&lt;&gt;0,$H22&gt;0,OR(AUTOEVENTO&lt;&gt;"manual",$M22&lt;&gt;$A$15)),
        IF(Import.TipoArredondamento&lt;&gt;"TransfereGOV",
              ROUND(OFFSET($P22,0,AC$13),15-13*ORÇAMENTO!$AF$7)/$H22*OFFSET(ORÇAMENTO!$X$15,ROW(AC22)-ROW(AC$15),0),
              ROUND(ROUND(OFFSET($P22,0,AC$13),15-13*ORÇAMENTO!$AF$7)*OFFSET(ORÇAMENTO!$W$15,ROW(AC22)-ROW(AC$15),0),15-13*ORÇAMENTO!$AF$11)),
         0)</f>
        <v>0</v>
      </c>
      <c r="AD22" s="357" t="n">
        <f aca="true">IF(AND($D22="Serviço",AD$12&lt;&gt;0,$H22&gt;0,OR(AUTOEVENTO&lt;&gt;"manual",$M22&lt;&gt;$A$15)),
        IF(Import.TipoArredondamento&lt;&gt;"TransfereGOV",
              ROUND(OFFSET($P22,0,AD$13),15-13*ORÇAMENTO!$AF$7)/$H22*OFFSET(ORÇAMENTO!$X$15,ROW(AD22)-ROW(AD$15),0),
              ROUND(ROUND(OFFSET($P22,0,AD$13),15-13*ORÇAMENTO!$AF$7)*OFFSET(ORÇAMENTO!$W$15,ROW(AD22)-ROW(AD$15),0),15-13*ORÇAMENTO!$AF$11)),
         0)</f>
        <v>0</v>
      </c>
      <c r="AE22" s="357" t="n">
        <f aca="true">IF(AND($D22="Serviço",AE$12&lt;&gt;0,$H22&gt;0,OR(AUTOEVENTO&lt;&gt;"manual",$M22&lt;&gt;$A$15)),
        IF(Import.TipoArredondamento&lt;&gt;"TransfereGOV",
              ROUND(OFFSET($P22,0,AE$13),15-13*ORÇAMENTO!$AF$7)/$H22*OFFSET(ORÇAMENTO!$X$15,ROW(AE22)-ROW(AE$15),0),
              ROUND(ROUND(OFFSET($P22,0,AE$13),15-13*ORÇAMENTO!$AF$7)*OFFSET(ORÇAMENTO!$W$15,ROW(AE22)-ROW(AE$15),0),15-13*ORÇAMENTO!$AF$11)),
         0)</f>
        <v>0</v>
      </c>
      <c r="AF22" s="357" t="n">
        <f aca="true">IF(AND($D22="Serviço",AF$12&lt;&gt;0,$H22&gt;0,OR(AUTOEVENTO&lt;&gt;"manual",$M22&lt;&gt;$A$15)),
        IF(Import.TipoArredondamento&lt;&gt;"TransfereGOV",
              ROUND(OFFSET($P22,0,AF$13),15-13*ORÇAMENTO!$AF$7)/$H22*OFFSET(ORÇAMENTO!$X$15,ROW(AF22)-ROW(AF$15),0),
              ROUND(ROUND(OFFSET($P22,0,AF$13),15-13*ORÇAMENTO!$AF$7)*OFFSET(ORÇAMENTO!$W$15,ROW(AF22)-ROW(AF$15),0),15-13*ORÇAMENTO!$AF$11)),
         0)</f>
        <v>0</v>
      </c>
      <c r="AG22" s="357" t="n">
        <f aca="true">IF(AND($D22="Serviço",AG$12&lt;&gt;0,$H22&gt;0,OR(AUTOEVENTO&lt;&gt;"manual",$M22&lt;&gt;$A$15)),
        IF(Import.TipoArredondamento&lt;&gt;"TransfereGOV",
              ROUND(OFFSET($P22,0,AG$13),15-13*ORÇAMENTO!$AF$7)/$H22*OFFSET(ORÇAMENTO!$X$15,ROW(AG22)-ROW(AG$15),0),
              ROUND(ROUND(OFFSET($P22,0,AG$13),15-13*ORÇAMENTO!$AF$7)*OFFSET(ORÇAMENTO!$W$15,ROW(AG22)-ROW(AG$15),0),15-13*ORÇAMENTO!$AF$11)),
         0)</f>
        <v>0</v>
      </c>
      <c r="AH22" s="357" t="n">
        <f aca="true">IF(AND($D22="Serviço",AH$12&lt;&gt;0,$H22&gt;0,OR(AUTOEVENTO&lt;&gt;"manual",$M22&lt;&gt;$A$15)),
        IF(Import.TipoArredondamento&lt;&gt;"TransfereGOV",
              ROUND(OFFSET($P22,0,AH$13),15-13*ORÇAMENTO!$AF$7)/$H22*OFFSET(ORÇAMENTO!$X$15,ROW(AH22)-ROW(AH$15),0),
              ROUND(ROUND(OFFSET($P22,0,AH$13),15-13*ORÇAMENTO!$AF$7)*OFFSET(ORÇAMENTO!$W$15,ROW(AH22)-ROW(AH$15),0),15-13*ORÇAMENTO!$AF$11)),
         0)</f>
        <v>0</v>
      </c>
      <c r="AI22" s="357" t="n">
        <f aca="true">IF(AND($D22="Serviço",AI$12&lt;&gt;0,$H22&gt;0,OR(AUTOEVENTO&lt;&gt;"manual",$M22&lt;&gt;$A$15)),
        IF(Import.TipoArredondamento&lt;&gt;"TransfereGOV",
              ROUND(OFFSET($P22,0,AI$13),15-13*ORÇAMENTO!$AF$7)/$H22*OFFSET(ORÇAMENTO!$X$15,ROW(AI22)-ROW(AI$15),0),
              ROUND(ROUND(OFFSET($P22,0,AI$13),15-13*ORÇAMENTO!$AF$7)*OFFSET(ORÇAMENTO!$W$15,ROW(AI22)-ROW(AI$15),0),15-13*ORÇAMENTO!$AF$11)),
         0)</f>
        <v>0</v>
      </c>
      <c r="AJ22" s="357" t="n">
        <f aca="true">IF(AND($D22="Serviço",AJ$12&lt;&gt;0,$H22&gt;0,OR(AUTOEVENTO&lt;&gt;"manual",$M22&lt;&gt;$A$15)),
        IF(Import.TipoArredondamento&lt;&gt;"TransfereGOV",
              ROUND(OFFSET($P22,0,AJ$13),15-13*ORÇAMENTO!$AF$7)/$H22*OFFSET(ORÇAMENTO!$X$15,ROW(AJ22)-ROW(AJ$15),0),
              ROUND(ROUND(OFFSET($P22,0,AJ$13),15-13*ORÇAMENTO!$AF$7)*OFFSET(ORÇAMENTO!$W$15,ROW(AJ22)-ROW(AJ$15),0),15-13*ORÇAMENTO!$AF$11)),
         0)</f>
        <v>0</v>
      </c>
      <c r="AK22" s="357" t="n">
        <f aca="true">IF(AND($D22="Serviço",AK$12&lt;&gt;0,$H22&gt;0,OR(AUTOEVENTO&lt;&gt;"manual",$M22&lt;&gt;$A$15)),
        IF(Import.TipoArredondamento&lt;&gt;"TransfereGOV",
              ROUND(OFFSET($P22,0,AK$13),15-13*ORÇAMENTO!$AF$7)/$H22*OFFSET(ORÇAMENTO!$X$15,ROW(AK22)-ROW(AK$15),0),
              ROUND(ROUND(OFFSET($P22,0,AK$13),15-13*ORÇAMENTO!$AF$7)*OFFSET(ORÇAMENTO!$W$15,ROW(AK22)-ROW(AK$15),0),15-13*ORÇAMENTO!$AF$11)),
         0)</f>
        <v>0</v>
      </c>
      <c r="AM22" s="358" t="n">
        <f aca="true">IF(OR($D22&lt;&gt;"Serviço",AND(AUTOEVENTO="Manual",$M22=$A$15)),0,
         IF(OFFSET(CRONOPLE!$F$15,$M22-$A$15,AM$13)="",10^12,OFFSET(CRONOPLE!$F$15,$M22-$A$15,AM$13)))</f>
        <v>1000000000000</v>
      </c>
      <c r="AN22" s="358" t="n">
        <f aca="true">IF(OR($D22&lt;&gt;"Serviço",AND(AUTOEVENTO="Manual",$M22=$A$15)),0,
         IF(OFFSET(CRONOPLE!$F$15,$M22-$A$15,AN$13)="",10^12,OFFSET(CRONOPLE!$F$15,$M22-$A$15,AN$13)))</f>
        <v>1000000000000</v>
      </c>
      <c r="AO22" s="358" t="n">
        <f aca="true">IF(OR($D22&lt;&gt;"Serviço",AND(AUTOEVENTO="Manual",$M22=$A$15)),0,
         IF(OFFSET(CRONOPLE!$F$15,$M22-$A$15,AO$13)="",10^12,OFFSET(CRONOPLE!$F$15,$M22-$A$15,AO$13)))</f>
        <v>1000000000000</v>
      </c>
      <c r="AP22" s="358" t="n">
        <f aca="true">IF(OR($D22&lt;&gt;"Serviço",AND(AUTOEVENTO="Manual",$M22=$A$15)),0,
         IF(OFFSET(CRONOPLE!$F$15,$M22-$A$15,AP$13)="",10^12,OFFSET(CRONOPLE!$F$15,$M22-$A$15,AP$13)))</f>
        <v>1000000000000</v>
      </c>
      <c r="AQ22" s="358" t="n">
        <f aca="true">IF(OR($D22&lt;&gt;"Serviço",AND(AUTOEVENTO="Manual",$M22=$A$15)),0,
         IF(OFFSET(CRONOPLE!$F$15,$M22-$A$15,AQ$13)="",10^12,OFFSET(CRONOPLE!$F$15,$M22-$A$15,AQ$13)))</f>
        <v>1000000000000</v>
      </c>
      <c r="AR22" s="358" t="n">
        <f aca="true">IF(OR($D22&lt;&gt;"Serviço",AND(AUTOEVENTO="Manual",$M22=$A$15)),0,
         IF(OFFSET(CRONOPLE!$F$15,$M22-$A$15,AR$13)="",10^12,OFFSET(CRONOPLE!$F$15,$M22-$A$15,AR$13)))</f>
        <v>1000000000000</v>
      </c>
      <c r="AS22" s="358" t="n">
        <f aca="true">IF(OR($D22&lt;&gt;"Serviço",AND(AUTOEVENTO="Manual",$M22=$A$15)),0,
         IF(OFFSET(CRONOPLE!$F$15,$M22-$A$15,AS$13)="",10^12,OFFSET(CRONOPLE!$F$15,$M22-$A$15,AS$13)))</f>
        <v>1000000000000</v>
      </c>
      <c r="AT22" s="358" t="n">
        <f aca="true">IF(OR($D22&lt;&gt;"Serviço",AND(AUTOEVENTO="Manual",$M22=$A$15)),0,
         IF(OFFSET(CRONOPLE!$F$15,$M22-$A$15,AT$13)="",10^12,OFFSET(CRONOPLE!$F$15,$M22-$A$15,AT$13)))</f>
        <v>1000000000000</v>
      </c>
      <c r="AU22" s="358" t="n">
        <f aca="true">IF(OR($D22&lt;&gt;"Serviço",AND(AUTOEVENTO="Manual",$M22=$A$15)),0,
         IF(OFFSET(CRONOPLE!$F$15,$M22-$A$15,AU$13)="",10^12,OFFSET(CRONOPLE!$F$15,$M22-$A$15,AU$13)))</f>
        <v>1000000000000</v>
      </c>
      <c r="AV22" s="358" t="n">
        <f aca="true">IF(OR($D22&lt;&gt;"Serviço",AND(AUTOEVENTO="Manual",$M22=$A$15)),0,
         IF(OFFSET(CRONOPLE!$F$15,$M22-$A$15,AV$13)="",10^12,OFFSET(CRONOPLE!$F$15,$M22-$A$15,AV$13)))</f>
        <v>1000000000000</v>
      </c>
      <c r="AX22" s="359" t="n">
        <f aca="true">IF(OR($D22&lt;&gt;"Serviço",AND(AUTOEVENTO="Manual",$M22=$A$15),$M22&gt;(ROW(PLE.lastrow)-ROW(PLE.firstrow))),0,
           IF(OFFSET(PLE!$G$15,$M22-$A$15,AX$13)="",10^12,OFFSET(PLE!$G$15,$M22-$A$15,AX$13)))</f>
        <v>1000000000000</v>
      </c>
      <c r="AY22" s="359" t="n">
        <f aca="true">IF(OR($D22&lt;&gt;"Serviço",AND(AUTOEVENTO="Manual",$M22=$A$15),$M22&gt;(ROW(PLE.lastrow)-ROW(PLE.firstrow))),0,
           IF(OFFSET(PLE!$G$15,$M22-$A$15,AY$13)="",10^12,OFFSET(PLE!$G$15,$M22-$A$15,AY$13)))</f>
        <v>1000000000000</v>
      </c>
      <c r="AZ22" s="359" t="n">
        <f aca="true">IF(OR($D22&lt;&gt;"Serviço",AND(AUTOEVENTO="Manual",$M22=$A$15),$M22&gt;(ROW(PLE.lastrow)-ROW(PLE.firstrow))),0,
           IF(OFFSET(PLE!$G$15,$M22-$A$15,AZ$13)="",10^12,OFFSET(PLE!$G$15,$M22-$A$15,AZ$13)))</f>
        <v>1000000000000</v>
      </c>
      <c r="BA22" s="359" t="n">
        <f aca="true">IF(OR($D22&lt;&gt;"Serviço",AND(AUTOEVENTO="Manual",$M22=$A$15),$M22&gt;(ROW(PLE.lastrow)-ROW(PLE.firstrow))),0,
           IF(OFFSET(PLE!$G$15,$M22-$A$15,BA$13)="",10^12,OFFSET(PLE!$G$15,$M22-$A$15,BA$13)))</f>
        <v>1000000000000</v>
      </c>
      <c r="BB22" s="359" t="n">
        <f aca="true">IF(OR($D22&lt;&gt;"Serviço",AND(AUTOEVENTO="Manual",$M22=$A$15),$M22&gt;(ROW(PLE.lastrow)-ROW(PLE.firstrow))),0,
           IF(OFFSET(PLE!$G$15,$M22-$A$15,BB$13)="",10^12,OFFSET(PLE!$G$15,$M22-$A$15,BB$13)))</f>
        <v>1000000000000</v>
      </c>
      <c r="BC22" s="359" t="n">
        <f aca="true">IF(OR($D22&lt;&gt;"Serviço",AND(AUTOEVENTO="Manual",$M22=$A$15),$M22&gt;(ROW(PLE.lastrow)-ROW(PLE.firstrow))),0,
           IF(OFFSET(PLE!$G$15,$M22-$A$15,BC$13)="",10^12,OFFSET(PLE!$G$15,$M22-$A$15,BC$13)))</f>
        <v>1000000000000</v>
      </c>
      <c r="BD22" s="359" t="n">
        <f aca="true">IF(OR($D22&lt;&gt;"Serviço",AND(AUTOEVENTO="Manual",$M22=$A$15),$M22&gt;(ROW(PLE.lastrow)-ROW(PLE.firstrow))),0,
           IF(OFFSET(PLE!$G$15,$M22-$A$15,BD$13)="",10^12,OFFSET(PLE!$G$15,$M22-$A$15,BD$13)))</f>
        <v>1000000000000</v>
      </c>
      <c r="BE22" s="359" t="n">
        <f aca="true">IF(OR($D22&lt;&gt;"Serviço",AND(AUTOEVENTO="Manual",$M22=$A$15),$M22&gt;(ROW(PLE.lastrow)-ROW(PLE.firstrow))),0,
           IF(OFFSET(PLE!$G$15,$M22-$A$15,BE$13)="",10^12,OFFSET(PLE!$G$15,$M22-$A$15,BE$13)))</f>
        <v>1000000000000</v>
      </c>
      <c r="BF22" s="359" t="n">
        <f aca="true">IF(OR($D22&lt;&gt;"Serviço",AND(AUTOEVENTO="Manual",$M22=$A$15),$M22&gt;(ROW(PLE.lastrow)-ROW(PLE.firstrow))),0,
           IF(OFFSET(PLE!$G$15,$M22-$A$15,BF$13)="",10^12,OFFSET(PLE!$G$15,$M22-$A$15,BF$13)))</f>
        <v>1000000000000</v>
      </c>
      <c r="BG22" s="359" t="n">
        <f aca="true">IF(OR($D22&lt;&gt;"Serviço",AND(AUTOEVENTO="Manual",$M22=$A$15),$M22&gt;(ROW(PLE.lastrow)-ROW(PLE.firstrow))),0,
           IF(OFFSET(PLE!$G$15,$M22-$A$15,BG$13)="",10^12,OFFSET(PLE!$G$15,$M22-$A$15,BG$13)))</f>
        <v>1000000000000</v>
      </c>
    </row>
    <row r="23" s="1" customFormat="true" ht="12.75" hidden="false" customHeight="false" outlineLevel="0" collapsed="false">
      <c r="A23" s="49" t="str">
        <f aca="true">IF(AUTOEVENTO="Manual",IF(K23&lt;&gt;"",MIN(VALUE(LEFT(K23,FIND(".",K23)-1)),COUNTA(EVENTOS.Lista)),0),IF(OR($B23&gt;AUTOEVENTO,$B23="S",$B23=0),SUBSTITUTE(OFFSET($A23,-1,0),IF($D23="Serviço",".",""),""),ROW(A23)-ROW($A$15)&amp;"."))</f>
        <v>8.</v>
      </c>
      <c r="B23" s="49" t="n">
        <f aca="true">OFFSET(ORÇAMENTO!C$15,ROW(B23)-ROW(B$15),0)</f>
        <v>2</v>
      </c>
      <c r="C23" s="49" t="str">
        <f aca="true">OFFSET(ORÇAMENTO!L$15,ROW(C23)-ROW(C$15),0)</f>
        <v>F</v>
      </c>
      <c r="D23" s="201" t="str">
        <f aca="true">OFFSET(ORÇAMENTO!N$15,ROW(D23)-ROW(D$15),0)</f>
        <v>Nível 2</v>
      </c>
      <c r="E23" s="202" t="str">
        <f aca="true">OFFSET(ORÇAMENTO!O$15,ROW(E23)-ROW(E$15),0)</f>
        <v>1.3.</v>
      </c>
      <c r="F23" s="346" t="str">
        <f aca="true">OFFSET(ORÇAMENTO!R$15,ROW(F23)-ROW(F$15),0)</f>
        <v>REFORMA DO TELHADO - PARTE B</v>
      </c>
      <c r="G23" s="347" t="str">
        <f aca="true">IF($D23&lt;&gt;"Serviço","",OFFSET(ORÇAMENTO!S$15,ROW(G23)-ROW(G$15),0))</f>
        <v/>
      </c>
      <c r="H23" s="207" t="n">
        <f aca="true">IF($D23&lt;&gt;"Serviço",0,IF(ACOMPANHAMENTO="BM",ROUND(OFFSET(ORÇAMENTO!AJ$15,ROW(H23)-ROW(H$15),0),15-13*ORÇAMENTO!$AF$7),SUMPRODUCT(($Q$1:$AA$1=1)*ROUND($Q23:$AA23,15-13*ORÇAMENTO!$AF$7))))</f>
        <v>0</v>
      </c>
      <c r="I23" s="348"/>
      <c r="J23" s="349" t="str">
        <f aca="false" t="array" ref="J23:J23">IF(B23&lt;&gt;"S","",IF(AND(ACOMPANHAMENTO="PLE",AUTOEVENTO="Manual",OR(H23&gt;0,ORÇAMENTO!AC23="QUANT."),OR(K23="",M23=0,N23="")),"►",IF(AND(ACOMPANHAMENTO="PLE",ORÇAMENTO!AC23="QUANT."),"►►",IF(AND(COUNTIF($P$11:$AA$11,"▼")=0,H23&gt;0,I23=""),"◄",""))))</f>
        <v/>
      </c>
      <c r="K23" s="350"/>
      <c r="L23" s="351" t="s">
        <v>807</v>
      </c>
      <c r="M23" s="352" t="str">
        <f aca="true">IF($D23&lt;&gt;"Serviço","",
          IF(AUTOEVENTO="manual",$A23,
                IF(ISERROR(MATCH($A23,$A$15:OFFSET($A23,-1,0),0)),MAX($M$15:OFFSET(M23,-1,0))+1,
                      INDEX($M$15:OFFSET(M23,-1,0),MATCH($A23,$A$15:OFFSET($A23,-1,0),0)))))</f>
        <v/>
      </c>
      <c r="N23" s="353" t="str">
        <f aca="true">IF($D23&lt;&gt;"Serviço","",
         IF(AUTOEVENTO="Manual",
                IF($A23=0,"&lt;-- defina o número do agrupador",
                       OFFSET(EVENTOS!$D$15,$A23-$A$15,0)),
                OFFSET($F$15,$A23,0)))</f>
        <v/>
      </c>
      <c r="O23" s="354"/>
      <c r="Q23" s="354"/>
      <c r="R23" s="355"/>
      <c r="S23" s="355"/>
      <c r="T23" s="355"/>
      <c r="U23" s="355"/>
      <c r="V23" s="355"/>
      <c r="W23" s="355"/>
      <c r="X23" s="355"/>
      <c r="Y23" s="355"/>
      <c r="Z23" s="356"/>
      <c r="AB23" s="357" t="n">
        <f aca="true">IF(AND($D23="Serviço",AB$12&lt;&gt;0,$H23&gt;0,OR(AUTOEVENTO&lt;&gt;"manual",$M23&lt;&gt;$A$15)),
        IF(Import.TipoArredondamento&lt;&gt;"TransfereGOV",
              ROUND(OFFSET($P23,0,AB$13),15-13*ORÇAMENTO!$AF$7)/$H23*OFFSET(ORÇAMENTO!$X$15,ROW(AB23)-ROW(AB$15),0),
              ROUND(ROUND(OFFSET($P23,0,AB$13),15-13*ORÇAMENTO!$AF$7)*OFFSET(ORÇAMENTO!$W$15,ROW(AB23)-ROW(AB$15),0),15-13*ORÇAMENTO!$AF$11)),
         0)</f>
        <v>0</v>
      </c>
      <c r="AC23" s="357" t="n">
        <f aca="true">IF(AND($D23="Serviço",AC$12&lt;&gt;0,$H23&gt;0,OR(AUTOEVENTO&lt;&gt;"manual",$M23&lt;&gt;$A$15)),
        IF(Import.TipoArredondamento&lt;&gt;"TransfereGOV",
              ROUND(OFFSET($P23,0,AC$13),15-13*ORÇAMENTO!$AF$7)/$H23*OFFSET(ORÇAMENTO!$X$15,ROW(AC23)-ROW(AC$15),0),
              ROUND(ROUND(OFFSET($P23,0,AC$13),15-13*ORÇAMENTO!$AF$7)*OFFSET(ORÇAMENTO!$W$15,ROW(AC23)-ROW(AC$15),0),15-13*ORÇAMENTO!$AF$11)),
         0)</f>
        <v>0</v>
      </c>
      <c r="AD23" s="357" t="n">
        <f aca="true">IF(AND($D23="Serviço",AD$12&lt;&gt;0,$H23&gt;0,OR(AUTOEVENTO&lt;&gt;"manual",$M23&lt;&gt;$A$15)),
        IF(Import.TipoArredondamento&lt;&gt;"TransfereGOV",
              ROUND(OFFSET($P23,0,AD$13),15-13*ORÇAMENTO!$AF$7)/$H23*OFFSET(ORÇAMENTO!$X$15,ROW(AD23)-ROW(AD$15),0),
              ROUND(ROUND(OFFSET($P23,0,AD$13),15-13*ORÇAMENTO!$AF$7)*OFFSET(ORÇAMENTO!$W$15,ROW(AD23)-ROW(AD$15),0),15-13*ORÇAMENTO!$AF$11)),
         0)</f>
        <v>0</v>
      </c>
      <c r="AE23" s="357" t="n">
        <f aca="true">IF(AND($D23="Serviço",AE$12&lt;&gt;0,$H23&gt;0,OR(AUTOEVENTO&lt;&gt;"manual",$M23&lt;&gt;$A$15)),
        IF(Import.TipoArredondamento&lt;&gt;"TransfereGOV",
              ROUND(OFFSET($P23,0,AE$13),15-13*ORÇAMENTO!$AF$7)/$H23*OFFSET(ORÇAMENTO!$X$15,ROW(AE23)-ROW(AE$15),0),
              ROUND(ROUND(OFFSET($P23,0,AE$13),15-13*ORÇAMENTO!$AF$7)*OFFSET(ORÇAMENTO!$W$15,ROW(AE23)-ROW(AE$15),0),15-13*ORÇAMENTO!$AF$11)),
         0)</f>
        <v>0</v>
      </c>
      <c r="AF23" s="357" t="n">
        <f aca="true">IF(AND($D23="Serviço",AF$12&lt;&gt;0,$H23&gt;0,OR(AUTOEVENTO&lt;&gt;"manual",$M23&lt;&gt;$A$15)),
        IF(Import.TipoArredondamento&lt;&gt;"TransfereGOV",
              ROUND(OFFSET($P23,0,AF$13),15-13*ORÇAMENTO!$AF$7)/$H23*OFFSET(ORÇAMENTO!$X$15,ROW(AF23)-ROW(AF$15),0),
              ROUND(ROUND(OFFSET($P23,0,AF$13),15-13*ORÇAMENTO!$AF$7)*OFFSET(ORÇAMENTO!$W$15,ROW(AF23)-ROW(AF$15),0),15-13*ORÇAMENTO!$AF$11)),
         0)</f>
        <v>0</v>
      </c>
      <c r="AG23" s="357" t="n">
        <f aca="true">IF(AND($D23="Serviço",AG$12&lt;&gt;0,$H23&gt;0,OR(AUTOEVENTO&lt;&gt;"manual",$M23&lt;&gt;$A$15)),
        IF(Import.TipoArredondamento&lt;&gt;"TransfereGOV",
              ROUND(OFFSET($P23,0,AG$13),15-13*ORÇAMENTO!$AF$7)/$H23*OFFSET(ORÇAMENTO!$X$15,ROW(AG23)-ROW(AG$15),0),
              ROUND(ROUND(OFFSET($P23,0,AG$13),15-13*ORÇAMENTO!$AF$7)*OFFSET(ORÇAMENTO!$W$15,ROW(AG23)-ROW(AG$15),0),15-13*ORÇAMENTO!$AF$11)),
         0)</f>
        <v>0</v>
      </c>
      <c r="AH23" s="357" t="n">
        <f aca="true">IF(AND($D23="Serviço",AH$12&lt;&gt;0,$H23&gt;0,OR(AUTOEVENTO&lt;&gt;"manual",$M23&lt;&gt;$A$15)),
        IF(Import.TipoArredondamento&lt;&gt;"TransfereGOV",
              ROUND(OFFSET($P23,0,AH$13),15-13*ORÇAMENTO!$AF$7)/$H23*OFFSET(ORÇAMENTO!$X$15,ROW(AH23)-ROW(AH$15),0),
              ROUND(ROUND(OFFSET($P23,0,AH$13),15-13*ORÇAMENTO!$AF$7)*OFFSET(ORÇAMENTO!$W$15,ROW(AH23)-ROW(AH$15),0),15-13*ORÇAMENTO!$AF$11)),
         0)</f>
        <v>0</v>
      </c>
      <c r="AI23" s="357" t="n">
        <f aca="true">IF(AND($D23="Serviço",AI$12&lt;&gt;0,$H23&gt;0,OR(AUTOEVENTO&lt;&gt;"manual",$M23&lt;&gt;$A$15)),
        IF(Import.TipoArredondamento&lt;&gt;"TransfereGOV",
              ROUND(OFFSET($P23,0,AI$13),15-13*ORÇAMENTO!$AF$7)/$H23*OFFSET(ORÇAMENTO!$X$15,ROW(AI23)-ROW(AI$15),0),
              ROUND(ROUND(OFFSET($P23,0,AI$13),15-13*ORÇAMENTO!$AF$7)*OFFSET(ORÇAMENTO!$W$15,ROW(AI23)-ROW(AI$15),0),15-13*ORÇAMENTO!$AF$11)),
         0)</f>
        <v>0</v>
      </c>
      <c r="AJ23" s="357" t="n">
        <f aca="true">IF(AND($D23="Serviço",AJ$12&lt;&gt;0,$H23&gt;0,OR(AUTOEVENTO&lt;&gt;"manual",$M23&lt;&gt;$A$15)),
        IF(Import.TipoArredondamento&lt;&gt;"TransfereGOV",
              ROUND(OFFSET($P23,0,AJ$13),15-13*ORÇAMENTO!$AF$7)/$H23*OFFSET(ORÇAMENTO!$X$15,ROW(AJ23)-ROW(AJ$15),0),
              ROUND(ROUND(OFFSET($P23,0,AJ$13),15-13*ORÇAMENTO!$AF$7)*OFFSET(ORÇAMENTO!$W$15,ROW(AJ23)-ROW(AJ$15),0),15-13*ORÇAMENTO!$AF$11)),
         0)</f>
        <v>0</v>
      </c>
      <c r="AK23" s="357" t="n">
        <f aca="true">IF(AND($D23="Serviço",AK$12&lt;&gt;0,$H23&gt;0,OR(AUTOEVENTO&lt;&gt;"manual",$M23&lt;&gt;$A$15)),
        IF(Import.TipoArredondamento&lt;&gt;"TransfereGOV",
              ROUND(OFFSET($P23,0,AK$13),15-13*ORÇAMENTO!$AF$7)/$H23*OFFSET(ORÇAMENTO!$X$15,ROW(AK23)-ROW(AK$15),0),
              ROUND(ROUND(OFFSET($P23,0,AK$13),15-13*ORÇAMENTO!$AF$7)*OFFSET(ORÇAMENTO!$W$15,ROW(AK23)-ROW(AK$15),0),15-13*ORÇAMENTO!$AF$11)),
         0)</f>
        <v>0</v>
      </c>
      <c r="AM23" s="358" t="n">
        <f aca="true">IF(OR($D23&lt;&gt;"Serviço",AND(AUTOEVENTO="Manual",$M23=$A$15)),0,
         IF(OFFSET(CRONOPLE!$F$15,$M23-$A$15,AM$13)="",10^12,OFFSET(CRONOPLE!$F$15,$M23-$A$15,AM$13)))</f>
        <v>0</v>
      </c>
      <c r="AN23" s="358" t="n">
        <f aca="true">IF(OR($D23&lt;&gt;"Serviço",AND(AUTOEVENTO="Manual",$M23=$A$15)),0,
         IF(OFFSET(CRONOPLE!$F$15,$M23-$A$15,AN$13)="",10^12,OFFSET(CRONOPLE!$F$15,$M23-$A$15,AN$13)))</f>
        <v>0</v>
      </c>
      <c r="AO23" s="358" t="n">
        <f aca="true">IF(OR($D23&lt;&gt;"Serviço",AND(AUTOEVENTO="Manual",$M23=$A$15)),0,
         IF(OFFSET(CRONOPLE!$F$15,$M23-$A$15,AO$13)="",10^12,OFFSET(CRONOPLE!$F$15,$M23-$A$15,AO$13)))</f>
        <v>0</v>
      </c>
      <c r="AP23" s="358" t="n">
        <f aca="true">IF(OR($D23&lt;&gt;"Serviço",AND(AUTOEVENTO="Manual",$M23=$A$15)),0,
         IF(OFFSET(CRONOPLE!$F$15,$M23-$A$15,AP$13)="",10^12,OFFSET(CRONOPLE!$F$15,$M23-$A$15,AP$13)))</f>
        <v>0</v>
      </c>
      <c r="AQ23" s="358" t="n">
        <f aca="true">IF(OR($D23&lt;&gt;"Serviço",AND(AUTOEVENTO="Manual",$M23=$A$15)),0,
         IF(OFFSET(CRONOPLE!$F$15,$M23-$A$15,AQ$13)="",10^12,OFFSET(CRONOPLE!$F$15,$M23-$A$15,AQ$13)))</f>
        <v>0</v>
      </c>
      <c r="AR23" s="358" t="n">
        <f aca="true">IF(OR($D23&lt;&gt;"Serviço",AND(AUTOEVENTO="Manual",$M23=$A$15)),0,
         IF(OFFSET(CRONOPLE!$F$15,$M23-$A$15,AR$13)="",10^12,OFFSET(CRONOPLE!$F$15,$M23-$A$15,AR$13)))</f>
        <v>0</v>
      </c>
      <c r="AS23" s="358" t="n">
        <f aca="true">IF(OR($D23&lt;&gt;"Serviço",AND(AUTOEVENTO="Manual",$M23=$A$15)),0,
         IF(OFFSET(CRONOPLE!$F$15,$M23-$A$15,AS$13)="",10^12,OFFSET(CRONOPLE!$F$15,$M23-$A$15,AS$13)))</f>
        <v>0</v>
      </c>
      <c r="AT23" s="358" t="n">
        <f aca="true">IF(OR($D23&lt;&gt;"Serviço",AND(AUTOEVENTO="Manual",$M23=$A$15)),0,
         IF(OFFSET(CRONOPLE!$F$15,$M23-$A$15,AT$13)="",10^12,OFFSET(CRONOPLE!$F$15,$M23-$A$15,AT$13)))</f>
        <v>0</v>
      </c>
      <c r="AU23" s="358" t="n">
        <f aca="true">IF(OR($D23&lt;&gt;"Serviço",AND(AUTOEVENTO="Manual",$M23=$A$15)),0,
         IF(OFFSET(CRONOPLE!$F$15,$M23-$A$15,AU$13)="",10^12,OFFSET(CRONOPLE!$F$15,$M23-$A$15,AU$13)))</f>
        <v>0</v>
      </c>
      <c r="AV23" s="358" t="n">
        <f aca="true">IF(OR($D23&lt;&gt;"Serviço",AND(AUTOEVENTO="Manual",$M23=$A$15)),0,
         IF(OFFSET(CRONOPLE!$F$15,$M23-$A$15,AV$13)="",10^12,OFFSET(CRONOPLE!$F$15,$M23-$A$15,AV$13)))</f>
        <v>0</v>
      </c>
      <c r="AX23" s="359" t="n">
        <f aca="true">IF(OR($D23&lt;&gt;"Serviço",AND(AUTOEVENTO="Manual",$M23=$A$15),$M23&gt;(ROW(PLE.lastrow)-ROW(PLE.firstrow))),0,
           IF(OFFSET(PLE!$G$15,$M23-$A$15,AX$13)="",10^12,OFFSET(PLE!$G$15,$M23-$A$15,AX$13)))</f>
        <v>0</v>
      </c>
      <c r="AY23" s="359" t="n">
        <f aca="true">IF(OR($D23&lt;&gt;"Serviço",AND(AUTOEVENTO="Manual",$M23=$A$15),$M23&gt;(ROW(PLE.lastrow)-ROW(PLE.firstrow))),0,
           IF(OFFSET(PLE!$G$15,$M23-$A$15,AY$13)="",10^12,OFFSET(PLE!$G$15,$M23-$A$15,AY$13)))</f>
        <v>0</v>
      </c>
      <c r="AZ23" s="359" t="n">
        <f aca="true">IF(OR($D23&lt;&gt;"Serviço",AND(AUTOEVENTO="Manual",$M23=$A$15),$M23&gt;(ROW(PLE.lastrow)-ROW(PLE.firstrow))),0,
           IF(OFFSET(PLE!$G$15,$M23-$A$15,AZ$13)="",10^12,OFFSET(PLE!$G$15,$M23-$A$15,AZ$13)))</f>
        <v>0</v>
      </c>
      <c r="BA23" s="359" t="n">
        <f aca="true">IF(OR($D23&lt;&gt;"Serviço",AND(AUTOEVENTO="Manual",$M23=$A$15),$M23&gt;(ROW(PLE.lastrow)-ROW(PLE.firstrow))),0,
           IF(OFFSET(PLE!$G$15,$M23-$A$15,BA$13)="",10^12,OFFSET(PLE!$G$15,$M23-$A$15,BA$13)))</f>
        <v>0</v>
      </c>
      <c r="BB23" s="359" t="n">
        <f aca="true">IF(OR($D23&lt;&gt;"Serviço",AND(AUTOEVENTO="Manual",$M23=$A$15),$M23&gt;(ROW(PLE.lastrow)-ROW(PLE.firstrow))),0,
           IF(OFFSET(PLE!$G$15,$M23-$A$15,BB$13)="",10^12,OFFSET(PLE!$G$15,$M23-$A$15,BB$13)))</f>
        <v>0</v>
      </c>
      <c r="BC23" s="359" t="n">
        <f aca="true">IF(OR($D23&lt;&gt;"Serviço",AND(AUTOEVENTO="Manual",$M23=$A$15),$M23&gt;(ROW(PLE.lastrow)-ROW(PLE.firstrow))),0,
           IF(OFFSET(PLE!$G$15,$M23-$A$15,BC$13)="",10^12,OFFSET(PLE!$G$15,$M23-$A$15,BC$13)))</f>
        <v>0</v>
      </c>
      <c r="BD23" s="359" t="n">
        <f aca="true">IF(OR($D23&lt;&gt;"Serviço",AND(AUTOEVENTO="Manual",$M23=$A$15),$M23&gt;(ROW(PLE.lastrow)-ROW(PLE.firstrow))),0,
           IF(OFFSET(PLE!$G$15,$M23-$A$15,BD$13)="",10^12,OFFSET(PLE!$G$15,$M23-$A$15,BD$13)))</f>
        <v>0</v>
      </c>
      <c r="BE23" s="359" t="n">
        <f aca="true">IF(OR($D23&lt;&gt;"Serviço",AND(AUTOEVENTO="Manual",$M23=$A$15),$M23&gt;(ROW(PLE.lastrow)-ROW(PLE.firstrow))),0,
           IF(OFFSET(PLE!$G$15,$M23-$A$15,BE$13)="",10^12,OFFSET(PLE!$G$15,$M23-$A$15,BE$13)))</f>
        <v>0</v>
      </c>
      <c r="BF23" s="359" t="n">
        <f aca="true">IF(OR($D23&lt;&gt;"Serviço",AND(AUTOEVENTO="Manual",$M23=$A$15),$M23&gt;(ROW(PLE.lastrow)-ROW(PLE.firstrow))),0,
           IF(OFFSET(PLE!$G$15,$M23-$A$15,BF$13)="",10^12,OFFSET(PLE!$G$15,$M23-$A$15,BF$13)))</f>
        <v>0</v>
      </c>
      <c r="BG23" s="359" t="n">
        <f aca="true">IF(OR($D23&lt;&gt;"Serviço",AND(AUTOEVENTO="Manual",$M23=$A$15),$M23&gt;(ROW(PLE.lastrow)-ROW(PLE.firstrow))),0,
           IF(OFFSET(PLE!$G$15,$M23-$A$15,BG$13)="",10^12,OFFSET(PLE!$G$15,$M23-$A$15,BG$13)))</f>
        <v>0</v>
      </c>
    </row>
    <row r="24" s="1" customFormat="true" ht="12.75" hidden="false" customHeight="false" outlineLevel="0" collapsed="false">
      <c r="A24" s="49" t="str">
        <f aca="true">IF(AUTOEVENTO="Manual",IF(K24&lt;&gt;"",MIN(VALUE(LEFT(K24,FIND(".",K24)-1)),COUNTA(EVENTOS.Lista)),0),IF(OR($B24&gt;AUTOEVENTO,$B24="S",$B24=0),SUBSTITUTE(OFFSET($A24,-1,0),IF($D24="Serviço",".",""),""),ROW(A24)-ROW($A$15)&amp;"."))</f>
        <v>8.</v>
      </c>
      <c r="B24" s="49" t="n">
        <f aca="true">OFFSET(ORÇAMENTO!C$15,ROW(B24)-ROW(B$15),0)</f>
        <v>3</v>
      </c>
      <c r="C24" s="49" t="str">
        <f aca="true">OFFSET(ORÇAMENTO!L$15,ROW(C24)-ROW(C$15),0)</f>
        <v>F</v>
      </c>
      <c r="D24" s="201" t="str">
        <f aca="true">OFFSET(ORÇAMENTO!N$15,ROW(D24)-ROW(D$15),0)</f>
        <v>Nível 3</v>
      </c>
      <c r="E24" s="202" t="str">
        <f aca="true">OFFSET(ORÇAMENTO!O$15,ROW(E24)-ROW(E$15),0)</f>
        <v>1.3.1.</v>
      </c>
      <c r="F24" s="346" t="str">
        <f aca="true">OFFSET(ORÇAMENTO!R$15,ROW(F24)-ROW(F$15),0)</f>
        <v>Demolições e remoções</v>
      </c>
      <c r="G24" s="347" t="str">
        <f aca="true">IF($D24&lt;&gt;"Serviço","",OFFSET(ORÇAMENTO!S$15,ROW(G24)-ROW(G$15),0))</f>
        <v/>
      </c>
      <c r="H24" s="207" t="n">
        <f aca="true">IF($D24&lt;&gt;"Serviço",0,IF(ACOMPANHAMENTO="BM",ROUND(OFFSET(ORÇAMENTO!AJ$15,ROW(H24)-ROW(H$15),0),15-13*ORÇAMENTO!$AF$7),SUMPRODUCT(($Q$1:$AA$1=1)*ROUND($Q24:$AA24,15-13*ORÇAMENTO!$AF$7))))</f>
        <v>0</v>
      </c>
      <c r="I24" s="348"/>
      <c r="J24" s="349" t="str">
        <f aca="false" t="array" ref="J24:J24">IF(B24&lt;&gt;"S","",IF(AND(ACOMPANHAMENTO="PLE",AUTOEVENTO="Manual",OR(H24&gt;0,ORÇAMENTO!AC24="QUANT."),OR(K24="",M24=0,N24="")),"►",IF(AND(ACOMPANHAMENTO="PLE",ORÇAMENTO!AC24="QUANT."),"►►",IF(AND(COUNTIF($P$11:$AA$11,"▼")=0,H24&gt;0,I24=""),"◄",""))))</f>
        <v/>
      </c>
      <c r="K24" s="350"/>
      <c r="L24" s="351" t="s">
        <v>807</v>
      </c>
      <c r="M24" s="352" t="str">
        <f aca="true">IF($D24&lt;&gt;"Serviço","",
          IF(AUTOEVENTO="manual",$A24,
                IF(ISERROR(MATCH($A24,$A$15:OFFSET($A24,-1,0),0)),MAX($M$15:OFFSET(M24,-1,0))+1,
                      INDEX($M$15:OFFSET(M24,-1,0),MATCH($A24,$A$15:OFFSET($A24,-1,0),0)))))</f>
        <v/>
      </c>
      <c r="N24" s="353" t="str">
        <f aca="true">IF($D24&lt;&gt;"Serviço","",
         IF(AUTOEVENTO="Manual",
                IF($A24=0,"&lt;-- defina o número do agrupador",
                       OFFSET(EVENTOS!$D$15,$A24-$A$15,0)),
                OFFSET($F$15,$A24,0)))</f>
        <v/>
      </c>
      <c r="O24" s="354"/>
      <c r="Q24" s="354"/>
      <c r="R24" s="355"/>
      <c r="S24" s="355"/>
      <c r="T24" s="355"/>
      <c r="U24" s="355"/>
      <c r="V24" s="355"/>
      <c r="W24" s="355"/>
      <c r="X24" s="355"/>
      <c r="Y24" s="355"/>
      <c r="Z24" s="356"/>
      <c r="AB24" s="357" t="n">
        <f aca="true">IF(AND($D24="Serviço",AB$12&lt;&gt;0,$H24&gt;0,OR(AUTOEVENTO&lt;&gt;"manual",$M24&lt;&gt;$A$15)),
        IF(Import.TipoArredondamento&lt;&gt;"TransfereGOV",
              ROUND(OFFSET($P24,0,AB$13),15-13*ORÇAMENTO!$AF$7)/$H24*OFFSET(ORÇAMENTO!$X$15,ROW(AB24)-ROW(AB$15),0),
              ROUND(ROUND(OFFSET($P24,0,AB$13),15-13*ORÇAMENTO!$AF$7)*OFFSET(ORÇAMENTO!$W$15,ROW(AB24)-ROW(AB$15),0),15-13*ORÇAMENTO!$AF$11)),
         0)</f>
        <v>0</v>
      </c>
      <c r="AC24" s="357" t="n">
        <f aca="true">IF(AND($D24="Serviço",AC$12&lt;&gt;0,$H24&gt;0,OR(AUTOEVENTO&lt;&gt;"manual",$M24&lt;&gt;$A$15)),
        IF(Import.TipoArredondamento&lt;&gt;"TransfereGOV",
              ROUND(OFFSET($P24,0,AC$13),15-13*ORÇAMENTO!$AF$7)/$H24*OFFSET(ORÇAMENTO!$X$15,ROW(AC24)-ROW(AC$15),0),
              ROUND(ROUND(OFFSET($P24,0,AC$13),15-13*ORÇAMENTO!$AF$7)*OFFSET(ORÇAMENTO!$W$15,ROW(AC24)-ROW(AC$15),0),15-13*ORÇAMENTO!$AF$11)),
         0)</f>
        <v>0</v>
      </c>
      <c r="AD24" s="357" t="n">
        <f aca="true">IF(AND($D24="Serviço",AD$12&lt;&gt;0,$H24&gt;0,OR(AUTOEVENTO&lt;&gt;"manual",$M24&lt;&gt;$A$15)),
        IF(Import.TipoArredondamento&lt;&gt;"TransfereGOV",
              ROUND(OFFSET($P24,0,AD$13),15-13*ORÇAMENTO!$AF$7)/$H24*OFFSET(ORÇAMENTO!$X$15,ROW(AD24)-ROW(AD$15),0),
              ROUND(ROUND(OFFSET($P24,0,AD$13),15-13*ORÇAMENTO!$AF$7)*OFFSET(ORÇAMENTO!$W$15,ROW(AD24)-ROW(AD$15),0),15-13*ORÇAMENTO!$AF$11)),
         0)</f>
        <v>0</v>
      </c>
      <c r="AE24" s="357" t="n">
        <f aca="true">IF(AND($D24="Serviço",AE$12&lt;&gt;0,$H24&gt;0,OR(AUTOEVENTO&lt;&gt;"manual",$M24&lt;&gt;$A$15)),
        IF(Import.TipoArredondamento&lt;&gt;"TransfereGOV",
              ROUND(OFFSET($P24,0,AE$13),15-13*ORÇAMENTO!$AF$7)/$H24*OFFSET(ORÇAMENTO!$X$15,ROW(AE24)-ROW(AE$15),0),
              ROUND(ROUND(OFFSET($P24,0,AE$13),15-13*ORÇAMENTO!$AF$7)*OFFSET(ORÇAMENTO!$W$15,ROW(AE24)-ROW(AE$15),0),15-13*ORÇAMENTO!$AF$11)),
         0)</f>
        <v>0</v>
      </c>
      <c r="AF24" s="357" t="n">
        <f aca="true">IF(AND($D24="Serviço",AF$12&lt;&gt;0,$H24&gt;0,OR(AUTOEVENTO&lt;&gt;"manual",$M24&lt;&gt;$A$15)),
        IF(Import.TipoArredondamento&lt;&gt;"TransfereGOV",
              ROUND(OFFSET($P24,0,AF$13),15-13*ORÇAMENTO!$AF$7)/$H24*OFFSET(ORÇAMENTO!$X$15,ROW(AF24)-ROW(AF$15),0),
              ROUND(ROUND(OFFSET($P24,0,AF$13),15-13*ORÇAMENTO!$AF$7)*OFFSET(ORÇAMENTO!$W$15,ROW(AF24)-ROW(AF$15),0),15-13*ORÇAMENTO!$AF$11)),
         0)</f>
        <v>0</v>
      </c>
      <c r="AG24" s="357" t="n">
        <f aca="true">IF(AND($D24="Serviço",AG$12&lt;&gt;0,$H24&gt;0,OR(AUTOEVENTO&lt;&gt;"manual",$M24&lt;&gt;$A$15)),
        IF(Import.TipoArredondamento&lt;&gt;"TransfereGOV",
              ROUND(OFFSET($P24,0,AG$13),15-13*ORÇAMENTO!$AF$7)/$H24*OFFSET(ORÇAMENTO!$X$15,ROW(AG24)-ROW(AG$15),0),
              ROUND(ROUND(OFFSET($P24,0,AG$13),15-13*ORÇAMENTO!$AF$7)*OFFSET(ORÇAMENTO!$W$15,ROW(AG24)-ROW(AG$15),0),15-13*ORÇAMENTO!$AF$11)),
         0)</f>
        <v>0</v>
      </c>
      <c r="AH24" s="357" t="n">
        <f aca="true">IF(AND($D24="Serviço",AH$12&lt;&gt;0,$H24&gt;0,OR(AUTOEVENTO&lt;&gt;"manual",$M24&lt;&gt;$A$15)),
        IF(Import.TipoArredondamento&lt;&gt;"TransfereGOV",
              ROUND(OFFSET($P24,0,AH$13),15-13*ORÇAMENTO!$AF$7)/$H24*OFFSET(ORÇAMENTO!$X$15,ROW(AH24)-ROW(AH$15),0),
              ROUND(ROUND(OFFSET($P24,0,AH$13),15-13*ORÇAMENTO!$AF$7)*OFFSET(ORÇAMENTO!$W$15,ROW(AH24)-ROW(AH$15),0),15-13*ORÇAMENTO!$AF$11)),
         0)</f>
        <v>0</v>
      </c>
      <c r="AI24" s="357" t="n">
        <f aca="true">IF(AND($D24="Serviço",AI$12&lt;&gt;0,$H24&gt;0,OR(AUTOEVENTO&lt;&gt;"manual",$M24&lt;&gt;$A$15)),
        IF(Import.TipoArredondamento&lt;&gt;"TransfereGOV",
              ROUND(OFFSET($P24,0,AI$13),15-13*ORÇAMENTO!$AF$7)/$H24*OFFSET(ORÇAMENTO!$X$15,ROW(AI24)-ROW(AI$15),0),
              ROUND(ROUND(OFFSET($P24,0,AI$13),15-13*ORÇAMENTO!$AF$7)*OFFSET(ORÇAMENTO!$W$15,ROW(AI24)-ROW(AI$15),0),15-13*ORÇAMENTO!$AF$11)),
         0)</f>
        <v>0</v>
      </c>
      <c r="AJ24" s="357" t="n">
        <f aca="true">IF(AND($D24="Serviço",AJ$12&lt;&gt;0,$H24&gt;0,OR(AUTOEVENTO&lt;&gt;"manual",$M24&lt;&gt;$A$15)),
        IF(Import.TipoArredondamento&lt;&gt;"TransfereGOV",
              ROUND(OFFSET($P24,0,AJ$13),15-13*ORÇAMENTO!$AF$7)/$H24*OFFSET(ORÇAMENTO!$X$15,ROW(AJ24)-ROW(AJ$15),0),
              ROUND(ROUND(OFFSET($P24,0,AJ$13),15-13*ORÇAMENTO!$AF$7)*OFFSET(ORÇAMENTO!$W$15,ROW(AJ24)-ROW(AJ$15),0),15-13*ORÇAMENTO!$AF$11)),
         0)</f>
        <v>0</v>
      </c>
      <c r="AK24" s="357" t="n">
        <f aca="true">IF(AND($D24="Serviço",AK$12&lt;&gt;0,$H24&gt;0,OR(AUTOEVENTO&lt;&gt;"manual",$M24&lt;&gt;$A$15)),
        IF(Import.TipoArredondamento&lt;&gt;"TransfereGOV",
              ROUND(OFFSET($P24,0,AK$13),15-13*ORÇAMENTO!$AF$7)/$H24*OFFSET(ORÇAMENTO!$X$15,ROW(AK24)-ROW(AK$15),0),
              ROUND(ROUND(OFFSET($P24,0,AK$13),15-13*ORÇAMENTO!$AF$7)*OFFSET(ORÇAMENTO!$W$15,ROW(AK24)-ROW(AK$15),0),15-13*ORÇAMENTO!$AF$11)),
         0)</f>
        <v>0</v>
      </c>
      <c r="AM24" s="358" t="n">
        <f aca="true">IF(OR($D24&lt;&gt;"Serviço",AND(AUTOEVENTO="Manual",$M24=$A$15)),0,
         IF(OFFSET(CRONOPLE!$F$15,$M24-$A$15,AM$13)="",10^12,OFFSET(CRONOPLE!$F$15,$M24-$A$15,AM$13)))</f>
        <v>0</v>
      </c>
      <c r="AN24" s="358" t="n">
        <f aca="true">IF(OR($D24&lt;&gt;"Serviço",AND(AUTOEVENTO="Manual",$M24=$A$15)),0,
         IF(OFFSET(CRONOPLE!$F$15,$M24-$A$15,AN$13)="",10^12,OFFSET(CRONOPLE!$F$15,$M24-$A$15,AN$13)))</f>
        <v>0</v>
      </c>
      <c r="AO24" s="358" t="n">
        <f aca="true">IF(OR($D24&lt;&gt;"Serviço",AND(AUTOEVENTO="Manual",$M24=$A$15)),0,
         IF(OFFSET(CRONOPLE!$F$15,$M24-$A$15,AO$13)="",10^12,OFFSET(CRONOPLE!$F$15,$M24-$A$15,AO$13)))</f>
        <v>0</v>
      </c>
      <c r="AP24" s="358" t="n">
        <f aca="true">IF(OR($D24&lt;&gt;"Serviço",AND(AUTOEVENTO="Manual",$M24=$A$15)),0,
         IF(OFFSET(CRONOPLE!$F$15,$M24-$A$15,AP$13)="",10^12,OFFSET(CRONOPLE!$F$15,$M24-$A$15,AP$13)))</f>
        <v>0</v>
      </c>
      <c r="AQ24" s="358" t="n">
        <f aca="true">IF(OR($D24&lt;&gt;"Serviço",AND(AUTOEVENTO="Manual",$M24=$A$15)),0,
         IF(OFFSET(CRONOPLE!$F$15,$M24-$A$15,AQ$13)="",10^12,OFFSET(CRONOPLE!$F$15,$M24-$A$15,AQ$13)))</f>
        <v>0</v>
      </c>
      <c r="AR24" s="358" t="n">
        <f aca="true">IF(OR($D24&lt;&gt;"Serviço",AND(AUTOEVENTO="Manual",$M24=$A$15)),0,
         IF(OFFSET(CRONOPLE!$F$15,$M24-$A$15,AR$13)="",10^12,OFFSET(CRONOPLE!$F$15,$M24-$A$15,AR$13)))</f>
        <v>0</v>
      </c>
      <c r="AS24" s="358" t="n">
        <f aca="true">IF(OR($D24&lt;&gt;"Serviço",AND(AUTOEVENTO="Manual",$M24=$A$15)),0,
         IF(OFFSET(CRONOPLE!$F$15,$M24-$A$15,AS$13)="",10^12,OFFSET(CRONOPLE!$F$15,$M24-$A$15,AS$13)))</f>
        <v>0</v>
      </c>
      <c r="AT24" s="358" t="n">
        <f aca="true">IF(OR($D24&lt;&gt;"Serviço",AND(AUTOEVENTO="Manual",$M24=$A$15)),0,
         IF(OFFSET(CRONOPLE!$F$15,$M24-$A$15,AT$13)="",10^12,OFFSET(CRONOPLE!$F$15,$M24-$A$15,AT$13)))</f>
        <v>0</v>
      </c>
      <c r="AU24" s="358" t="n">
        <f aca="true">IF(OR($D24&lt;&gt;"Serviço",AND(AUTOEVENTO="Manual",$M24=$A$15)),0,
         IF(OFFSET(CRONOPLE!$F$15,$M24-$A$15,AU$13)="",10^12,OFFSET(CRONOPLE!$F$15,$M24-$A$15,AU$13)))</f>
        <v>0</v>
      </c>
      <c r="AV24" s="358" t="n">
        <f aca="true">IF(OR($D24&lt;&gt;"Serviço",AND(AUTOEVENTO="Manual",$M24=$A$15)),0,
         IF(OFFSET(CRONOPLE!$F$15,$M24-$A$15,AV$13)="",10^12,OFFSET(CRONOPLE!$F$15,$M24-$A$15,AV$13)))</f>
        <v>0</v>
      </c>
      <c r="AX24" s="359" t="n">
        <f aca="true">IF(OR($D24&lt;&gt;"Serviço",AND(AUTOEVENTO="Manual",$M24=$A$15),$M24&gt;(ROW(PLE.lastrow)-ROW(PLE.firstrow))),0,
           IF(OFFSET(PLE!$G$15,$M24-$A$15,AX$13)="",10^12,OFFSET(PLE!$G$15,$M24-$A$15,AX$13)))</f>
        <v>0</v>
      </c>
      <c r="AY24" s="359" t="n">
        <f aca="true">IF(OR($D24&lt;&gt;"Serviço",AND(AUTOEVENTO="Manual",$M24=$A$15),$M24&gt;(ROW(PLE.lastrow)-ROW(PLE.firstrow))),0,
           IF(OFFSET(PLE!$G$15,$M24-$A$15,AY$13)="",10^12,OFFSET(PLE!$G$15,$M24-$A$15,AY$13)))</f>
        <v>0</v>
      </c>
      <c r="AZ24" s="359" t="n">
        <f aca="true">IF(OR($D24&lt;&gt;"Serviço",AND(AUTOEVENTO="Manual",$M24=$A$15),$M24&gt;(ROW(PLE.lastrow)-ROW(PLE.firstrow))),0,
           IF(OFFSET(PLE!$G$15,$M24-$A$15,AZ$13)="",10^12,OFFSET(PLE!$G$15,$M24-$A$15,AZ$13)))</f>
        <v>0</v>
      </c>
      <c r="BA24" s="359" t="n">
        <f aca="true">IF(OR($D24&lt;&gt;"Serviço",AND(AUTOEVENTO="Manual",$M24=$A$15),$M24&gt;(ROW(PLE.lastrow)-ROW(PLE.firstrow))),0,
           IF(OFFSET(PLE!$G$15,$M24-$A$15,BA$13)="",10^12,OFFSET(PLE!$G$15,$M24-$A$15,BA$13)))</f>
        <v>0</v>
      </c>
      <c r="BB24" s="359" t="n">
        <f aca="true">IF(OR($D24&lt;&gt;"Serviço",AND(AUTOEVENTO="Manual",$M24=$A$15),$M24&gt;(ROW(PLE.lastrow)-ROW(PLE.firstrow))),0,
           IF(OFFSET(PLE!$G$15,$M24-$A$15,BB$13)="",10^12,OFFSET(PLE!$G$15,$M24-$A$15,BB$13)))</f>
        <v>0</v>
      </c>
      <c r="BC24" s="359" t="n">
        <f aca="true">IF(OR($D24&lt;&gt;"Serviço",AND(AUTOEVENTO="Manual",$M24=$A$15),$M24&gt;(ROW(PLE.lastrow)-ROW(PLE.firstrow))),0,
           IF(OFFSET(PLE!$G$15,$M24-$A$15,BC$13)="",10^12,OFFSET(PLE!$G$15,$M24-$A$15,BC$13)))</f>
        <v>0</v>
      </c>
      <c r="BD24" s="359" t="n">
        <f aca="true">IF(OR($D24&lt;&gt;"Serviço",AND(AUTOEVENTO="Manual",$M24=$A$15),$M24&gt;(ROW(PLE.lastrow)-ROW(PLE.firstrow))),0,
           IF(OFFSET(PLE!$G$15,$M24-$A$15,BD$13)="",10^12,OFFSET(PLE!$G$15,$M24-$A$15,BD$13)))</f>
        <v>0</v>
      </c>
      <c r="BE24" s="359" t="n">
        <f aca="true">IF(OR($D24&lt;&gt;"Serviço",AND(AUTOEVENTO="Manual",$M24=$A$15),$M24&gt;(ROW(PLE.lastrow)-ROW(PLE.firstrow))),0,
           IF(OFFSET(PLE!$G$15,$M24-$A$15,BE$13)="",10^12,OFFSET(PLE!$G$15,$M24-$A$15,BE$13)))</f>
        <v>0</v>
      </c>
      <c r="BF24" s="359" t="n">
        <f aca="true">IF(OR($D24&lt;&gt;"Serviço",AND(AUTOEVENTO="Manual",$M24=$A$15),$M24&gt;(ROW(PLE.lastrow)-ROW(PLE.firstrow))),0,
           IF(OFFSET(PLE!$G$15,$M24-$A$15,BF$13)="",10^12,OFFSET(PLE!$G$15,$M24-$A$15,BF$13)))</f>
        <v>0</v>
      </c>
      <c r="BG24" s="359" t="n">
        <f aca="true">IF(OR($D24&lt;&gt;"Serviço",AND(AUTOEVENTO="Manual",$M24=$A$15),$M24&gt;(ROW(PLE.lastrow)-ROW(PLE.firstrow))),0,
           IF(OFFSET(PLE!$G$15,$M24-$A$15,BG$13)="",10^12,OFFSET(PLE!$G$15,$M24-$A$15,BG$13)))</f>
        <v>0</v>
      </c>
    </row>
    <row r="25" s="1" customFormat="true" ht="25.5" hidden="false" customHeight="false" outlineLevel="0" collapsed="false">
      <c r="A25" s="49" t="str">
        <f aca="true">IF(AUTOEVENTO="Manual",IF(K25&lt;&gt;"",MIN(VALUE(LEFT(K25,FIND(".",K25)-1)),COUNTA(EVENTOS.Lista)),0),IF(OR($B25&gt;AUTOEVENTO,$B25="S",$B25=0),SUBSTITUTE(OFFSET($A25,-1,0),IF($D25="Serviço",".",""),""),ROW(A25)-ROW($A$15)&amp;"."))</f>
        <v>8</v>
      </c>
      <c r="B25" s="49" t="str">
        <f aca="true">OFFSET(ORÇAMENTO!C$15,ROW(B25)-ROW(B$15),0)</f>
        <v>S</v>
      </c>
      <c r="C25" s="49" t="str">
        <f aca="true">OFFSET(ORÇAMENTO!L$15,ROW(C25)-ROW(C$15),0)</f>
        <v/>
      </c>
      <c r="D25" s="201" t="str">
        <f aca="true">OFFSET(ORÇAMENTO!N$15,ROW(D25)-ROW(D$15),0)</f>
        <v>Serviço</v>
      </c>
      <c r="E25" s="202" t="str">
        <f aca="true">OFFSET(ORÇAMENTO!O$15,ROW(E25)-ROW(E$15),0)</f>
        <v>-</v>
      </c>
      <c r="F25" s="346" t="str">
        <f aca="true">OFFSET(ORÇAMENTO!R$15,ROW(F25)-ROW(F$15),0)</f>
        <v>(abra o arquivo 'Referência 09-2025.xlsm)</v>
      </c>
      <c r="G25" s="347" t="str">
        <f aca="true">IF($D25&lt;&gt;"Serviço","",OFFSET(ORÇAMENTO!S$15,ROW(G25)-ROW(G$15),0))</f>
        <v>-</v>
      </c>
      <c r="H25" s="207" t="n">
        <f aca="true">IF($D25&lt;&gt;"Serviço",0,IF(ACOMPANHAMENTO="BM",ROUND(OFFSET(ORÇAMENTO!AJ$15,ROW(H25)-ROW(H$15),0),15-13*ORÇAMENTO!$AF$7),SUMPRODUCT(($Q$1:$AA$1=1)*ROUND($Q25:$AA25,15-13*ORÇAMENTO!$AF$7))))</f>
        <v>366.86</v>
      </c>
      <c r="I25" s="348"/>
      <c r="J25" s="349" t="str">
        <f aca="false" t="array" ref="J25:J25">IF(B25&lt;&gt;"S","",IF(AND(ACOMPANHAMENTO="PLE",AUTOEVENTO="Manual",OR(H25&gt;0,ORÇAMENTO!AC25="QUANT."),OR(K25="",M25=0,N25="")),"►",IF(AND(ACOMPANHAMENTO="PLE",ORÇAMENTO!AC25="QUANT."),"►►",IF(AND(COUNTIF($P$11:$AA$11,"▼")=0,H25&gt;0,I25=""),"◄",""))))</f>
        <v>◄</v>
      </c>
      <c r="K25" s="350"/>
      <c r="L25" s="351" t="s">
        <v>807</v>
      </c>
      <c r="M25" s="352" t="n">
        <f aca="true">IF($D25&lt;&gt;"Serviço","",
          IF(AUTOEVENTO="manual",$A25,
                IF(ISERROR(MATCH($A25,$A$15:OFFSET($A25,-1,0),0)),MAX($M$15:OFFSET(M25,-1,0))+1,
                      INDEX($M$15:OFFSET(M25,-1,0),MATCH($A25,$A$15:OFFSET($A25,-1,0),0)))))</f>
        <v>3</v>
      </c>
      <c r="N25" s="353" t="str">
        <f aca="true">IF($D25&lt;&gt;"Serviço","",
         IF(AUTOEVENTO="Manual",
                IF($A25=0,"&lt;-- defina o número do agrupador",
                       OFFSET(EVENTOS!$D$15,$A25-$A$15,0)),
                OFFSET($F$15,$A25,0)))</f>
        <v>REFORMA DO TELHADO - PARTE B</v>
      </c>
      <c r="O25" s="354"/>
      <c r="Q25" s="354"/>
      <c r="R25" s="355"/>
      <c r="S25" s="355"/>
      <c r="T25" s="355"/>
      <c r="U25" s="355"/>
      <c r="V25" s="355"/>
      <c r="W25" s="355"/>
      <c r="X25" s="355"/>
      <c r="Y25" s="355"/>
      <c r="Z25" s="356"/>
      <c r="AB25" s="357" t="n">
        <f aca="true">IF(AND($D25="Serviço",AB$12&lt;&gt;0,$H25&gt;0,OR(AUTOEVENTO&lt;&gt;"manual",$M25&lt;&gt;$A$15)),
        IF(Import.TipoArredondamento&lt;&gt;"TransfereGOV",
              ROUND(OFFSET($P25,0,AB$13),15-13*ORÇAMENTO!$AF$7)/$H25*OFFSET(ORÇAMENTO!$X$15,ROW(AB25)-ROW(AB$15),0),
              ROUND(ROUND(OFFSET($P25,0,AB$13),15-13*ORÇAMENTO!$AF$7)*OFFSET(ORÇAMENTO!$W$15,ROW(AB25)-ROW(AB$15),0),15-13*ORÇAMENTO!$AF$11)),
         0)</f>
        <v>0</v>
      </c>
      <c r="AC25" s="357" t="n">
        <f aca="true">IF(AND($D25="Serviço",AC$12&lt;&gt;0,$H25&gt;0,OR(AUTOEVENTO&lt;&gt;"manual",$M25&lt;&gt;$A$15)),
        IF(Import.TipoArredondamento&lt;&gt;"TransfereGOV",
              ROUND(OFFSET($P25,0,AC$13),15-13*ORÇAMENTO!$AF$7)/$H25*OFFSET(ORÇAMENTO!$X$15,ROW(AC25)-ROW(AC$15),0),
              ROUND(ROUND(OFFSET($P25,0,AC$13),15-13*ORÇAMENTO!$AF$7)*OFFSET(ORÇAMENTO!$W$15,ROW(AC25)-ROW(AC$15),0),15-13*ORÇAMENTO!$AF$11)),
         0)</f>
        <v>0</v>
      </c>
      <c r="AD25" s="357" t="n">
        <f aca="true">IF(AND($D25="Serviço",AD$12&lt;&gt;0,$H25&gt;0,OR(AUTOEVENTO&lt;&gt;"manual",$M25&lt;&gt;$A$15)),
        IF(Import.TipoArredondamento&lt;&gt;"TransfereGOV",
              ROUND(OFFSET($P25,0,AD$13),15-13*ORÇAMENTO!$AF$7)/$H25*OFFSET(ORÇAMENTO!$X$15,ROW(AD25)-ROW(AD$15),0),
              ROUND(ROUND(OFFSET($P25,0,AD$13),15-13*ORÇAMENTO!$AF$7)*OFFSET(ORÇAMENTO!$W$15,ROW(AD25)-ROW(AD$15),0),15-13*ORÇAMENTO!$AF$11)),
         0)</f>
        <v>0</v>
      </c>
      <c r="AE25" s="357" t="n">
        <f aca="true">IF(AND($D25="Serviço",AE$12&lt;&gt;0,$H25&gt;0,OR(AUTOEVENTO&lt;&gt;"manual",$M25&lt;&gt;$A$15)),
        IF(Import.TipoArredondamento&lt;&gt;"TransfereGOV",
              ROUND(OFFSET($P25,0,AE$13),15-13*ORÇAMENTO!$AF$7)/$H25*OFFSET(ORÇAMENTO!$X$15,ROW(AE25)-ROW(AE$15),0),
              ROUND(ROUND(OFFSET($P25,0,AE$13),15-13*ORÇAMENTO!$AF$7)*OFFSET(ORÇAMENTO!$W$15,ROW(AE25)-ROW(AE$15),0),15-13*ORÇAMENTO!$AF$11)),
         0)</f>
        <v>0</v>
      </c>
      <c r="AF25" s="357" t="n">
        <f aca="true">IF(AND($D25="Serviço",AF$12&lt;&gt;0,$H25&gt;0,OR(AUTOEVENTO&lt;&gt;"manual",$M25&lt;&gt;$A$15)),
        IF(Import.TipoArredondamento&lt;&gt;"TransfereGOV",
              ROUND(OFFSET($P25,0,AF$13),15-13*ORÇAMENTO!$AF$7)/$H25*OFFSET(ORÇAMENTO!$X$15,ROW(AF25)-ROW(AF$15),0),
              ROUND(ROUND(OFFSET($P25,0,AF$13),15-13*ORÇAMENTO!$AF$7)*OFFSET(ORÇAMENTO!$W$15,ROW(AF25)-ROW(AF$15),0),15-13*ORÇAMENTO!$AF$11)),
         0)</f>
        <v>0</v>
      </c>
      <c r="AG25" s="357" t="n">
        <f aca="true">IF(AND($D25="Serviço",AG$12&lt;&gt;0,$H25&gt;0,OR(AUTOEVENTO&lt;&gt;"manual",$M25&lt;&gt;$A$15)),
        IF(Import.TipoArredondamento&lt;&gt;"TransfereGOV",
              ROUND(OFFSET($P25,0,AG$13),15-13*ORÇAMENTO!$AF$7)/$H25*OFFSET(ORÇAMENTO!$X$15,ROW(AG25)-ROW(AG$15),0),
              ROUND(ROUND(OFFSET($P25,0,AG$13),15-13*ORÇAMENTO!$AF$7)*OFFSET(ORÇAMENTO!$W$15,ROW(AG25)-ROW(AG$15),0),15-13*ORÇAMENTO!$AF$11)),
         0)</f>
        <v>0</v>
      </c>
      <c r="AH25" s="357" t="n">
        <f aca="true">IF(AND($D25="Serviço",AH$12&lt;&gt;0,$H25&gt;0,OR(AUTOEVENTO&lt;&gt;"manual",$M25&lt;&gt;$A$15)),
        IF(Import.TipoArredondamento&lt;&gt;"TransfereGOV",
              ROUND(OFFSET($P25,0,AH$13),15-13*ORÇAMENTO!$AF$7)/$H25*OFFSET(ORÇAMENTO!$X$15,ROW(AH25)-ROW(AH$15),0),
              ROUND(ROUND(OFFSET($P25,0,AH$13),15-13*ORÇAMENTO!$AF$7)*OFFSET(ORÇAMENTO!$W$15,ROW(AH25)-ROW(AH$15),0),15-13*ORÇAMENTO!$AF$11)),
         0)</f>
        <v>0</v>
      </c>
      <c r="AI25" s="357" t="n">
        <f aca="true">IF(AND($D25="Serviço",AI$12&lt;&gt;0,$H25&gt;0,OR(AUTOEVENTO&lt;&gt;"manual",$M25&lt;&gt;$A$15)),
        IF(Import.TipoArredondamento&lt;&gt;"TransfereGOV",
              ROUND(OFFSET($P25,0,AI$13),15-13*ORÇAMENTO!$AF$7)/$H25*OFFSET(ORÇAMENTO!$X$15,ROW(AI25)-ROW(AI$15),0),
              ROUND(ROUND(OFFSET($P25,0,AI$13),15-13*ORÇAMENTO!$AF$7)*OFFSET(ORÇAMENTO!$W$15,ROW(AI25)-ROW(AI$15),0),15-13*ORÇAMENTO!$AF$11)),
         0)</f>
        <v>0</v>
      </c>
      <c r="AJ25" s="357" t="n">
        <f aca="true">IF(AND($D25="Serviço",AJ$12&lt;&gt;0,$H25&gt;0,OR(AUTOEVENTO&lt;&gt;"manual",$M25&lt;&gt;$A$15)),
        IF(Import.TipoArredondamento&lt;&gt;"TransfereGOV",
              ROUND(OFFSET($P25,0,AJ$13),15-13*ORÇAMENTO!$AF$7)/$H25*OFFSET(ORÇAMENTO!$X$15,ROW(AJ25)-ROW(AJ$15),0),
              ROUND(ROUND(OFFSET($P25,0,AJ$13),15-13*ORÇAMENTO!$AF$7)*OFFSET(ORÇAMENTO!$W$15,ROW(AJ25)-ROW(AJ$15),0),15-13*ORÇAMENTO!$AF$11)),
         0)</f>
        <v>0</v>
      </c>
      <c r="AK25" s="357" t="n">
        <f aca="true">IF(AND($D25="Serviço",AK$12&lt;&gt;0,$H25&gt;0,OR(AUTOEVENTO&lt;&gt;"manual",$M25&lt;&gt;$A$15)),
        IF(Import.TipoArredondamento&lt;&gt;"TransfereGOV",
              ROUND(OFFSET($P25,0,AK$13),15-13*ORÇAMENTO!$AF$7)/$H25*OFFSET(ORÇAMENTO!$X$15,ROW(AK25)-ROW(AK$15),0),
              ROUND(ROUND(OFFSET($P25,0,AK$13),15-13*ORÇAMENTO!$AF$7)*OFFSET(ORÇAMENTO!$W$15,ROW(AK25)-ROW(AK$15),0),15-13*ORÇAMENTO!$AF$11)),
         0)</f>
        <v>0</v>
      </c>
      <c r="AM25" s="358" t="n">
        <f aca="true">IF(OR($D25&lt;&gt;"Serviço",AND(AUTOEVENTO="Manual",$M25=$A$15)),0,
         IF(OFFSET(CRONOPLE!$F$15,$M25-$A$15,AM$13)="",10^12,OFFSET(CRONOPLE!$F$15,$M25-$A$15,AM$13)))</f>
        <v>1000000000000</v>
      </c>
      <c r="AN25" s="358" t="n">
        <f aca="true">IF(OR($D25&lt;&gt;"Serviço",AND(AUTOEVENTO="Manual",$M25=$A$15)),0,
         IF(OFFSET(CRONOPLE!$F$15,$M25-$A$15,AN$13)="",10^12,OFFSET(CRONOPLE!$F$15,$M25-$A$15,AN$13)))</f>
        <v>1000000000000</v>
      </c>
      <c r="AO25" s="358" t="n">
        <f aca="true">IF(OR($D25&lt;&gt;"Serviço",AND(AUTOEVENTO="Manual",$M25=$A$15)),0,
         IF(OFFSET(CRONOPLE!$F$15,$M25-$A$15,AO$13)="",10^12,OFFSET(CRONOPLE!$F$15,$M25-$A$15,AO$13)))</f>
        <v>1000000000000</v>
      </c>
      <c r="AP25" s="358" t="n">
        <f aca="true">IF(OR($D25&lt;&gt;"Serviço",AND(AUTOEVENTO="Manual",$M25=$A$15)),0,
         IF(OFFSET(CRONOPLE!$F$15,$M25-$A$15,AP$13)="",10^12,OFFSET(CRONOPLE!$F$15,$M25-$A$15,AP$13)))</f>
        <v>1000000000000</v>
      </c>
      <c r="AQ25" s="358" t="n">
        <f aca="true">IF(OR($D25&lt;&gt;"Serviço",AND(AUTOEVENTO="Manual",$M25=$A$15)),0,
         IF(OFFSET(CRONOPLE!$F$15,$M25-$A$15,AQ$13)="",10^12,OFFSET(CRONOPLE!$F$15,$M25-$A$15,AQ$13)))</f>
        <v>1000000000000</v>
      </c>
      <c r="AR25" s="358" t="n">
        <f aca="true">IF(OR($D25&lt;&gt;"Serviço",AND(AUTOEVENTO="Manual",$M25=$A$15)),0,
         IF(OFFSET(CRONOPLE!$F$15,$M25-$A$15,AR$13)="",10^12,OFFSET(CRONOPLE!$F$15,$M25-$A$15,AR$13)))</f>
        <v>1000000000000</v>
      </c>
      <c r="AS25" s="358" t="n">
        <f aca="true">IF(OR($D25&lt;&gt;"Serviço",AND(AUTOEVENTO="Manual",$M25=$A$15)),0,
         IF(OFFSET(CRONOPLE!$F$15,$M25-$A$15,AS$13)="",10^12,OFFSET(CRONOPLE!$F$15,$M25-$A$15,AS$13)))</f>
        <v>1000000000000</v>
      </c>
      <c r="AT25" s="358" t="n">
        <f aca="true">IF(OR($D25&lt;&gt;"Serviço",AND(AUTOEVENTO="Manual",$M25=$A$15)),0,
         IF(OFFSET(CRONOPLE!$F$15,$M25-$A$15,AT$13)="",10^12,OFFSET(CRONOPLE!$F$15,$M25-$A$15,AT$13)))</f>
        <v>1000000000000</v>
      </c>
      <c r="AU25" s="358" t="n">
        <f aca="true">IF(OR($D25&lt;&gt;"Serviço",AND(AUTOEVENTO="Manual",$M25=$A$15)),0,
         IF(OFFSET(CRONOPLE!$F$15,$M25-$A$15,AU$13)="",10^12,OFFSET(CRONOPLE!$F$15,$M25-$A$15,AU$13)))</f>
        <v>1000000000000</v>
      </c>
      <c r="AV25" s="358" t="n">
        <f aca="true">IF(OR($D25&lt;&gt;"Serviço",AND(AUTOEVENTO="Manual",$M25=$A$15)),0,
         IF(OFFSET(CRONOPLE!$F$15,$M25-$A$15,AV$13)="",10^12,OFFSET(CRONOPLE!$F$15,$M25-$A$15,AV$13)))</f>
        <v>1000000000000</v>
      </c>
      <c r="AX25" s="359" t="n">
        <f aca="true">IF(OR($D25&lt;&gt;"Serviço",AND(AUTOEVENTO="Manual",$M25=$A$15),$M25&gt;(ROW(PLE.lastrow)-ROW(PLE.firstrow))),0,
           IF(OFFSET(PLE!$G$15,$M25-$A$15,AX$13)="",10^12,OFFSET(PLE!$G$15,$M25-$A$15,AX$13)))</f>
        <v>1000000000000</v>
      </c>
      <c r="AY25" s="359" t="n">
        <f aca="true">IF(OR($D25&lt;&gt;"Serviço",AND(AUTOEVENTO="Manual",$M25=$A$15),$M25&gt;(ROW(PLE.lastrow)-ROW(PLE.firstrow))),0,
           IF(OFFSET(PLE!$G$15,$M25-$A$15,AY$13)="",10^12,OFFSET(PLE!$G$15,$M25-$A$15,AY$13)))</f>
        <v>1000000000000</v>
      </c>
      <c r="AZ25" s="359" t="n">
        <f aca="true">IF(OR($D25&lt;&gt;"Serviço",AND(AUTOEVENTO="Manual",$M25=$A$15),$M25&gt;(ROW(PLE.lastrow)-ROW(PLE.firstrow))),0,
           IF(OFFSET(PLE!$G$15,$M25-$A$15,AZ$13)="",10^12,OFFSET(PLE!$G$15,$M25-$A$15,AZ$13)))</f>
        <v>1000000000000</v>
      </c>
      <c r="BA25" s="359" t="n">
        <f aca="true">IF(OR($D25&lt;&gt;"Serviço",AND(AUTOEVENTO="Manual",$M25=$A$15),$M25&gt;(ROW(PLE.lastrow)-ROW(PLE.firstrow))),0,
           IF(OFFSET(PLE!$G$15,$M25-$A$15,BA$13)="",10^12,OFFSET(PLE!$G$15,$M25-$A$15,BA$13)))</f>
        <v>1000000000000</v>
      </c>
      <c r="BB25" s="359" t="n">
        <f aca="true">IF(OR($D25&lt;&gt;"Serviço",AND(AUTOEVENTO="Manual",$M25=$A$15),$M25&gt;(ROW(PLE.lastrow)-ROW(PLE.firstrow))),0,
           IF(OFFSET(PLE!$G$15,$M25-$A$15,BB$13)="",10^12,OFFSET(PLE!$G$15,$M25-$A$15,BB$13)))</f>
        <v>1000000000000</v>
      </c>
      <c r="BC25" s="359" t="n">
        <f aca="true">IF(OR($D25&lt;&gt;"Serviço",AND(AUTOEVENTO="Manual",$M25=$A$15),$M25&gt;(ROW(PLE.lastrow)-ROW(PLE.firstrow))),0,
           IF(OFFSET(PLE!$G$15,$M25-$A$15,BC$13)="",10^12,OFFSET(PLE!$G$15,$M25-$A$15,BC$13)))</f>
        <v>1000000000000</v>
      </c>
      <c r="BD25" s="359" t="n">
        <f aca="true">IF(OR($D25&lt;&gt;"Serviço",AND(AUTOEVENTO="Manual",$M25=$A$15),$M25&gt;(ROW(PLE.lastrow)-ROW(PLE.firstrow))),0,
           IF(OFFSET(PLE!$G$15,$M25-$A$15,BD$13)="",10^12,OFFSET(PLE!$G$15,$M25-$A$15,BD$13)))</f>
        <v>1000000000000</v>
      </c>
      <c r="BE25" s="359" t="n">
        <f aca="true">IF(OR($D25&lt;&gt;"Serviço",AND(AUTOEVENTO="Manual",$M25=$A$15),$M25&gt;(ROW(PLE.lastrow)-ROW(PLE.firstrow))),0,
           IF(OFFSET(PLE!$G$15,$M25-$A$15,BE$13)="",10^12,OFFSET(PLE!$G$15,$M25-$A$15,BE$13)))</f>
        <v>1000000000000</v>
      </c>
      <c r="BF25" s="359" t="n">
        <f aca="true">IF(OR($D25&lt;&gt;"Serviço",AND(AUTOEVENTO="Manual",$M25=$A$15),$M25&gt;(ROW(PLE.lastrow)-ROW(PLE.firstrow))),0,
           IF(OFFSET(PLE!$G$15,$M25-$A$15,BF$13)="",10^12,OFFSET(PLE!$G$15,$M25-$A$15,BF$13)))</f>
        <v>1000000000000</v>
      </c>
      <c r="BG25" s="359" t="n">
        <f aca="true">IF(OR($D25&lt;&gt;"Serviço",AND(AUTOEVENTO="Manual",$M25=$A$15),$M25&gt;(ROW(PLE.lastrow)-ROW(PLE.firstrow))),0,
           IF(OFFSET(PLE!$G$15,$M25-$A$15,BG$13)="",10^12,OFFSET(PLE!$G$15,$M25-$A$15,BG$13)))</f>
        <v>1000000000000</v>
      </c>
    </row>
    <row r="26" s="1" customFormat="true" ht="25.5" hidden="false" customHeight="false" outlineLevel="0" collapsed="false">
      <c r="A26" s="49" t="str">
        <f aca="true">IF(AUTOEVENTO="Manual",IF(K26&lt;&gt;"",MIN(VALUE(LEFT(K26,FIND(".",K26)-1)),COUNTA(EVENTOS.Lista)),0),IF(OR($B26&gt;AUTOEVENTO,$B26="S",$B26=0),SUBSTITUTE(OFFSET($A26,-1,0),IF($D26="Serviço",".",""),""),ROW(A26)-ROW($A$15)&amp;"."))</f>
        <v>8</v>
      </c>
      <c r="B26" s="49" t="str">
        <f aca="true">OFFSET(ORÇAMENTO!C$15,ROW(B26)-ROW(B$15),0)</f>
        <v>S</v>
      </c>
      <c r="C26" s="49" t="str">
        <f aca="true">OFFSET(ORÇAMENTO!L$15,ROW(C26)-ROW(C$15),0)</f>
        <v/>
      </c>
      <c r="D26" s="201" t="str">
        <f aca="true">OFFSET(ORÇAMENTO!N$15,ROW(D26)-ROW(D$15),0)</f>
        <v>Serviço</v>
      </c>
      <c r="E26" s="202" t="str">
        <f aca="true">OFFSET(ORÇAMENTO!O$15,ROW(E26)-ROW(E$15),0)</f>
        <v>-</v>
      </c>
      <c r="F26" s="346" t="str">
        <f aca="true">OFFSET(ORÇAMENTO!R$15,ROW(F26)-ROW(F$15),0)</f>
        <v>(abra o arquivo 'Referência 09-2025.xlsm)</v>
      </c>
      <c r="G26" s="347" t="str">
        <f aca="true">IF($D26&lt;&gt;"Serviço","",OFFSET(ORÇAMENTO!S$15,ROW(G26)-ROW(G$15),0))</f>
        <v>-</v>
      </c>
      <c r="H26" s="207" t="n">
        <f aca="true">IF($D26&lt;&gt;"Serviço",0,IF(ACOMPANHAMENTO="BM",ROUND(OFFSET(ORÇAMENTO!AJ$15,ROW(H26)-ROW(H$15),0),15-13*ORÇAMENTO!$AF$7),SUMPRODUCT(($Q$1:$AA$1=1)*ROUND($Q26:$AA26,15-13*ORÇAMENTO!$AF$7))))</f>
        <v>88.5</v>
      </c>
      <c r="I26" s="348"/>
      <c r="J26" s="349" t="str">
        <f aca="false" t="array" ref="J26:J26">IF(B26&lt;&gt;"S","",IF(AND(ACOMPANHAMENTO="PLE",AUTOEVENTO="Manual",OR(H26&gt;0,ORÇAMENTO!AC26="QUANT."),OR(K26="",M26=0,N26="")),"►",IF(AND(ACOMPANHAMENTO="PLE",ORÇAMENTO!AC26="QUANT."),"►►",IF(AND(COUNTIF($P$11:$AA$11,"▼")=0,H26&gt;0,I26=""),"◄",""))))</f>
        <v>◄</v>
      </c>
      <c r="K26" s="350"/>
      <c r="L26" s="351" t="s">
        <v>807</v>
      </c>
      <c r="M26" s="352" t="n">
        <f aca="true">IF($D26&lt;&gt;"Serviço","",
          IF(AUTOEVENTO="manual",$A26,
                IF(ISERROR(MATCH($A26,$A$15:OFFSET($A26,-1,0),0)),MAX($M$15:OFFSET(M26,-1,0))+1,
                      INDEX($M$15:OFFSET(M26,-1,0),MATCH($A26,$A$15:OFFSET($A26,-1,0),0)))))</f>
        <v>3</v>
      </c>
      <c r="N26" s="353" t="str">
        <f aca="true">IF($D26&lt;&gt;"Serviço","",
         IF(AUTOEVENTO="Manual",
                IF($A26=0,"&lt;-- defina o número do agrupador",
                       OFFSET(EVENTOS!$D$15,$A26-$A$15,0)),
                OFFSET($F$15,$A26,0)))</f>
        <v>REFORMA DO TELHADO - PARTE B</v>
      </c>
      <c r="O26" s="354"/>
      <c r="Q26" s="354"/>
      <c r="R26" s="355"/>
      <c r="S26" s="355"/>
      <c r="T26" s="355"/>
      <c r="U26" s="355"/>
      <c r="V26" s="355"/>
      <c r="W26" s="355"/>
      <c r="X26" s="355"/>
      <c r="Y26" s="355"/>
      <c r="Z26" s="356"/>
      <c r="AB26" s="357" t="n">
        <f aca="true">IF(AND($D26="Serviço",AB$12&lt;&gt;0,$H26&gt;0,OR(AUTOEVENTO&lt;&gt;"manual",$M26&lt;&gt;$A$15)),
        IF(Import.TipoArredondamento&lt;&gt;"TransfereGOV",
              ROUND(OFFSET($P26,0,AB$13),15-13*ORÇAMENTO!$AF$7)/$H26*OFFSET(ORÇAMENTO!$X$15,ROW(AB26)-ROW(AB$15),0),
              ROUND(ROUND(OFFSET($P26,0,AB$13),15-13*ORÇAMENTO!$AF$7)*OFFSET(ORÇAMENTO!$W$15,ROW(AB26)-ROW(AB$15),0),15-13*ORÇAMENTO!$AF$11)),
         0)</f>
        <v>0</v>
      </c>
      <c r="AC26" s="357" t="n">
        <f aca="true">IF(AND($D26="Serviço",AC$12&lt;&gt;0,$H26&gt;0,OR(AUTOEVENTO&lt;&gt;"manual",$M26&lt;&gt;$A$15)),
        IF(Import.TipoArredondamento&lt;&gt;"TransfereGOV",
              ROUND(OFFSET($P26,0,AC$13),15-13*ORÇAMENTO!$AF$7)/$H26*OFFSET(ORÇAMENTO!$X$15,ROW(AC26)-ROW(AC$15),0),
              ROUND(ROUND(OFFSET($P26,0,AC$13),15-13*ORÇAMENTO!$AF$7)*OFFSET(ORÇAMENTO!$W$15,ROW(AC26)-ROW(AC$15),0),15-13*ORÇAMENTO!$AF$11)),
         0)</f>
        <v>0</v>
      </c>
      <c r="AD26" s="357" t="n">
        <f aca="true">IF(AND($D26="Serviço",AD$12&lt;&gt;0,$H26&gt;0,OR(AUTOEVENTO&lt;&gt;"manual",$M26&lt;&gt;$A$15)),
        IF(Import.TipoArredondamento&lt;&gt;"TransfereGOV",
              ROUND(OFFSET($P26,0,AD$13),15-13*ORÇAMENTO!$AF$7)/$H26*OFFSET(ORÇAMENTO!$X$15,ROW(AD26)-ROW(AD$15),0),
              ROUND(ROUND(OFFSET($P26,0,AD$13),15-13*ORÇAMENTO!$AF$7)*OFFSET(ORÇAMENTO!$W$15,ROW(AD26)-ROW(AD$15),0),15-13*ORÇAMENTO!$AF$11)),
         0)</f>
        <v>0</v>
      </c>
      <c r="AE26" s="357" t="n">
        <f aca="true">IF(AND($D26="Serviço",AE$12&lt;&gt;0,$H26&gt;0,OR(AUTOEVENTO&lt;&gt;"manual",$M26&lt;&gt;$A$15)),
        IF(Import.TipoArredondamento&lt;&gt;"TransfereGOV",
              ROUND(OFFSET($P26,0,AE$13),15-13*ORÇAMENTO!$AF$7)/$H26*OFFSET(ORÇAMENTO!$X$15,ROW(AE26)-ROW(AE$15),0),
              ROUND(ROUND(OFFSET($P26,0,AE$13),15-13*ORÇAMENTO!$AF$7)*OFFSET(ORÇAMENTO!$W$15,ROW(AE26)-ROW(AE$15),0),15-13*ORÇAMENTO!$AF$11)),
         0)</f>
        <v>0</v>
      </c>
      <c r="AF26" s="357" t="n">
        <f aca="true">IF(AND($D26="Serviço",AF$12&lt;&gt;0,$H26&gt;0,OR(AUTOEVENTO&lt;&gt;"manual",$M26&lt;&gt;$A$15)),
        IF(Import.TipoArredondamento&lt;&gt;"TransfereGOV",
              ROUND(OFFSET($P26,0,AF$13),15-13*ORÇAMENTO!$AF$7)/$H26*OFFSET(ORÇAMENTO!$X$15,ROW(AF26)-ROW(AF$15),0),
              ROUND(ROUND(OFFSET($P26,0,AF$13),15-13*ORÇAMENTO!$AF$7)*OFFSET(ORÇAMENTO!$W$15,ROW(AF26)-ROW(AF$15),0),15-13*ORÇAMENTO!$AF$11)),
         0)</f>
        <v>0</v>
      </c>
      <c r="AG26" s="357" t="n">
        <f aca="true">IF(AND($D26="Serviço",AG$12&lt;&gt;0,$H26&gt;0,OR(AUTOEVENTO&lt;&gt;"manual",$M26&lt;&gt;$A$15)),
        IF(Import.TipoArredondamento&lt;&gt;"TransfereGOV",
              ROUND(OFFSET($P26,0,AG$13),15-13*ORÇAMENTO!$AF$7)/$H26*OFFSET(ORÇAMENTO!$X$15,ROW(AG26)-ROW(AG$15),0),
              ROUND(ROUND(OFFSET($P26,0,AG$13),15-13*ORÇAMENTO!$AF$7)*OFFSET(ORÇAMENTO!$W$15,ROW(AG26)-ROW(AG$15),0),15-13*ORÇAMENTO!$AF$11)),
         0)</f>
        <v>0</v>
      </c>
      <c r="AH26" s="357" t="n">
        <f aca="true">IF(AND($D26="Serviço",AH$12&lt;&gt;0,$H26&gt;0,OR(AUTOEVENTO&lt;&gt;"manual",$M26&lt;&gt;$A$15)),
        IF(Import.TipoArredondamento&lt;&gt;"TransfereGOV",
              ROUND(OFFSET($P26,0,AH$13),15-13*ORÇAMENTO!$AF$7)/$H26*OFFSET(ORÇAMENTO!$X$15,ROW(AH26)-ROW(AH$15),0),
              ROUND(ROUND(OFFSET($P26,0,AH$13),15-13*ORÇAMENTO!$AF$7)*OFFSET(ORÇAMENTO!$W$15,ROW(AH26)-ROW(AH$15),0),15-13*ORÇAMENTO!$AF$11)),
         0)</f>
        <v>0</v>
      </c>
      <c r="AI26" s="357" t="n">
        <f aca="true">IF(AND($D26="Serviço",AI$12&lt;&gt;0,$H26&gt;0,OR(AUTOEVENTO&lt;&gt;"manual",$M26&lt;&gt;$A$15)),
        IF(Import.TipoArredondamento&lt;&gt;"TransfereGOV",
              ROUND(OFFSET($P26,0,AI$13),15-13*ORÇAMENTO!$AF$7)/$H26*OFFSET(ORÇAMENTO!$X$15,ROW(AI26)-ROW(AI$15),0),
              ROUND(ROUND(OFFSET($P26,0,AI$13),15-13*ORÇAMENTO!$AF$7)*OFFSET(ORÇAMENTO!$W$15,ROW(AI26)-ROW(AI$15),0),15-13*ORÇAMENTO!$AF$11)),
         0)</f>
        <v>0</v>
      </c>
      <c r="AJ26" s="357" t="n">
        <f aca="true">IF(AND($D26="Serviço",AJ$12&lt;&gt;0,$H26&gt;0,OR(AUTOEVENTO&lt;&gt;"manual",$M26&lt;&gt;$A$15)),
        IF(Import.TipoArredondamento&lt;&gt;"TransfereGOV",
              ROUND(OFFSET($P26,0,AJ$13),15-13*ORÇAMENTO!$AF$7)/$H26*OFFSET(ORÇAMENTO!$X$15,ROW(AJ26)-ROW(AJ$15),0),
              ROUND(ROUND(OFFSET($P26,0,AJ$13),15-13*ORÇAMENTO!$AF$7)*OFFSET(ORÇAMENTO!$W$15,ROW(AJ26)-ROW(AJ$15),0),15-13*ORÇAMENTO!$AF$11)),
         0)</f>
        <v>0</v>
      </c>
      <c r="AK26" s="357" t="n">
        <f aca="true">IF(AND($D26="Serviço",AK$12&lt;&gt;0,$H26&gt;0,OR(AUTOEVENTO&lt;&gt;"manual",$M26&lt;&gt;$A$15)),
        IF(Import.TipoArredondamento&lt;&gt;"TransfereGOV",
              ROUND(OFFSET($P26,0,AK$13),15-13*ORÇAMENTO!$AF$7)/$H26*OFFSET(ORÇAMENTO!$X$15,ROW(AK26)-ROW(AK$15),0),
              ROUND(ROUND(OFFSET($P26,0,AK$13),15-13*ORÇAMENTO!$AF$7)*OFFSET(ORÇAMENTO!$W$15,ROW(AK26)-ROW(AK$15),0),15-13*ORÇAMENTO!$AF$11)),
         0)</f>
        <v>0</v>
      </c>
      <c r="AM26" s="358" t="n">
        <f aca="true">IF(OR($D26&lt;&gt;"Serviço",AND(AUTOEVENTO="Manual",$M26=$A$15)),0,
         IF(OFFSET(CRONOPLE!$F$15,$M26-$A$15,AM$13)="",10^12,OFFSET(CRONOPLE!$F$15,$M26-$A$15,AM$13)))</f>
        <v>1000000000000</v>
      </c>
      <c r="AN26" s="358" t="n">
        <f aca="true">IF(OR($D26&lt;&gt;"Serviço",AND(AUTOEVENTO="Manual",$M26=$A$15)),0,
         IF(OFFSET(CRONOPLE!$F$15,$M26-$A$15,AN$13)="",10^12,OFFSET(CRONOPLE!$F$15,$M26-$A$15,AN$13)))</f>
        <v>1000000000000</v>
      </c>
      <c r="AO26" s="358" t="n">
        <f aca="true">IF(OR($D26&lt;&gt;"Serviço",AND(AUTOEVENTO="Manual",$M26=$A$15)),0,
         IF(OFFSET(CRONOPLE!$F$15,$M26-$A$15,AO$13)="",10^12,OFFSET(CRONOPLE!$F$15,$M26-$A$15,AO$13)))</f>
        <v>1000000000000</v>
      </c>
      <c r="AP26" s="358" t="n">
        <f aca="true">IF(OR($D26&lt;&gt;"Serviço",AND(AUTOEVENTO="Manual",$M26=$A$15)),0,
         IF(OFFSET(CRONOPLE!$F$15,$M26-$A$15,AP$13)="",10^12,OFFSET(CRONOPLE!$F$15,$M26-$A$15,AP$13)))</f>
        <v>1000000000000</v>
      </c>
      <c r="AQ26" s="358" t="n">
        <f aca="true">IF(OR($D26&lt;&gt;"Serviço",AND(AUTOEVENTO="Manual",$M26=$A$15)),0,
         IF(OFFSET(CRONOPLE!$F$15,$M26-$A$15,AQ$13)="",10^12,OFFSET(CRONOPLE!$F$15,$M26-$A$15,AQ$13)))</f>
        <v>1000000000000</v>
      </c>
      <c r="AR26" s="358" t="n">
        <f aca="true">IF(OR($D26&lt;&gt;"Serviço",AND(AUTOEVENTO="Manual",$M26=$A$15)),0,
         IF(OFFSET(CRONOPLE!$F$15,$M26-$A$15,AR$13)="",10^12,OFFSET(CRONOPLE!$F$15,$M26-$A$15,AR$13)))</f>
        <v>1000000000000</v>
      </c>
      <c r="AS26" s="358" t="n">
        <f aca="true">IF(OR($D26&lt;&gt;"Serviço",AND(AUTOEVENTO="Manual",$M26=$A$15)),0,
         IF(OFFSET(CRONOPLE!$F$15,$M26-$A$15,AS$13)="",10^12,OFFSET(CRONOPLE!$F$15,$M26-$A$15,AS$13)))</f>
        <v>1000000000000</v>
      </c>
      <c r="AT26" s="358" t="n">
        <f aca="true">IF(OR($D26&lt;&gt;"Serviço",AND(AUTOEVENTO="Manual",$M26=$A$15)),0,
         IF(OFFSET(CRONOPLE!$F$15,$M26-$A$15,AT$13)="",10^12,OFFSET(CRONOPLE!$F$15,$M26-$A$15,AT$13)))</f>
        <v>1000000000000</v>
      </c>
      <c r="AU26" s="358" t="n">
        <f aca="true">IF(OR($D26&lt;&gt;"Serviço",AND(AUTOEVENTO="Manual",$M26=$A$15)),0,
         IF(OFFSET(CRONOPLE!$F$15,$M26-$A$15,AU$13)="",10^12,OFFSET(CRONOPLE!$F$15,$M26-$A$15,AU$13)))</f>
        <v>1000000000000</v>
      </c>
      <c r="AV26" s="358" t="n">
        <f aca="true">IF(OR($D26&lt;&gt;"Serviço",AND(AUTOEVENTO="Manual",$M26=$A$15)),0,
         IF(OFFSET(CRONOPLE!$F$15,$M26-$A$15,AV$13)="",10^12,OFFSET(CRONOPLE!$F$15,$M26-$A$15,AV$13)))</f>
        <v>1000000000000</v>
      </c>
      <c r="AX26" s="359" t="n">
        <f aca="true">IF(OR($D26&lt;&gt;"Serviço",AND(AUTOEVENTO="Manual",$M26=$A$15),$M26&gt;(ROW(PLE.lastrow)-ROW(PLE.firstrow))),0,
           IF(OFFSET(PLE!$G$15,$M26-$A$15,AX$13)="",10^12,OFFSET(PLE!$G$15,$M26-$A$15,AX$13)))</f>
        <v>1000000000000</v>
      </c>
      <c r="AY26" s="359" t="n">
        <f aca="true">IF(OR($D26&lt;&gt;"Serviço",AND(AUTOEVENTO="Manual",$M26=$A$15),$M26&gt;(ROW(PLE.lastrow)-ROW(PLE.firstrow))),0,
           IF(OFFSET(PLE!$G$15,$M26-$A$15,AY$13)="",10^12,OFFSET(PLE!$G$15,$M26-$A$15,AY$13)))</f>
        <v>1000000000000</v>
      </c>
      <c r="AZ26" s="359" t="n">
        <f aca="true">IF(OR($D26&lt;&gt;"Serviço",AND(AUTOEVENTO="Manual",$M26=$A$15),$M26&gt;(ROW(PLE.lastrow)-ROW(PLE.firstrow))),0,
           IF(OFFSET(PLE!$G$15,$M26-$A$15,AZ$13)="",10^12,OFFSET(PLE!$G$15,$M26-$A$15,AZ$13)))</f>
        <v>1000000000000</v>
      </c>
      <c r="BA26" s="359" t="n">
        <f aca="true">IF(OR($D26&lt;&gt;"Serviço",AND(AUTOEVENTO="Manual",$M26=$A$15),$M26&gt;(ROW(PLE.lastrow)-ROW(PLE.firstrow))),0,
           IF(OFFSET(PLE!$G$15,$M26-$A$15,BA$13)="",10^12,OFFSET(PLE!$G$15,$M26-$A$15,BA$13)))</f>
        <v>1000000000000</v>
      </c>
      <c r="BB26" s="359" t="n">
        <f aca="true">IF(OR($D26&lt;&gt;"Serviço",AND(AUTOEVENTO="Manual",$M26=$A$15),$M26&gt;(ROW(PLE.lastrow)-ROW(PLE.firstrow))),0,
           IF(OFFSET(PLE!$G$15,$M26-$A$15,BB$13)="",10^12,OFFSET(PLE!$G$15,$M26-$A$15,BB$13)))</f>
        <v>1000000000000</v>
      </c>
      <c r="BC26" s="359" t="n">
        <f aca="true">IF(OR($D26&lt;&gt;"Serviço",AND(AUTOEVENTO="Manual",$M26=$A$15),$M26&gt;(ROW(PLE.lastrow)-ROW(PLE.firstrow))),0,
           IF(OFFSET(PLE!$G$15,$M26-$A$15,BC$13)="",10^12,OFFSET(PLE!$G$15,$M26-$A$15,BC$13)))</f>
        <v>1000000000000</v>
      </c>
      <c r="BD26" s="359" t="n">
        <f aca="true">IF(OR($D26&lt;&gt;"Serviço",AND(AUTOEVENTO="Manual",$M26=$A$15),$M26&gt;(ROW(PLE.lastrow)-ROW(PLE.firstrow))),0,
           IF(OFFSET(PLE!$G$15,$M26-$A$15,BD$13)="",10^12,OFFSET(PLE!$G$15,$M26-$A$15,BD$13)))</f>
        <v>1000000000000</v>
      </c>
      <c r="BE26" s="359" t="n">
        <f aca="true">IF(OR($D26&lt;&gt;"Serviço",AND(AUTOEVENTO="Manual",$M26=$A$15),$M26&gt;(ROW(PLE.lastrow)-ROW(PLE.firstrow))),0,
           IF(OFFSET(PLE!$G$15,$M26-$A$15,BE$13)="",10^12,OFFSET(PLE!$G$15,$M26-$A$15,BE$13)))</f>
        <v>1000000000000</v>
      </c>
      <c r="BF26" s="359" t="n">
        <f aca="true">IF(OR($D26&lt;&gt;"Serviço",AND(AUTOEVENTO="Manual",$M26=$A$15),$M26&gt;(ROW(PLE.lastrow)-ROW(PLE.firstrow))),0,
           IF(OFFSET(PLE!$G$15,$M26-$A$15,BF$13)="",10^12,OFFSET(PLE!$G$15,$M26-$A$15,BF$13)))</f>
        <v>1000000000000</v>
      </c>
      <c r="BG26" s="359" t="n">
        <f aca="true">IF(OR($D26&lt;&gt;"Serviço",AND(AUTOEVENTO="Manual",$M26=$A$15),$M26&gt;(ROW(PLE.lastrow)-ROW(PLE.firstrow))),0,
           IF(OFFSET(PLE!$G$15,$M26-$A$15,BG$13)="",10^12,OFFSET(PLE!$G$15,$M26-$A$15,BG$13)))</f>
        <v>1000000000000</v>
      </c>
    </row>
    <row r="27" s="1" customFormat="true" ht="38.25" hidden="false" customHeight="false" outlineLevel="0" collapsed="false">
      <c r="A27" s="49" t="str">
        <f aca="true">IF(AUTOEVENTO="Manual",IF(K27&lt;&gt;"",MIN(VALUE(LEFT(K27,FIND(".",K27)-1)),COUNTA(EVENTOS.Lista)),0),IF(OR($B27&gt;AUTOEVENTO,$B27="S",$B27=0),SUBSTITUTE(OFFSET($A27,-1,0),IF($D27="Serviço",".",""),""),ROW(A27)-ROW($A$15)&amp;"."))</f>
        <v>8</v>
      </c>
      <c r="B27" s="49" t="str">
        <f aca="true">OFFSET(ORÇAMENTO!C$15,ROW(B27)-ROW(B$15),0)</f>
        <v>S</v>
      </c>
      <c r="C27" s="49" t="str">
        <f aca="true">OFFSET(ORÇAMENTO!L$15,ROW(C27)-ROW(C$15),0)</f>
        <v/>
      </c>
      <c r="D27" s="201" t="str">
        <f aca="true">OFFSET(ORÇAMENTO!N$15,ROW(D27)-ROW(D$15),0)</f>
        <v>Serviço</v>
      </c>
      <c r="E27" s="202" t="str">
        <f aca="true">OFFSET(ORÇAMENTO!O$15,ROW(E27)-ROW(E$15),0)</f>
        <v>-</v>
      </c>
      <c r="F27" s="346" t="str">
        <f aca="true">OFFSET(ORÇAMENTO!R$15,ROW(F27)-ROW(F$15),0)</f>
        <v>(abra o arquivo 'Referência 09-2025.xlsm)</v>
      </c>
      <c r="G27" s="347" t="str">
        <f aca="true">IF($D27&lt;&gt;"Serviço","",OFFSET(ORÇAMENTO!S$15,ROW(G27)-ROW(G$15),0))</f>
        <v>-</v>
      </c>
      <c r="H27" s="207" t="n">
        <f aca="true">IF($D27&lt;&gt;"Serviço",0,IF(ACOMPANHAMENTO="BM",ROUND(OFFSET(ORÇAMENTO!AJ$15,ROW(H27)-ROW(H$15),0),15-13*ORÇAMENTO!$AF$7),SUMPRODUCT(($Q$1:$AA$1=1)*ROUND($Q27:$AA27,15-13*ORÇAMENTO!$AF$7))))</f>
        <v>146.744</v>
      </c>
      <c r="I27" s="348"/>
      <c r="J27" s="349" t="str">
        <f aca="false" t="array" ref="J27:J27">IF(B27&lt;&gt;"S","",IF(AND(ACOMPANHAMENTO="PLE",AUTOEVENTO="Manual",OR(H27&gt;0,ORÇAMENTO!AC27="QUANT."),OR(K27="",M27=0,N27="")),"►",IF(AND(ACOMPANHAMENTO="PLE",ORÇAMENTO!AC27="QUANT."),"►►",IF(AND(COUNTIF($P$11:$AA$11,"▼")=0,H27&gt;0,I27=""),"◄",""))))</f>
        <v>◄</v>
      </c>
      <c r="K27" s="350"/>
      <c r="L27" s="351" t="s">
        <v>807</v>
      </c>
      <c r="M27" s="352" t="n">
        <f aca="true">IF($D27&lt;&gt;"Serviço","",
          IF(AUTOEVENTO="manual",$A27,
                IF(ISERROR(MATCH($A27,$A$15:OFFSET($A27,-1,0),0)),MAX($M$15:OFFSET(M27,-1,0))+1,
                      INDEX($M$15:OFFSET(M27,-1,0),MATCH($A27,$A$15:OFFSET($A27,-1,0),0)))))</f>
        <v>3</v>
      </c>
      <c r="N27" s="353" t="str">
        <f aca="true">IF($D27&lt;&gt;"Serviço","",
         IF(AUTOEVENTO="Manual",
                IF($A27=0,"&lt;-- defina o número do agrupador",
                       OFFSET(EVENTOS!$D$15,$A27-$A$15,0)),
                OFFSET($F$15,$A27,0)))</f>
        <v>REFORMA DO TELHADO - PARTE B</v>
      </c>
      <c r="O27" s="354"/>
      <c r="Q27" s="354"/>
      <c r="R27" s="355"/>
      <c r="S27" s="355"/>
      <c r="T27" s="355"/>
      <c r="U27" s="355"/>
      <c r="V27" s="355"/>
      <c r="W27" s="355"/>
      <c r="X27" s="355"/>
      <c r="Y27" s="355"/>
      <c r="Z27" s="356"/>
      <c r="AB27" s="357" t="n">
        <f aca="true">IF(AND($D27="Serviço",AB$12&lt;&gt;0,$H27&gt;0,OR(AUTOEVENTO&lt;&gt;"manual",$M27&lt;&gt;$A$15)),
        IF(Import.TipoArredondamento&lt;&gt;"TransfereGOV",
              ROUND(OFFSET($P27,0,AB$13),15-13*ORÇAMENTO!$AF$7)/$H27*OFFSET(ORÇAMENTO!$X$15,ROW(AB27)-ROW(AB$15),0),
              ROUND(ROUND(OFFSET($P27,0,AB$13),15-13*ORÇAMENTO!$AF$7)*OFFSET(ORÇAMENTO!$W$15,ROW(AB27)-ROW(AB$15),0),15-13*ORÇAMENTO!$AF$11)),
         0)</f>
        <v>0</v>
      </c>
      <c r="AC27" s="357" t="n">
        <f aca="true">IF(AND($D27="Serviço",AC$12&lt;&gt;0,$H27&gt;0,OR(AUTOEVENTO&lt;&gt;"manual",$M27&lt;&gt;$A$15)),
        IF(Import.TipoArredondamento&lt;&gt;"TransfereGOV",
              ROUND(OFFSET($P27,0,AC$13),15-13*ORÇAMENTO!$AF$7)/$H27*OFFSET(ORÇAMENTO!$X$15,ROW(AC27)-ROW(AC$15),0),
              ROUND(ROUND(OFFSET($P27,0,AC$13),15-13*ORÇAMENTO!$AF$7)*OFFSET(ORÇAMENTO!$W$15,ROW(AC27)-ROW(AC$15),0),15-13*ORÇAMENTO!$AF$11)),
         0)</f>
        <v>0</v>
      </c>
      <c r="AD27" s="357" t="n">
        <f aca="true">IF(AND($D27="Serviço",AD$12&lt;&gt;0,$H27&gt;0,OR(AUTOEVENTO&lt;&gt;"manual",$M27&lt;&gt;$A$15)),
        IF(Import.TipoArredondamento&lt;&gt;"TransfereGOV",
              ROUND(OFFSET($P27,0,AD$13),15-13*ORÇAMENTO!$AF$7)/$H27*OFFSET(ORÇAMENTO!$X$15,ROW(AD27)-ROW(AD$15),0),
              ROUND(ROUND(OFFSET($P27,0,AD$13),15-13*ORÇAMENTO!$AF$7)*OFFSET(ORÇAMENTO!$W$15,ROW(AD27)-ROW(AD$15),0),15-13*ORÇAMENTO!$AF$11)),
         0)</f>
        <v>0</v>
      </c>
      <c r="AE27" s="357" t="n">
        <f aca="true">IF(AND($D27="Serviço",AE$12&lt;&gt;0,$H27&gt;0,OR(AUTOEVENTO&lt;&gt;"manual",$M27&lt;&gt;$A$15)),
        IF(Import.TipoArredondamento&lt;&gt;"TransfereGOV",
              ROUND(OFFSET($P27,0,AE$13),15-13*ORÇAMENTO!$AF$7)/$H27*OFFSET(ORÇAMENTO!$X$15,ROW(AE27)-ROW(AE$15),0),
              ROUND(ROUND(OFFSET($P27,0,AE$13),15-13*ORÇAMENTO!$AF$7)*OFFSET(ORÇAMENTO!$W$15,ROW(AE27)-ROW(AE$15),0),15-13*ORÇAMENTO!$AF$11)),
         0)</f>
        <v>0</v>
      </c>
      <c r="AF27" s="357" t="n">
        <f aca="true">IF(AND($D27="Serviço",AF$12&lt;&gt;0,$H27&gt;0,OR(AUTOEVENTO&lt;&gt;"manual",$M27&lt;&gt;$A$15)),
        IF(Import.TipoArredondamento&lt;&gt;"TransfereGOV",
              ROUND(OFFSET($P27,0,AF$13),15-13*ORÇAMENTO!$AF$7)/$H27*OFFSET(ORÇAMENTO!$X$15,ROW(AF27)-ROW(AF$15),0),
              ROUND(ROUND(OFFSET($P27,0,AF$13),15-13*ORÇAMENTO!$AF$7)*OFFSET(ORÇAMENTO!$W$15,ROW(AF27)-ROW(AF$15),0),15-13*ORÇAMENTO!$AF$11)),
         0)</f>
        <v>0</v>
      </c>
      <c r="AG27" s="357" t="n">
        <f aca="true">IF(AND($D27="Serviço",AG$12&lt;&gt;0,$H27&gt;0,OR(AUTOEVENTO&lt;&gt;"manual",$M27&lt;&gt;$A$15)),
        IF(Import.TipoArredondamento&lt;&gt;"TransfereGOV",
              ROUND(OFFSET($P27,0,AG$13),15-13*ORÇAMENTO!$AF$7)/$H27*OFFSET(ORÇAMENTO!$X$15,ROW(AG27)-ROW(AG$15),0),
              ROUND(ROUND(OFFSET($P27,0,AG$13),15-13*ORÇAMENTO!$AF$7)*OFFSET(ORÇAMENTO!$W$15,ROW(AG27)-ROW(AG$15),0),15-13*ORÇAMENTO!$AF$11)),
         0)</f>
        <v>0</v>
      </c>
      <c r="AH27" s="357" t="n">
        <f aca="true">IF(AND($D27="Serviço",AH$12&lt;&gt;0,$H27&gt;0,OR(AUTOEVENTO&lt;&gt;"manual",$M27&lt;&gt;$A$15)),
        IF(Import.TipoArredondamento&lt;&gt;"TransfereGOV",
              ROUND(OFFSET($P27,0,AH$13),15-13*ORÇAMENTO!$AF$7)/$H27*OFFSET(ORÇAMENTO!$X$15,ROW(AH27)-ROW(AH$15),0),
              ROUND(ROUND(OFFSET($P27,0,AH$13),15-13*ORÇAMENTO!$AF$7)*OFFSET(ORÇAMENTO!$W$15,ROW(AH27)-ROW(AH$15),0),15-13*ORÇAMENTO!$AF$11)),
         0)</f>
        <v>0</v>
      </c>
      <c r="AI27" s="357" t="n">
        <f aca="true">IF(AND($D27="Serviço",AI$12&lt;&gt;0,$H27&gt;0,OR(AUTOEVENTO&lt;&gt;"manual",$M27&lt;&gt;$A$15)),
        IF(Import.TipoArredondamento&lt;&gt;"TransfereGOV",
              ROUND(OFFSET($P27,0,AI$13),15-13*ORÇAMENTO!$AF$7)/$H27*OFFSET(ORÇAMENTO!$X$15,ROW(AI27)-ROW(AI$15),0),
              ROUND(ROUND(OFFSET($P27,0,AI$13),15-13*ORÇAMENTO!$AF$7)*OFFSET(ORÇAMENTO!$W$15,ROW(AI27)-ROW(AI$15),0),15-13*ORÇAMENTO!$AF$11)),
         0)</f>
        <v>0</v>
      </c>
      <c r="AJ27" s="357" t="n">
        <f aca="true">IF(AND($D27="Serviço",AJ$12&lt;&gt;0,$H27&gt;0,OR(AUTOEVENTO&lt;&gt;"manual",$M27&lt;&gt;$A$15)),
        IF(Import.TipoArredondamento&lt;&gt;"TransfereGOV",
              ROUND(OFFSET($P27,0,AJ$13),15-13*ORÇAMENTO!$AF$7)/$H27*OFFSET(ORÇAMENTO!$X$15,ROW(AJ27)-ROW(AJ$15),0),
              ROUND(ROUND(OFFSET($P27,0,AJ$13),15-13*ORÇAMENTO!$AF$7)*OFFSET(ORÇAMENTO!$W$15,ROW(AJ27)-ROW(AJ$15),0),15-13*ORÇAMENTO!$AF$11)),
         0)</f>
        <v>0</v>
      </c>
      <c r="AK27" s="357" t="n">
        <f aca="true">IF(AND($D27="Serviço",AK$12&lt;&gt;0,$H27&gt;0,OR(AUTOEVENTO&lt;&gt;"manual",$M27&lt;&gt;$A$15)),
        IF(Import.TipoArredondamento&lt;&gt;"TransfereGOV",
              ROUND(OFFSET($P27,0,AK$13),15-13*ORÇAMENTO!$AF$7)/$H27*OFFSET(ORÇAMENTO!$X$15,ROW(AK27)-ROW(AK$15),0),
              ROUND(ROUND(OFFSET($P27,0,AK$13),15-13*ORÇAMENTO!$AF$7)*OFFSET(ORÇAMENTO!$W$15,ROW(AK27)-ROW(AK$15),0),15-13*ORÇAMENTO!$AF$11)),
         0)</f>
        <v>0</v>
      </c>
      <c r="AM27" s="358" t="n">
        <f aca="true">IF(OR($D27&lt;&gt;"Serviço",AND(AUTOEVENTO="Manual",$M27=$A$15)),0,
         IF(OFFSET(CRONOPLE!$F$15,$M27-$A$15,AM$13)="",10^12,OFFSET(CRONOPLE!$F$15,$M27-$A$15,AM$13)))</f>
        <v>1000000000000</v>
      </c>
      <c r="AN27" s="358" t="n">
        <f aca="true">IF(OR($D27&lt;&gt;"Serviço",AND(AUTOEVENTO="Manual",$M27=$A$15)),0,
         IF(OFFSET(CRONOPLE!$F$15,$M27-$A$15,AN$13)="",10^12,OFFSET(CRONOPLE!$F$15,$M27-$A$15,AN$13)))</f>
        <v>1000000000000</v>
      </c>
      <c r="AO27" s="358" t="n">
        <f aca="true">IF(OR($D27&lt;&gt;"Serviço",AND(AUTOEVENTO="Manual",$M27=$A$15)),0,
         IF(OFFSET(CRONOPLE!$F$15,$M27-$A$15,AO$13)="",10^12,OFFSET(CRONOPLE!$F$15,$M27-$A$15,AO$13)))</f>
        <v>1000000000000</v>
      </c>
      <c r="AP27" s="358" t="n">
        <f aca="true">IF(OR($D27&lt;&gt;"Serviço",AND(AUTOEVENTO="Manual",$M27=$A$15)),0,
         IF(OFFSET(CRONOPLE!$F$15,$M27-$A$15,AP$13)="",10^12,OFFSET(CRONOPLE!$F$15,$M27-$A$15,AP$13)))</f>
        <v>1000000000000</v>
      </c>
      <c r="AQ27" s="358" t="n">
        <f aca="true">IF(OR($D27&lt;&gt;"Serviço",AND(AUTOEVENTO="Manual",$M27=$A$15)),0,
         IF(OFFSET(CRONOPLE!$F$15,$M27-$A$15,AQ$13)="",10^12,OFFSET(CRONOPLE!$F$15,$M27-$A$15,AQ$13)))</f>
        <v>1000000000000</v>
      </c>
      <c r="AR27" s="358" t="n">
        <f aca="true">IF(OR($D27&lt;&gt;"Serviço",AND(AUTOEVENTO="Manual",$M27=$A$15)),0,
         IF(OFFSET(CRONOPLE!$F$15,$M27-$A$15,AR$13)="",10^12,OFFSET(CRONOPLE!$F$15,$M27-$A$15,AR$13)))</f>
        <v>1000000000000</v>
      </c>
      <c r="AS27" s="358" t="n">
        <f aca="true">IF(OR($D27&lt;&gt;"Serviço",AND(AUTOEVENTO="Manual",$M27=$A$15)),0,
         IF(OFFSET(CRONOPLE!$F$15,$M27-$A$15,AS$13)="",10^12,OFFSET(CRONOPLE!$F$15,$M27-$A$15,AS$13)))</f>
        <v>1000000000000</v>
      </c>
      <c r="AT27" s="358" t="n">
        <f aca="true">IF(OR($D27&lt;&gt;"Serviço",AND(AUTOEVENTO="Manual",$M27=$A$15)),0,
         IF(OFFSET(CRONOPLE!$F$15,$M27-$A$15,AT$13)="",10^12,OFFSET(CRONOPLE!$F$15,$M27-$A$15,AT$13)))</f>
        <v>1000000000000</v>
      </c>
      <c r="AU27" s="358" t="n">
        <f aca="true">IF(OR($D27&lt;&gt;"Serviço",AND(AUTOEVENTO="Manual",$M27=$A$15)),0,
         IF(OFFSET(CRONOPLE!$F$15,$M27-$A$15,AU$13)="",10^12,OFFSET(CRONOPLE!$F$15,$M27-$A$15,AU$13)))</f>
        <v>1000000000000</v>
      </c>
      <c r="AV27" s="358" t="n">
        <f aca="true">IF(OR($D27&lt;&gt;"Serviço",AND(AUTOEVENTO="Manual",$M27=$A$15)),0,
         IF(OFFSET(CRONOPLE!$F$15,$M27-$A$15,AV$13)="",10^12,OFFSET(CRONOPLE!$F$15,$M27-$A$15,AV$13)))</f>
        <v>1000000000000</v>
      </c>
      <c r="AX27" s="359" t="n">
        <f aca="true">IF(OR($D27&lt;&gt;"Serviço",AND(AUTOEVENTO="Manual",$M27=$A$15),$M27&gt;(ROW(PLE.lastrow)-ROW(PLE.firstrow))),0,
           IF(OFFSET(PLE!$G$15,$M27-$A$15,AX$13)="",10^12,OFFSET(PLE!$G$15,$M27-$A$15,AX$13)))</f>
        <v>1000000000000</v>
      </c>
      <c r="AY27" s="359" t="n">
        <f aca="true">IF(OR($D27&lt;&gt;"Serviço",AND(AUTOEVENTO="Manual",$M27=$A$15),$M27&gt;(ROW(PLE.lastrow)-ROW(PLE.firstrow))),0,
           IF(OFFSET(PLE!$G$15,$M27-$A$15,AY$13)="",10^12,OFFSET(PLE!$G$15,$M27-$A$15,AY$13)))</f>
        <v>1000000000000</v>
      </c>
      <c r="AZ27" s="359" t="n">
        <f aca="true">IF(OR($D27&lt;&gt;"Serviço",AND(AUTOEVENTO="Manual",$M27=$A$15),$M27&gt;(ROW(PLE.lastrow)-ROW(PLE.firstrow))),0,
           IF(OFFSET(PLE!$G$15,$M27-$A$15,AZ$13)="",10^12,OFFSET(PLE!$G$15,$M27-$A$15,AZ$13)))</f>
        <v>1000000000000</v>
      </c>
      <c r="BA27" s="359" t="n">
        <f aca="true">IF(OR($D27&lt;&gt;"Serviço",AND(AUTOEVENTO="Manual",$M27=$A$15),$M27&gt;(ROW(PLE.lastrow)-ROW(PLE.firstrow))),0,
           IF(OFFSET(PLE!$G$15,$M27-$A$15,BA$13)="",10^12,OFFSET(PLE!$G$15,$M27-$A$15,BA$13)))</f>
        <v>1000000000000</v>
      </c>
      <c r="BB27" s="359" t="n">
        <f aca="true">IF(OR($D27&lt;&gt;"Serviço",AND(AUTOEVENTO="Manual",$M27=$A$15),$M27&gt;(ROW(PLE.lastrow)-ROW(PLE.firstrow))),0,
           IF(OFFSET(PLE!$G$15,$M27-$A$15,BB$13)="",10^12,OFFSET(PLE!$G$15,$M27-$A$15,BB$13)))</f>
        <v>1000000000000</v>
      </c>
      <c r="BC27" s="359" t="n">
        <f aca="true">IF(OR($D27&lt;&gt;"Serviço",AND(AUTOEVENTO="Manual",$M27=$A$15),$M27&gt;(ROW(PLE.lastrow)-ROW(PLE.firstrow))),0,
           IF(OFFSET(PLE!$G$15,$M27-$A$15,BC$13)="",10^12,OFFSET(PLE!$G$15,$M27-$A$15,BC$13)))</f>
        <v>1000000000000</v>
      </c>
      <c r="BD27" s="359" t="n">
        <f aca="true">IF(OR($D27&lt;&gt;"Serviço",AND(AUTOEVENTO="Manual",$M27=$A$15),$M27&gt;(ROW(PLE.lastrow)-ROW(PLE.firstrow))),0,
           IF(OFFSET(PLE!$G$15,$M27-$A$15,BD$13)="",10^12,OFFSET(PLE!$G$15,$M27-$A$15,BD$13)))</f>
        <v>1000000000000</v>
      </c>
      <c r="BE27" s="359" t="n">
        <f aca="true">IF(OR($D27&lt;&gt;"Serviço",AND(AUTOEVENTO="Manual",$M27=$A$15),$M27&gt;(ROW(PLE.lastrow)-ROW(PLE.firstrow))),0,
           IF(OFFSET(PLE!$G$15,$M27-$A$15,BE$13)="",10^12,OFFSET(PLE!$G$15,$M27-$A$15,BE$13)))</f>
        <v>1000000000000</v>
      </c>
      <c r="BF27" s="359" t="n">
        <f aca="true">IF(OR($D27&lt;&gt;"Serviço",AND(AUTOEVENTO="Manual",$M27=$A$15),$M27&gt;(ROW(PLE.lastrow)-ROW(PLE.firstrow))),0,
           IF(OFFSET(PLE!$G$15,$M27-$A$15,BF$13)="",10^12,OFFSET(PLE!$G$15,$M27-$A$15,BF$13)))</f>
        <v>1000000000000</v>
      </c>
      <c r="BG27" s="359" t="n">
        <f aca="true">IF(OR($D27&lt;&gt;"Serviço",AND(AUTOEVENTO="Manual",$M27=$A$15),$M27&gt;(ROW(PLE.lastrow)-ROW(PLE.firstrow))),0,
           IF(OFFSET(PLE!$G$15,$M27-$A$15,BG$13)="",10^12,OFFSET(PLE!$G$15,$M27-$A$15,BG$13)))</f>
        <v>1000000000000</v>
      </c>
    </row>
    <row r="28" s="1" customFormat="true" ht="12.75" hidden="false" customHeight="false" outlineLevel="0" collapsed="false">
      <c r="A28" s="49" t="str">
        <f aca="true">IF(AUTOEVENTO="Manual",IF(K28&lt;&gt;"",MIN(VALUE(LEFT(K28,FIND(".",K28)-1)),COUNTA(EVENTOS.Lista)),0),IF(OR($B28&gt;AUTOEVENTO,$B28="S",$B28=0),SUBSTITUTE(OFFSET($A28,-1,0),IF($D28="Serviço",".",""),""),ROW(A28)-ROW($A$15)&amp;"."))</f>
        <v>8</v>
      </c>
      <c r="B28" s="49" t="n">
        <f aca="true">OFFSET(ORÇAMENTO!C$15,ROW(B28)-ROW(B$15),0)</f>
        <v>3</v>
      </c>
      <c r="C28" s="49" t="str">
        <f aca="true">OFFSET(ORÇAMENTO!L$15,ROW(C28)-ROW(C$15),0)</f>
        <v>F</v>
      </c>
      <c r="D28" s="201" t="str">
        <f aca="true">OFFSET(ORÇAMENTO!N$15,ROW(D28)-ROW(D$15),0)</f>
        <v>Nível 3</v>
      </c>
      <c r="E28" s="202" t="str">
        <f aca="true">OFFSET(ORÇAMENTO!O$15,ROW(E28)-ROW(E$15),0)</f>
        <v>1.3.2.</v>
      </c>
      <c r="F28" s="346" t="str">
        <f aca="true">OFFSET(ORÇAMENTO!R$15,ROW(F28)-ROW(F$15),0)</f>
        <v>Telhamento</v>
      </c>
      <c r="G28" s="347" t="str">
        <f aca="true">IF($D28&lt;&gt;"Serviço","",OFFSET(ORÇAMENTO!S$15,ROW(G28)-ROW(G$15),0))</f>
        <v/>
      </c>
      <c r="H28" s="207" t="n">
        <f aca="true">IF($D28&lt;&gt;"Serviço",0,IF(ACOMPANHAMENTO="BM",ROUND(OFFSET(ORÇAMENTO!AJ$15,ROW(H28)-ROW(H$15),0),15-13*ORÇAMENTO!$AF$7),SUMPRODUCT(($Q$1:$AA$1=1)*ROUND($Q28:$AA28,15-13*ORÇAMENTO!$AF$7))))</f>
        <v>0</v>
      </c>
      <c r="I28" s="348"/>
      <c r="J28" s="349" t="str">
        <f aca="false" t="array" ref="J28:J28">IF(B28&lt;&gt;"S","",IF(AND(ACOMPANHAMENTO="PLE",AUTOEVENTO="Manual",OR(H28&gt;0,ORÇAMENTO!AC28="QUANT."),OR(K28="",M28=0,N28="")),"►",IF(AND(ACOMPANHAMENTO="PLE",ORÇAMENTO!AC28="QUANT."),"►►",IF(AND(COUNTIF($P$11:$AA$11,"▼")=0,H28&gt;0,I28=""),"◄",""))))</f>
        <v/>
      </c>
      <c r="K28" s="350"/>
      <c r="L28" s="351" t="s">
        <v>807</v>
      </c>
      <c r="M28" s="352" t="str">
        <f aca="true">IF($D28&lt;&gt;"Serviço","",
          IF(AUTOEVENTO="manual",$A28,
                IF(ISERROR(MATCH($A28,$A$15:OFFSET($A28,-1,0),0)),MAX($M$15:OFFSET(M28,-1,0))+1,
                      INDEX($M$15:OFFSET(M28,-1,0),MATCH($A28,$A$15:OFFSET($A28,-1,0),0)))))</f>
        <v/>
      </c>
      <c r="N28" s="353" t="str">
        <f aca="true">IF($D28&lt;&gt;"Serviço","",
         IF(AUTOEVENTO="Manual",
                IF($A28=0,"&lt;-- defina o número do agrupador",
                       OFFSET(EVENTOS!$D$15,$A28-$A$15,0)),
                OFFSET($F$15,$A28,0)))</f>
        <v/>
      </c>
      <c r="O28" s="354"/>
      <c r="Q28" s="354"/>
      <c r="R28" s="355"/>
      <c r="S28" s="355"/>
      <c r="T28" s="355"/>
      <c r="U28" s="355"/>
      <c r="V28" s="355"/>
      <c r="W28" s="355"/>
      <c r="X28" s="355"/>
      <c r="Y28" s="355"/>
      <c r="Z28" s="356"/>
      <c r="AB28" s="357" t="n">
        <f aca="true">IF(AND($D28="Serviço",AB$12&lt;&gt;0,$H28&gt;0,OR(AUTOEVENTO&lt;&gt;"manual",$M28&lt;&gt;$A$15)),
        IF(Import.TipoArredondamento&lt;&gt;"TransfereGOV",
              ROUND(OFFSET($P28,0,AB$13),15-13*ORÇAMENTO!$AF$7)/$H28*OFFSET(ORÇAMENTO!$X$15,ROW(AB28)-ROW(AB$15),0),
              ROUND(ROUND(OFFSET($P28,0,AB$13),15-13*ORÇAMENTO!$AF$7)*OFFSET(ORÇAMENTO!$W$15,ROW(AB28)-ROW(AB$15),0),15-13*ORÇAMENTO!$AF$11)),
         0)</f>
        <v>0</v>
      </c>
      <c r="AC28" s="357" t="n">
        <f aca="true">IF(AND($D28="Serviço",AC$12&lt;&gt;0,$H28&gt;0,OR(AUTOEVENTO&lt;&gt;"manual",$M28&lt;&gt;$A$15)),
        IF(Import.TipoArredondamento&lt;&gt;"TransfereGOV",
              ROUND(OFFSET($P28,0,AC$13),15-13*ORÇAMENTO!$AF$7)/$H28*OFFSET(ORÇAMENTO!$X$15,ROW(AC28)-ROW(AC$15),0),
              ROUND(ROUND(OFFSET($P28,0,AC$13),15-13*ORÇAMENTO!$AF$7)*OFFSET(ORÇAMENTO!$W$15,ROW(AC28)-ROW(AC$15),0),15-13*ORÇAMENTO!$AF$11)),
         0)</f>
        <v>0</v>
      </c>
      <c r="AD28" s="357" t="n">
        <f aca="true">IF(AND($D28="Serviço",AD$12&lt;&gt;0,$H28&gt;0,OR(AUTOEVENTO&lt;&gt;"manual",$M28&lt;&gt;$A$15)),
        IF(Import.TipoArredondamento&lt;&gt;"TransfereGOV",
              ROUND(OFFSET($P28,0,AD$13),15-13*ORÇAMENTO!$AF$7)/$H28*OFFSET(ORÇAMENTO!$X$15,ROW(AD28)-ROW(AD$15),0),
              ROUND(ROUND(OFFSET($P28,0,AD$13),15-13*ORÇAMENTO!$AF$7)*OFFSET(ORÇAMENTO!$W$15,ROW(AD28)-ROW(AD$15),0),15-13*ORÇAMENTO!$AF$11)),
         0)</f>
        <v>0</v>
      </c>
      <c r="AE28" s="357" t="n">
        <f aca="true">IF(AND($D28="Serviço",AE$12&lt;&gt;0,$H28&gt;0,OR(AUTOEVENTO&lt;&gt;"manual",$M28&lt;&gt;$A$15)),
        IF(Import.TipoArredondamento&lt;&gt;"TransfereGOV",
              ROUND(OFFSET($P28,0,AE$13),15-13*ORÇAMENTO!$AF$7)/$H28*OFFSET(ORÇAMENTO!$X$15,ROW(AE28)-ROW(AE$15),0),
              ROUND(ROUND(OFFSET($P28,0,AE$13),15-13*ORÇAMENTO!$AF$7)*OFFSET(ORÇAMENTO!$W$15,ROW(AE28)-ROW(AE$15),0),15-13*ORÇAMENTO!$AF$11)),
         0)</f>
        <v>0</v>
      </c>
      <c r="AF28" s="357" t="n">
        <f aca="true">IF(AND($D28="Serviço",AF$12&lt;&gt;0,$H28&gt;0,OR(AUTOEVENTO&lt;&gt;"manual",$M28&lt;&gt;$A$15)),
        IF(Import.TipoArredondamento&lt;&gt;"TransfereGOV",
              ROUND(OFFSET($P28,0,AF$13),15-13*ORÇAMENTO!$AF$7)/$H28*OFFSET(ORÇAMENTO!$X$15,ROW(AF28)-ROW(AF$15),0),
              ROUND(ROUND(OFFSET($P28,0,AF$13),15-13*ORÇAMENTO!$AF$7)*OFFSET(ORÇAMENTO!$W$15,ROW(AF28)-ROW(AF$15),0),15-13*ORÇAMENTO!$AF$11)),
         0)</f>
        <v>0</v>
      </c>
      <c r="AG28" s="357" t="n">
        <f aca="true">IF(AND($D28="Serviço",AG$12&lt;&gt;0,$H28&gt;0,OR(AUTOEVENTO&lt;&gt;"manual",$M28&lt;&gt;$A$15)),
        IF(Import.TipoArredondamento&lt;&gt;"TransfereGOV",
              ROUND(OFFSET($P28,0,AG$13),15-13*ORÇAMENTO!$AF$7)/$H28*OFFSET(ORÇAMENTO!$X$15,ROW(AG28)-ROW(AG$15),0),
              ROUND(ROUND(OFFSET($P28,0,AG$13),15-13*ORÇAMENTO!$AF$7)*OFFSET(ORÇAMENTO!$W$15,ROW(AG28)-ROW(AG$15),0),15-13*ORÇAMENTO!$AF$11)),
         0)</f>
        <v>0</v>
      </c>
      <c r="AH28" s="357" t="n">
        <f aca="true">IF(AND($D28="Serviço",AH$12&lt;&gt;0,$H28&gt;0,OR(AUTOEVENTO&lt;&gt;"manual",$M28&lt;&gt;$A$15)),
        IF(Import.TipoArredondamento&lt;&gt;"TransfereGOV",
              ROUND(OFFSET($P28,0,AH$13),15-13*ORÇAMENTO!$AF$7)/$H28*OFFSET(ORÇAMENTO!$X$15,ROW(AH28)-ROW(AH$15),0),
              ROUND(ROUND(OFFSET($P28,0,AH$13),15-13*ORÇAMENTO!$AF$7)*OFFSET(ORÇAMENTO!$W$15,ROW(AH28)-ROW(AH$15),0),15-13*ORÇAMENTO!$AF$11)),
         0)</f>
        <v>0</v>
      </c>
      <c r="AI28" s="357" t="n">
        <f aca="true">IF(AND($D28="Serviço",AI$12&lt;&gt;0,$H28&gt;0,OR(AUTOEVENTO&lt;&gt;"manual",$M28&lt;&gt;$A$15)),
        IF(Import.TipoArredondamento&lt;&gt;"TransfereGOV",
              ROUND(OFFSET($P28,0,AI$13),15-13*ORÇAMENTO!$AF$7)/$H28*OFFSET(ORÇAMENTO!$X$15,ROW(AI28)-ROW(AI$15),0),
              ROUND(ROUND(OFFSET($P28,0,AI$13),15-13*ORÇAMENTO!$AF$7)*OFFSET(ORÇAMENTO!$W$15,ROW(AI28)-ROW(AI$15),0),15-13*ORÇAMENTO!$AF$11)),
         0)</f>
        <v>0</v>
      </c>
      <c r="AJ28" s="357" t="n">
        <f aca="true">IF(AND($D28="Serviço",AJ$12&lt;&gt;0,$H28&gt;0,OR(AUTOEVENTO&lt;&gt;"manual",$M28&lt;&gt;$A$15)),
        IF(Import.TipoArredondamento&lt;&gt;"TransfereGOV",
              ROUND(OFFSET($P28,0,AJ$13),15-13*ORÇAMENTO!$AF$7)/$H28*OFFSET(ORÇAMENTO!$X$15,ROW(AJ28)-ROW(AJ$15),0),
              ROUND(ROUND(OFFSET($P28,0,AJ$13),15-13*ORÇAMENTO!$AF$7)*OFFSET(ORÇAMENTO!$W$15,ROW(AJ28)-ROW(AJ$15),0),15-13*ORÇAMENTO!$AF$11)),
         0)</f>
        <v>0</v>
      </c>
      <c r="AK28" s="357" t="n">
        <f aca="true">IF(AND($D28="Serviço",AK$12&lt;&gt;0,$H28&gt;0,OR(AUTOEVENTO&lt;&gt;"manual",$M28&lt;&gt;$A$15)),
        IF(Import.TipoArredondamento&lt;&gt;"TransfereGOV",
              ROUND(OFFSET($P28,0,AK$13),15-13*ORÇAMENTO!$AF$7)/$H28*OFFSET(ORÇAMENTO!$X$15,ROW(AK28)-ROW(AK$15),0),
              ROUND(ROUND(OFFSET($P28,0,AK$13),15-13*ORÇAMENTO!$AF$7)*OFFSET(ORÇAMENTO!$W$15,ROW(AK28)-ROW(AK$15),0),15-13*ORÇAMENTO!$AF$11)),
         0)</f>
        <v>0</v>
      </c>
      <c r="AM28" s="358" t="n">
        <f aca="true">IF(OR($D28&lt;&gt;"Serviço",AND(AUTOEVENTO="Manual",$M28=$A$15)),0,
         IF(OFFSET(CRONOPLE!$F$15,$M28-$A$15,AM$13)="",10^12,OFFSET(CRONOPLE!$F$15,$M28-$A$15,AM$13)))</f>
        <v>0</v>
      </c>
      <c r="AN28" s="358" t="n">
        <f aca="true">IF(OR($D28&lt;&gt;"Serviço",AND(AUTOEVENTO="Manual",$M28=$A$15)),0,
         IF(OFFSET(CRONOPLE!$F$15,$M28-$A$15,AN$13)="",10^12,OFFSET(CRONOPLE!$F$15,$M28-$A$15,AN$13)))</f>
        <v>0</v>
      </c>
      <c r="AO28" s="358" t="n">
        <f aca="true">IF(OR($D28&lt;&gt;"Serviço",AND(AUTOEVENTO="Manual",$M28=$A$15)),0,
         IF(OFFSET(CRONOPLE!$F$15,$M28-$A$15,AO$13)="",10^12,OFFSET(CRONOPLE!$F$15,$M28-$A$15,AO$13)))</f>
        <v>0</v>
      </c>
      <c r="AP28" s="358" t="n">
        <f aca="true">IF(OR($D28&lt;&gt;"Serviço",AND(AUTOEVENTO="Manual",$M28=$A$15)),0,
         IF(OFFSET(CRONOPLE!$F$15,$M28-$A$15,AP$13)="",10^12,OFFSET(CRONOPLE!$F$15,$M28-$A$15,AP$13)))</f>
        <v>0</v>
      </c>
      <c r="AQ28" s="358" t="n">
        <f aca="true">IF(OR($D28&lt;&gt;"Serviço",AND(AUTOEVENTO="Manual",$M28=$A$15)),0,
         IF(OFFSET(CRONOPLE!$F$15,$M28-$A$15,AQ$13)="",10^12,OFFSET(CRONOPLE!$F$15,$M28-$A$15,AQ$13)))</f>
        <v>0</v>
      </c>
      <c r="AR28" s="358" t="n">
        <f aca="true">IF(OR($D28&lt;&gt;"Serviço",AND(AUTOEVENTO="Manual",$M28=$A$15)),0,
         IF(OFFSET(CRONOPLE!$F$15,$M28-$A$15,AR$13)="",10^12,OFFSET(CRONOPLE!$F$15,$M28-$A$15,AR$13)))</f>
        <v>0</v>
      </c>
      <c r="AS28" s="358" t="n">
        <f aca="true">IF(OR($D28&lt;&gt;"Serviço",AND(AUTOEVENTO="Manual",$M28=$A$15)),0,
         IF(OFFSET(CRONOPLE!$F$15,$M28-$A$15,AS$13)="",10^12,OFFSET(CRONOPLE!$F$15,$M28-$A$15,AS$13)))</f>
        <v>0</v>
      </c>
      <c r="AT28" s="358" t="n">
        <f aca="true">IF(OR($D28&lt;&gt;"Serviço",AND(AUTOEVENTO="Manual",$M28=$A$15)),0,
         IF(OFFSET(CRONOPLE!$F$15,$M28-$A$15,AT$13)="",10^12,OFFSET(CRONOPLE!$F$15,$M28-$A$15,AT$13)))</f>
        <v>0</v>
      </c>
      <c r="AU28" s="358" t="n">
        <f aca="true">IF(OR($D28&lt;&gt;"Serviço",AND(AUTOEVENTO="Manual",$M28=$A$15)),0,
         IF(OFFSET(CRONOPLE!$F$15,$M28-$A$15,AU$13)="",10^12,OFFSET(CRONOPLE!$F$15,$M28-$A$15,AU$13)))</f>
        <v>0</v>
      </c>
      <c r="AV28" s="358" t="n">
        <f aca="true">IF(OR($D28&lt;&gt;"Serviço",AND(AUTOEVENTO="Manual",$M28=$A$15)),0,
         IF(OFFSET(CRONOPLE!$F$15,$M28-$A$15,AV$13)="",10^12,OFFSET(CRONOPLE!$F$15,$M28-$A$15,AV$13)))</f>
        <v>0</v>
      </c>
      <c r="AX28" s="359" t="n">
        <f aca="true">IF(OR($D28&lt;&gt;"Serviço",AND(AUTOEVENTO="Manual",$M28=$A$15),$M28&gt;(ROW(PLE.lastrow)-ROW(PLE.firstrow))),0,
           IF(OFFSET(PLE!$G$15,$M28-$A$15,AX$13)="",10^12,OFFSET(PLE!$G$15,$M28-$A$15,AX$13)))</f>
        <v>0</v>
      </c>
      <c r="AY28" s="359" t="n">
        <f aca="true">IF(OR($D28&lt;&gt;"Serviço",AND(AUTOEVENTO="Manual",$M28=$A$15),$M28&gt;(ROW(PLE.lastrow)-ROW(PLE.firstrow))),0,
           IF(OFFSET(PLE!$G$15,$M28-$A$15,AY$13)="",10^12,OFFSET(PLE!$G$15,$M28-$A$15,AY$13)))</f>
        <v>0</v>
      </c>
      <c r="AZ28" s="359" t="n">
        <f aca="true">IF(OR($D28&lt;&gt;"Serviço",AND(AUTOEVENTO="Manual",$M28=$A$15),$M28&gt;(ROW(PLE.lastrow)-ROW(PLE.firstrow))),0,
           IF(OFFSET(PLE!$G$15,$M28-$A$15,AZ$13)="",10^12,OFFSET(PLE!$G$15,$M28-$A$15,AZ$13)))</f>
        <v>0</v>
      </c>
      <c r="BA28" s="359" t="n">
        <f aca="true">IF(OR($D28&lt;&gt;"Serviço",AND(AUTOEVENTO="Manual",$M28=$A$15),$M28&gt;(ROW(PLE.lastrow)-ROW(PLE.firstrow))),0,
           IF(OFFSET(PLE!$G$15,$M28-$A$15,BA$13)="",10^12,OFFSET(PLE!$G$15,$M28-$A$15,BA$13)))</f>
        <v>0</v>
      </c>
      <c r="BB28" s="359" t="n">
        <f aca="true">IF(OR($D28&lt;&gt;"Serviço",AND(AUTOEVENTO="Manual",$M28=$A$15),$M28&gt;(ROW(PLE.lastrow)-ROW(PLE.firstrow))),0,
           IF(OFFSET(PLE!$G$15,$M28-$A$15,BB$13)="",10^12,OFFSET(PLE!$G$15,$M28-$A$15,BB$13)))</f>
        <v>0</v>
      </c>
      <c r="BC28" s="359" t="n">
        <f aca="true">IF(OR($D28&lt;&gt;"Serviço",AND(AUTOEVENTO="Manual",$M28=$A$15),$M28&gt;(ROW(PLE.lastrow)-ROW(PLE.firstrow))),0,
           IF(OFFSET(PLE!$G$15,$M28-$A$15,BC$13)="",10^12,OFFSET(PLE!$G$15,$M28-$A$15,BC$13)))</f>
        <v>0</v>
      </c>
      <c r="BD28" s="359" t="n">
        <f aca="true">IF(OR($D28&lt;&gt;"Serviço",AND(AUTOEVENTO="Manual",$M28=$A$15),$M28&gt;(ROW(PLE.lastrow)-ROW(PLE.firstrow))),0,
           IF(OFFSET(PLE!$G$15,$M28-$A$15,BD$13)="",10^12,OFFSET(PLE!$G$15,$M28-$A$15,BD$13)))</f>
        <v>0</v>
      </c>
      <c r="BE28" s="359" t="n">
        <f aca="true">IF(OR($D28&lt;&gt;"Serviço",AND(AUTOEVENTO="Manual",$M28=$A$15),$M28&gt;(ROW(PLE.lastrow)-ROW(PLE.firstrow))),0,
           IF(OFFSET(PLE!$G$15,$M28-$A$15,BE$13)="",10^12,OFFSET(PLE!$G$15,$M28-$A$15,BE$13)))</f>
        <v>0</v>
      </c>
      <c r="BF28" s="359" t="n">
        <f aca="true">IF(OR($D28&lt;&gt;"Serviço",AND(AUTOEVENTO="Manual",$M28=$A$15),$M28&gt;(ROW(PLE.lastrow)-ROW(PLE.firstrow))),0,
           IF(OFFSET(PLE!$G$15,$M28-$A$15,BF$13)="",10^12,OFFSET(PLE!$G$15,$M28-$A$15,BF$13)))</f>
        <v>0</v>
      </c>
      <c r="BG28" s="359" t="n">
        <f aca="true">IF(OR($D28&lt;&gt;"Serviço",AND(AUTOEVENTO="Manual",$M28=$A$15),$M28&gt;(ROW(PLE.lastrow)-ROW(PLE.firstrow))),0,
           IF(OFFSET(PLE!$G$15,$M28-$A$15,BG$13)="",10^12,OFFSET(PLE!$G$15,$M28-$A$15,BG$13)))</f>
        <v>0</v>
      </c>
    </row>
    <row r="29" s="1" customFormat="true" ht="51" hidden="false" customHeight="false" outlineLevel="0" collapsed="false">
      <c r="A29" s="49" t="str">
        <f aca="true">IF(AUTOEVENTO="Manual",IF(K29&lt;&gt;"",MIN(VALUE(LEFT(K29,FIND(".",K29)-1)),COUNTA(EVENTOS.Lista)),0),IF(OR($B29&gt;AUTOEVENTO,$B29="S",$B29=0),SUBSTITUTE(OFFSET($A29,-1,0),IF($D29="Serviço",".",""),""),ROW(A29)-ROW($A$15)&amp;"."))</f>
        <v>8</v>
      </c>
      <c r="B29" s="49" t="str">
        <f aca="true">OFFSET(ORÇAMENTO!C$15,ROW(B29)-ROW(B$15),0)</f>
        <v>S</v>
      </c>
      <c r="C29" s="49" t="str">
        <f aca="true">OFFSET(ORÇAMENTO!L$15,ROW(C29)-ROW(C$15),0)</f>
        <v/>
      </c>
      <c r="D29" s="236" t="str">
        <f aca="true">OFFSET(ORÇAMENTO!N$15,ROW(D29)-ROW(D$15),0)</f>
        <v>Serviço</v>
      </c>
      <c r="E29" s="202" t="str">
        <f aca="true">OFFSET(ORÇAMENTO!O$15,ROW(E29)-ROW(E$15),0)</f>
        <v>-</v>
      </c>
      <c r="F29" s="346" t="str">
        <f aca="true">OFFSET(ORÇAMENTO!R$15,ROW(F29)-ROW(F$15),0)</f>
        <v>(abra o arquivo 'Referência 09-2025.xlsm)</v>
      </c>
      <c r="G29" s="347" t="str">
        <f aca="true">IF($D29&lt;&gt;"Serviço","",OFFSET(ORÇAMENTO!S$15,ROW(G29)-ROW(G$15),0))</f>
        <v>-</v>
      </c>
      <c r="H29" s="207" t="n">
        <f aca="true">IF($D29&lt;&gt;"Serviço",0,IF(ACOMPANHAMENTO="BM",ROUND(OFFSET(ORÇAMENTO!AJ$15,ROW(H29)-ROW(H$15),0),15-13*ORÇAMENTO!$AF$7),SUMPRODUCT(($Q$1:$AA$1=1)*ROUND($Q29:$AA29,15-13*ORÇAMENTO!$AF$7))))</f>
        <v>366.86</v>
      </c>
      <c r="I29" s="348"/>
      <c r="J29" s="349" t="str">
        <f aca="false" t="array" ref="J29:J29">IF(B29&lt;&gt;"S","",IF(AND(ACOMPANHAMENTO="PLE",AUTOEVENTO="Manual",OR(H29&gt;0,ORÇAMENTO!AC29="QUANT."),OR(K29="",M29=0,N29="")),"►",IF(AND(ACOMPANHAMENTO="PLE",ORÇAMENTO!AC29="QUANT."),"►►",IF(AND(COUNTIF($P$11:$AA$11,"▼")=0,H29&gt;0,I29=""),"◄",""))))</f>
        <v>◄</v>
      </c>
      <c r="K29" s="350"/>
      <c r="L29" s="351" t="s">
        <v>807</v>
      </c>
      <c r="M29" s="352" t="n">
        <f aca="true">IF($D29&lt;&gt;"Serviço","",
          IF(AUTOEVENTO="manual",$A29,
                IF(ISERROR(MATCH($A29,$A$15:OFFSET($A29,-1,0),0)),MAX($M$15:OFFSET(M29,-1,0))+1,
                      INDEX($M$15:OFFSET(M29,-1,0),MATCH($A29,$A$15:OFFSET($A29,-1,0),0)))))</f>
        <v>3</v>
      </c>
      <c r="N29" s="353" t="str">
        <f aca="true">IF($D29&lt;&gt;"Serviço","",
         IF(AUTOEVENTO="Manual",
                IF($A29=0,"&lt;-- defina o número do agrupador",
                       OFFSET(EVENTOS!$D$15,$A29-$A$15,0)),
                OFFSET($F$15,$A29,0)))</f>
        <v>REFORMA DO TELHADO - PARTE B</v>
      </c>
      <c r="O29" s="354"/>
      <c r="Q29" s="354"/>
      <c r="R29" s="355"/>
      <c r="S29" s="355"/>
      <c r="T29" s="355"/>
      <c r="U29" s="355"/>
      <c r="V29" s="355"/>
      <c r="W29" s="355"/>
      <c r="X29" s="355"/>
      <c r="Y29" s="355"/>
      <c r="Z29" s="356"/>
      <c r="AB29" s="357" t="n">
        <f aca="true">IF(AND($D29="Serviço",AB$12&lt;&gt;0,$H29&gt;0,OR(AUTOEVENTO&lt;&gt;"manual",$M29&lt;&gt;$A$15)),
        IF(Import.TipoArredondamento&lt;&gt;"TransfereGOV",
              ROUND(OFFSET($P29,0,AB$13),15-13*ORÇAMENTO!$AF$7)/$H29*OFFSET(ORÇAMENTO!$X$15,ROW(AB29)-ROW(AB$15),0),
              ROUND(ROUND(OFFSET($P29,0,AB$13),15-13*ORÇAMENTO!$AF$7)*OFFSET(ORÇAMENTO!$W$15,ROW(AB29)-ROW(AB$15),0),15-13*ORÇAMENTO!$AF$11)),
         0)</f>
        <v>0</v>
      </c>
      <c r="AC29" s="357" t="n">
        <f aca="true">IF(AND($D29="Serviço",AC$12&lt;&gt;0,$H29&gt;0,OR(AUTOEVENTO&lt;&gt;"manual",$M29&lt;&gt;$A$15)),
        IF(Import.TipoArredondamento&lt;&gt;"TransfereGOV",
              ROUND(OFFSET($P29,0,AC$13),15-13*ORÇAMENTO!$AF$7)/$H29*OFFSET(ORÇAMENTO!$X$15,ROW(AC29)-ROW(AC$15),0),
              ROUND(ROUND(OFFSET($P29,0,AC$13),15-13*ORÇAMENTO!$AF$7)*OFFSET(ORÇAMENTO!$W$15,ROW(AC29)-ROW(AC$15),0),15-13*ORÇAMENTO!$AF$11)),
         0)</f>
        <v>0</v>
      </c>
      <c r="AD29" s="357" t="n">
        <f aca="true">IF(AND($D29="Serviço",AD$12&lt;&gt;0,$H29&gt;0,OR(AUTOEVENTO&lt;&gt;"manual",$M29&lt;&gt;$A$15)),
        IF(Import.TipoArredondamento&lt;&gt;"TransfereGOV",
              ROUND(OFFSET($P29,0,AD$13),15-13*ORÇAMENTO!$AF$7)/$H29*OFFSET(ORÇAMENTO!$X$15,ROW(AD29)-ROW(AD$15),0),
              ROUND(ROUND(OFFSET($P29,0,AD$13),15-13*ORÇAMENTO!$AF$7)*OFFSET(ORÇAMENTO!$W$15,ROW(AD29)-ROW(AD$15),0),15-13*ORÇAMENTO!$AF$11)),
         0)</f>
        <v>0</v>
      </c>
      <c r="AE29" s="357" t="n">
        <f aca="true">IF(AND($D29="Serviço",AE$12&lt;&gt;0,$H29&gt;0,OR(AUTOEVENTO&lt;&gt;"manual",$M29&lt;&gt;$A$15)),
        IF(Import.TipoArredondamento&lt;&gt;"TransfereGOV",
              ROUND(OFFSET($P29,0,AE$13),15-13*ORÇAMENTO!$AF$7)/$H29*OFFSET(ORÇAMENTO!$X$15,ROW(AE29)-ROW(AE$15),0),
              ROUND(ROUND(OFFSET($P29,0,AE$13),15-13*ORÇAMENTO!$AF$7)*OFFSET(ORÇAMENTO!$W$15,ROW(AE29)-ROW(AE$15),0),15-13*ORÇAMENTO!$AF$11)),
         0)</f>
        <v>0</v>
      </c>
      <c r="AF29" s="357" t="n">
        <f aca="true">IF(AND($D29="Serviço",AF$12&lt;&gt;0,$H29&gt;0,OR(AUTOEVENTO&lt;&gt;"manual",$M29&lt;&gt;$A$15)),
        IF(Import.TipoArredondamento&lt;&gt;"TransfereGOV",
              ROUND(OFFSET($P29,0,AF$13),15-13*ORÇAMENTO!$AF$7)/$H29*OFFSET(ORÇAMENTO!$X$15,ROW(AF29)-ROW(AF$15),0),
              ROUND(ROUND(OFFSET($P29,0,AF$13),15-13*ORÇAMENTO!$AF$7)*OFFSET(ORÇAMENTO!$W$15,ROW(AF29)-ROW(AF$15),0),15-13*ORÇAMENTO!$AF$11)),
         0)</f>
        <v>0</v>
      </c>
      <c r="AG29" s="357" t="n">
        <f aca="true">IF(AND($D29="Serviço",AG$12&lt;&gt;0,$H29&gt;0,OR(AUTOEVENTO&lt;&gt;"manual",$M29&lt;&gt;$A$15)),
        IF(Import.TipoArredondamento&lt;&gt;"TransfereGOV",
              ROUND(OFFSET($P29,0,AG$13),15-13*ORÇAMENTO!$AF$7)/$H29*OFFSET(ORÇAMENTO!$X$15,ROW(AG29)-ROW(AG$15),0),
              ROUND(ROUND(OFFSET($P29,0,AG$13),15-13*ORÇAMENTO!$AF$7)*OFFSET(ORÇAMENTO!$W$15,ROW(AG29)-ROW(AG$15),0),15-13*ORÇAMENTO!$AF$11)),
         0)</f>
        <v>0</v>
      </c>
      <c r="AH29" s="357" t="n">
        <f aca="true">IF(AND($D29="Serviço",AH$12&lt;&gt;0,$H29&gt;0,OR(AUTOEVENTO&lt;&gt;"manual",$M29&lt;&gt;$A$15)),
        IF(Import.TipoArredondamento&lt;&gt;"TransfereGOV",
              ROUND(OFFSET($P29,0,AH$13),15-13*ORÇAMENTO!$AF$7)/$H29*OFFSET(ORÇAMENTO!$X$15,ROW(AH29)-ROW(AH$15),0),
              ROUND(ROUND(OFFSET($P29,0,AH$13),15-13*ORÇAMENTO!$AF$7)*OFFSET(ORÇAMENTO!$W$15,ROW(AH29)-ROW(AH$15),0),15-13*ORÇAMENTO!$AF$11)),
         0)</f>
        <v>0</v>
      </c>
      <c r="AI29" s="357" t="n">
        <f aca="true">IF(AND($D29="Serviço",AI$12&lt;&gt;0,$H29&gt;0,OR(AUTOEVENTO&lt;&gt;"manual",$M29&lt;&gt;$A$15)),
        IF(Import.TipoArredondamento&lt;&gt;"TransfereGOV",
              ROUND(OFFSET($P29,0,AI$13),15-13*ORÇAMENTO!$AF$7)/$H29*OFFSET(ORÇAMENTO!$X$15,ROW(AI29)-ROW(AI$15),0),
              ROUND(ROUND(OFFSET($P29,0,AI$13),15-13*ORÇAMENTO!$AF$7)*OFFSET(ORÇAMENTO!$W$15,ROW(AI29)-ROW(AI$15),0),15-13*ORÇAMENTO!$AF$11)),
         0)</f>
        <v>0</v>
      </c>
      <c r="AJ29" s="357" t="n">
        <f aca="true">IF(AND($D29="Serviço",AJ$12&lt;&gt;0,$H29&gt;0,OR(AUTOEVENTO&lt;&gt;"manual",$M29&lt;&gt;$A$15)),
        IF(Import.TipoArredondamento&lt;&gt;"TransfereGOV",
              ROUND(OFFSET($P29,0,AJ$13),15-13*ORÇAMENTO!$AF$7)/$H29*OFFSET(ORÇAMENTO!$X$15,ROW(AJ29)-ROW(AJ$15),0),
              ROUND(ROUND(OFFSET($P29,0,AJ$13),15-13*ORÇAMENTO!$AF$7)*OFFSET(ORÇAMENTO!$W$15,ROW(AJ29)-ROW(AJ$15),0),15-13*ORÇAMENTO!$AF$11)),
         0)</f>
        <v>0</v>
      </c>
      <c r="AK29" s="357" t="n">
        <f aca="true">IF(AND($D29="Serviço",AK$12&lt;&gt;0,$H29&gt;0,OR(AUTOEVENTO&lt;&gt;"manual",$M29&lt;&gt;$A$15)),
        IF(Import.TipoArredondamento&lt;&gt;"TransfereGOV",
              ROUND(OFFSET($P29,0,AK$13),15-13*ORÇAMENTO!$AF$7)/$H29*OFFSET(ORÇAMENTO!$X$15,ROW(AK29)-ROW(AK$15),0),
              ROUND(ROUND(OFFSET($P29,0,AK$13),15-13*ORÇAMENTO!$AF$7)*OFFSET(ORÇAMENTO!$W$15,ROW(AK29)-ROW(AK$15),0),15-13*ORÇAMENTO!$AF$11)),
         0)</f>
        <v>0</v>
      </c>
      <c r="AM29" s="358" t="n">
        <f aca="true">IF(OR($D29&lt;&gt;"Serviço",AND(AUTOEVENTO="Manual",$M29=$A$15)),0,
         IF(OFFSET(CRONOPLE!$F$15,$M29-$A$15,AM$13)="",10^12,OFFSET(CRONOPLE!$F$15,$M29-$A$15,AM$13)))</f>
        <v>1000000000000</v>
      </c>
      <c r="AN29" s="358" t="n">
        <f aca="true">IF(OR($D29&lt;&gt;"Serviço",AND(AUTOEVENTO="Manual",$M29=$A$15)),0,
         IF(OFFSET(CRONOPLE!$F$15,$M29-$A$15,AN$13)="",10^12,OFFSET(CRONOPLE!$F$15,$M29-$A$15,AN$13)))</f>
        <v>1000000000000</v>
      </c>
      <c r="AO29" s="358" t="n">
        <f aca="true">IF(OR($D29&lt;&gt;"Serviço",AND(AUTOEVENTO="Manual",$M29=$A$15)),0,
         IF(OFFSET(CRONOPLE!$F$15,$M29-$A$15,AO$13)="",10^12,OFFSET(CRONOPLE!$F$15,$M29-$A$15,AO$13)))</f>
        <v>1000000000000</v>
      </c>
      <c r="AP29" s="358" t="n">
        <f aca="true">IF(OR($D29&lt;&gt;"Serviço",AND(AUTOEVENTO="Manual",$M29=$A$15)),0,
         IF(OFFSET(CRONOPLE!$F$15,$M29-$A$15,AP$13)="",10^12,OFFSET(CRONOPLE!$F$15,$M29-$A$15,AP$13)))</f>
        <v>1000000000000</v>
      </c>
      <c r="AQ29" s="358" t="n">
        <f aca="true">IF(OR($D29&lt;&gt;"Serviço",AND(AUTOEVENTO="Manual",$M29=$A$15)),0,
         IF(OFFSET(CRONOPLE!$F$15,$M29-$A$15,AQ$13)="",10^12,OFFSET(CRONOPLE!$F$15,$M29-$A$15,AQ$13)))</f>
        <v>1000000000000</v>
      </c>
      <c r="AR29" s="358" t="n">
        <f aca="true">IF(OR($D29&lt;&gt;"Serviço",AND(AUTOEVENTO="Manual",$M29=$A$15)),0,
         IF(OFFSET(CRONOPLE!$F$15,$M29-$A$15,AR$13)="",10^12,OFFSET(CRONOPLE!$F$15,$M29-$A$15,AR$13)))</f>
        <v>1000000000000</v>
      </c>
      <c r="AS29" s="358" t="n">
        <f aca="true">IF(OR($D29&lt;&gt;"Serviço",AND(AUTOEVENTO="Manual",$M29=$A$15)),0,
         IF(OFFSET(CRONOPLE!$F$15,$M29-$A$15,AS$13)="",10^12,OFFSET(CRONOPLE!$F$15,$M29-$A$15,AS$13)))</f>
        <v>1000000000000</v>
      </c>
      <c r="AT29" s="358" t="n">
        <f aca="true">IF(OR($D29&lt;&gt;"Serviço",AND(AUTOEVENTO="Manual",$M29=$A$15)),0,
         IF(OFFSET(CRONOPLE!$F$15,$M29-$A$15,AT$13)="",10^12,OFFSET(CRONOPLE!$F$15,$M29-$A$15,AT$13)))</f>
        <v>1000000000000</v>
      </c>
      <c r="AU29" s="358" t="n">
        <f aca="true">IF(OR($D29&lt;&gt;"Serviço",AND(AUTOEVENTO="Manual",$M29=$A$15)),0,
         IF(OFFSET(CRONOPLE!$F$15,$M29-$A$15,AU$13)="",10^12,OFFSET(CRONOPLE!$F$15,$M29-$A$15,AU$13)))</f>
        <v>1000000000000</v>
      </c>
      <c r="AV29" s="358" t="n">
        <f aca="true">IF(OR($D29&lt;&gt;"Serviço",AND(AUTOEVENTO="Manual",$M29=$A$15)),0,
         IF(OFFSET(CRONOPLE!$F$15,$M29-$A$15,AV$13)="",10^12,OFFSET(CRONOPLE!$F$15,$M29-$A$15,AV$13)))</f>
        <v>1000000000000</v>
      </c>
      <c r="AX29" s="359" t="n">
        <f aca="true">IF(OR($D29&lt;&gt;"Serviço",AND(AUTOEVENTO="Manual",$M29=$A$15),$M29&gt;(ROW(PLE.lastrow)-ROW(PLE.firstrow))),0,
           IF(OFFSET(PLE!$G$15,$M29-$A$15,AX$13)="",10^12,OFFSET(PLE!$G$15,$M29-$A$15,AX$13)))</f>
        <v>1000000000000</v>
      </c>
      <c r="AY29" s="359" t="n">
        <f aca="true">IF(OR($D29&lt;&gt;"Serviço",AND(AUTOEVENTO="Manual",$M29=$A$15),$M29&gt;(ROW(PLE.lastrow)-ROW(PLE.firstrow))),0,
           IF(OFFSET(PLE!$G$15,$M29-$A$15,AY$13)="",10^12,OFFSET(PLE!$G$15,$M29-$A$15,AY$13)))</f>
        <v>1000000000000</v>
      </c>
      <c r="AZ29" s="359" t="n">
        <f aca="true">IF(OR($D29&lt;&gt;"Serviço",AND(AUTOEVENTO="Manual",$M29=$A$15),$M29&gt;(ROW(PLE.lastrow)-ROW(PLE.firstrow))),0,
           IF(OFFSET(PLE!$G$15,$M29-$A$15,AZ$13)="",10^12,OFFSET(PLE!$G$15,$M29-$A$15,AZ$13)))</f>
        <v>1000000000000</v>
      </c>
      <c r="BA29" s="359" t="n">
        <f aca="true">IF(OR($D29&lt;&gt;"Serviço",AND(AUTOEVENTO="Manual",$M29=$A$15),$M29&gt;(ROW(PLE.lastrow)-ROW(PLE.firstrow))),0,
           IF(OFFSET(PLE!$G$15,$M29-$A$15,BA$13)="",10^12,OFFSET(PLE!$G$15,$M29-$A$15,BA$13)))</f>
        <v>1000000000000</v>
      </c>
      <c r="BB29" s="359" t="n">
        <f aca="true">IF(OR($D29&lt;&gt;"Serviço",AND(AUTOEVENTO="Manual",$M29=$A$15),$M29&gt;(ROW(PLE.lastrow)-ROW(PLE.firstrow))),0,
           IF(OFFSET(PLE!$G$15,$M29-$A$15,BB$13)="",10^12,OFFSET(PLE!$G$15,$M29-$A$15,BB$13)))</f>
        <v>1000000000000</v>
      </c>
      <c r="BC29" s="359" t="n">
        <f aca="true">IF(OR($D29&lt;&gt;"Serviço",AND(AUTOEVENTO="Manual",$M29=$A$15),$M29&gt;(ROW(PLE.lastrow)-ROW(PLE.firstrow))),0,
           IF(OFFSET(PLE!$G$15,$M29-$A$15,BC$13)="",10^12,OFFSET(PLE!$G$15,$M29-$A$15,BC$13)))</f>
        <v>1000000000000</v>
      </c>
      <c r="BD29" s="359" t="n">
        <f aca="true">IF(OR($D29&lt;&gt;"Serviço",AND(AUTOEVENTO="Manual",$M29=$A$15),$M29&gt;(ROW(PLE.lastrow)-ROW(PLE.firstrow))),0,
           IF(OFFSET(PLE!$G$15,$M29-$A$15,BD$13)="",10^12,OFFSET(PLE!$G$15,$M29-$A$15,BD$13)))</f>
        <v>1000000000000</v>
      </c>
      <c r="BE29" s="359" t="n">
        <f aca="true">IF(OR($D29&lt;&gt;"Serviço",AND(AUTOEVENTO="Manual",$M29=$A$15),$M29&gt;(ROW(PLE.lastrow)-ROW(PLE.firstrow))),0,
           IF(OFFSET(PLE!$G$15,$M29-$A$15,BE$13)="",10^12,OFFSET(PLE!$G$15,$M29-$A$15,BE$13)))</f>
        <v>1000000000000</v>
      </c>
      <c r="BF29" s="359" t="n">
        <f aca="true">IF(OR($D29&lt;&gt;"Serviço",AND(AUTOEVENTO="Manual",$M29=$A$15),$M29&gt;(ROW(PLE.lastrow)-ROW(PLE.firstrow))),0,
           IF(OFFSET(PLE!$G$15,$M29-$A$15,BF$13)="",10^12,OFFSET(PLE!$G$15,$M29-$A$15,BF$13)))</f>
        <v>1000000000000</v>
      </c>
      <c r="BG29" s="359" t="n">
        <f aca="true">IF(OR($D29&lt;&gt;"Serviço",AND(AUTOEVENTO="Manual",$M29=$A$15),$M29&gt;(ROW(PLE.lastrow)-ROW(PLE.firstrow))),0,
           IF(OFFSET(PLE!$G$15,$M29-$A$15,BG$13)="",10^12,OFFSET(PLE!$G$15,$M29-$A$15,BG$13)))</f>
        <v>1000000000000</v>
      </c>
    </row>
    <row r="30" s="1" customFormat="true" ht="25.5" hidden="false" customHeight="false" outlineLevel="0" collapsed="false">
      <c r="A30" s="49" t="str">
        <f aca="true">IF(AUTOEVENTO="Manual",IF(K30&lt;&gt;"",MIN(VALUE(LEFT(K30,FIND(".",K30)-1)),COUNTA(EVENTOS.Lista)),0),IF(OR($B30&gt;AUTOEVENTO,$B30="S",$B30=0),SUBSTITUTE(OFFSET($A30,-1,0),IF($D30="Serviço",".",""),""),ROW(A30)-ROW($A$15)&amp;"."))</f>
        <v>8</v>
      </c>
      <c r="B30" s="49" t="str">
        <f aca="true">OFFSET(ORÇAMENTO!C$15,ROW(B30)-ROW(B$15),0)</f>
        <v>S</v>
      </c>
      <c r="C30" s="49" t="str">
        <f aca="true">OFFSET(ORÇAMENTO!L$15,ROW(C30)-ROW(C$15),0)</f>
        <v/>
      </c>
      <c r="D30" s="201" t="str">
        <f aca="true">OFFSET(ORÇAMENTO!N$15,ROW(D30)-ROW(D$15),0)</f>
        <v>Serviço</v>
      </c>
      <c r="E30" s="202" t="str">
        <f aca="true">OFFSET(ORÇAMENTO!O$15,ROW(E30)-ROW(E$15),0)</f>
        <v>-</v>
      </c>
      <c r="F30" s="346" t="str">
        <f aca="true">OFFSET(ORÇAMENTO!R$15,ROW(F30)-ROW(F$15),0)</f>
        <v>(abra o arquivo 'Referência 09-2025.xlsm)</v>
      </c>
      <c r="G30" s="347" t="str">
        <f aca="true">IF($D30&lt;&gt;"Serviço","",OFFSET(ORÇAMENTO!S$15,ROW(G30)-ROW(G$15),0))</f>
        <v>-</v>
      </c>
      <c r="H30" s="207" t="n">
        <f aca="true">IF($D30&lt;&gt;"Serviço",0,IF(ACOMPANHAMENTO="BM",ROUND(OFFSET(ORÇAMENTO!AJ$15,ROW(H30)-ROW(H$15),0),15-13*ORÇAMENTO!$AF$7),SUMPRODUCT(($Q$1:$AA$1=1)*ROUND($Q30:$AA30,15-13*ORÇAMENTO!$AF$7))))</f>
        <v>366.86</v>
      </c>
      <c r="I30" s="348"/>
      <c r="J30" s="349" t="str">
        <f aca="false" t="array" ref="J30:J30">IF(B30&lt;&gt;"S","",IF(AND(ACOMPANHAMENTO="PLE",AUTOEVENTO="Manual",OR(H30&gt;0,ORÇAMENTO!AC30="QUANT."),OR(K30="",M30=0,N30="")),"►",IF(AND(ACOMPANHAMENTO="PLE",ORÇAMENTO!AC30="QUANT."),"►►",IF(AND(COUNTIF($P$11:$AA$11,"▼")=0,H30&gt;0,I30=""),"◄",""))))</f>
        <v>◄</v>
      </c>
      <c r="K30" s="350"/>
      <c r="L30" s="351" t="s">
        <v>807</v>
      </c>
      <c r="M30" s="352" t="n">
        <f aca="true">IF($D30&lt;&gt;"Serviço","",
          IF(AUTOEVENTO="manual",$A30,
                IF(ISERROR(MATCH($A30,$A$15:OFFSET($A30,-1,0),0)),MAX($M$15:OFFSET(M30,-1,0))+1,
                      INDEX($M$15:OFFSET(M30,-1,0),MATCH($A30,$A$15:OFFSET($A30,-1,0),0)))))</f>
        <v>3</v>
      </c>
      <c r="N30" s="353" t="str">
        <f aca="true">IF($D30&lt;&gt;"Serviço","",
         IF(AUTOEVENTO="Manual",
                IF($A30=0,"&lt;-- defina o número do agrupador",
                       OFFSET(EVENTOS!$D$15,$A30-$A$15,0)),
                OFFSET($F$15,$A30,0)))</f>
        <v>REFORMA DO TELHADO - PARTE B</v>
      </c>
      <c r="O30" s="354"/>
      <c r="Q30" s="354"/>
      <c r="R30" s="355"/>
      <c r="S30" s="355"/>
      <c r="T30" s="355"/>
      <c r="U30" s="355"/>
      <c r="V30" s="355"/>
      <c r="W30" s="355"/>
      <c r="X30" s="355"/>
      <c r="Y30" s="355"/>
      <c r="Z30" s="356"/>
      <c r="AB30" s="357" t="n">
        <f aca="true">IF(AND($D30="Serviço",AB$12&lt;&gt;0,$H30&gt;0,OR(AUTOEVENTO&lt;&gt;"manual",$M30&lt;&gt;$A$15)),
        IF(Import.TipoArredondamento&lt;&gt;"TransfereGOV",
              ROUND(OFFSET($P30,0,AB$13),15-13*ORÇAMENTO!$AF$7)/$H30*OFFSET(ORÇAMENTO!$X$15,ROW(AB30)-ROW(AB$15),0),
              ROUND(ROUND(OFFSET($P30,0,AB$13),15-13*ORÇAMENTO!$AF$7)*OFFSET(ORÇAMENTO!$W$15,ROW(AB30)-ROW(AB$15),0),15-13*ORÇAMENTO!$AF$11)),
         0)</f>
        <v>0</v>
      </c>
      <c r="AC30" s="357" t="n">
        <f aca="true">IF(AND($D30="Serviço",AC$12&lt;&gt;0,$H30&gt;0,OR(AUTOEVENTO&lt;&gt;"manual",$M30&lt;&gt;$A$15)),
        IF(Import.TipoArredondamento&lt;&gt;"TransfereGOV",
              ROUND(OFFSET($P30,0,AC$13),15-13*ORÇAMENTO!$AF$7)/$H30*OFFSET(ORÇAMENTO!$X$15,ROW(AC30)-ROW(AC$15),0),
              ROUND(ROUND(OFFSET($P30,0,AC$13),15-13*ORÇAMENTO!$AF$7)*OFFSET(ORÇAMENTO!$W$15,ROW(AC30)-ROW(AC$15),0),15-13*ORÇAMENTO!$AF$11)),
         0)</f>
        <v>0</v>
      </c>
      <c r="AD30" s="357" t="n">
        <f aca="true">IF(AND($D30="Serviço",AD$12&lt;&gt;0,$H30&gt;0,OR(AUTOEVENTO&lt;&gt;"manual",$M30&lt;&gt;$A$15)),
        IF(Import.TipoArredondamento&lt;&gt;"TransfereGOV",
              ROUND(OFFSET($P30,0,AD$13),15-13*ORÇAMENTO!$AF$7)/$H30*OFFSET(ORÇAMENTO!$X$15,ROW(AD30)-ROW(AD$15),0),
              ROUND(ROUND(OFFSET($P30,0,AD$13),15-13*ORÇAMENTO!$AF$7)*OFFSET(ORÇAMENTO!$W$15,ROW(AD30)-ROW(AD$15),0),15-13*ORÇAMENTO!$AF$11)),
         0)</f>
        <v>0</v>
      </c>
      <c r="AE30" s="357" t="n">
        <f aca="true">IF(AND($D30="Serviço",AE$12&lt;&gt;0,$H30&gt;0,OR(AUTOEVENTO&lt;&gt;"manual",$M30&lt;&gt;$A$15)),
        IF(Import.TipoArredondamento&lt;&gt;"TransfereGOV",
              ROUND(OFFSET($P30,0,AE$13),15-13*ORÇAMENTO!$AF$7)/$H30*OFFSET(ORÇAMENTO!$X$15,ROW(AE30)-ROW(AE$15),0),
              ROUND(ROUND(OFFSET($P30,0,AE$13),15-13*ORÇAMENTO!$AF$7)*OFFSET(ORÇAMENTO!$W$15,ROW(AE30)-ROW(AE$15),0),15-13*ORÇAMENTO!$AF$11)),
         0)</f>
        <v>0</v>
      </c>
      <c r="AF30" s="357" t="n">
        <f aca="true">IF(AND($D30="Serviço",AF$12&lt;&gt;0,$H30&gt;0,OR(AUTOEVENTO&lt;&gt;"manual",$M30&lt;&gt;$A$15)),
        IF(Import.TipoArredondamento&lt;&gt;"TransfereGOV",
              ROUND(OFFSET($P30,0,AF$13),15-13*ORÇAMENTO!$AF$7)/$H30*OFFSET(ORÇAMENTO!$X$15,ROW(AF30)-ROW(AF$15),0),
              ROUND(ROUND(OFFSET($P30,0,AF$13),15-13*ORÇAMENTO!$AF$7)*OFFSET(ORÇAMENTO!$W$15,ROW(AF30)-ROW(AF$15),0),15-13*ORÇAMENTO!$AF$11)),
         0)</f>
        <v>0</v>
      </c>
      <c r="AG30" s="357" t="n">
        <f aca="true">IF(AND($D30="Serviço",AG$12&lt;&gt;0,$H30&gt;0,OR(AUTOEVENTO&lt;&gt;"manual",$M30&lt;&gt;$A$15)),
        IF(Import.TipoArredondamento&lt;&gt;"TransfereGOV",
              ROUND(OFFSET($P30,0,AG$13),15-13*ORÇAMENTO!$AF$7)/$H30*OFFSET(ORÇAMENTO!$X$15,ROW(AG30)-ROW(AG$15),0),
              ROUND(ROUND(OFFSET($P30,0,AG$13),15-13*ORÇAMENTO!$AF$7)*OFFSET(ORÇAMENTO!$W$15,ROW(AG30)-ROW(AG$15),0),15-13*ORÇAMENTO!$AF$11)),
         0)</f>
        <v>0</v>
      </c>
      <c r="AH30" s="357" t="n">
        <f aca="true">IF(AND($D30="Serviço",AH$12&lt;&gt;0,$H30&gt;0,OR(AUTOEVENTO&lt;&gt;"manual",$M30&lt;&gt;$A$15)),
        IF(Import.TipoArredondamento&lt;&gt;"TransfereGOV",
              ROUND(OFFSET($P30,0,AH$13),15-13*ORÇAMENTO!$AF$7)/$H30*OFFSET(ORÇAMENTO!$X$15,ROW(AH30)-ROW(AH$15),0),
              ROUND(ROUND(OFFSET($P30,0,AH$13),15-13*ORÇAMENTO!$AF$7)*OFFSET(ORÇAMENTO!$W$15,ROW(AH30)-ROW(AH$15),0),15-13*ORÇAMENTO!$AF$11)),
         0)</f>
        <v>0</v>
      </c>
      <c r="AI30" s="357" t="n">
        <f aca="true">IF(AND($D30="Serviço",AI$12&lt;&gt;0,$H30&gt;0,OR(AUTOEVENTO&lt;&gt;"manual",$M30&lt;&gt;$A$15)),
        IF(Import.TipoArredondamento&lt;&gt;"TransfereGOV",
              ROUND(OFFSET($P30,0,AI$13),15-13*ORÇAMENTO!$AF$7)/$H30*OFFSET(ORÇAMENTO!$X$15,ROW(AI30)-ROW(AI$15),0),
              ROUND(ROUND(OFFSET($P30,0,AI$13),15-13*ORÇAMENTO!$AF$7)*OFFSET(ORÇAMENTO!$W$15,ROW(AI30)-ROW(AI$15),0),15-13*ORÇAMENTO!$AF$11)),
         0)</f>
        <v>0</v>
      </c>
      <c r="AJ30" s="357" t="n">
        <f aca="true">IF(AND($D30="Serviço",AJ$12&lt;&gt;0,$H30&gt;0,OR(AUTOEVENTO&lt;&gt;"manual",$M30&lt;&gt;$A$15)),
        IF(Import.TipoArredondamento&lt;&gt;"TransfereGOV",
              ROUND(OFFSET($P30,0,AJ$13),15-13*ORÇAMENTO!$AF$7)/$H30*OFFSET(ORÇAMENTO!$X$15,ROW(AJ30)-ROW(AJ$15),0),
              ROUND(ROUND(OFFSET($P30,0,AJ$13),15-13*ORÇAMENTO!$AF$7)*OFFSET(ORÇAMENTO!$W$15,ROW(AJ30)-ROW(AJ$15),0),15-13*ORÇAMENTO!$AF$11)),
         0)</f>
        <v>0</v>
      </c>
      <c r="AK30" s="357" t="n">
        <f aca="true">IF(AND($D30="Serviço",AK$12&lt;&gt;0,$H30&gt;0,OR(AUTOEVENTO&lt;&gt;"manual",$M30&lt;&gt;$A$15)),
        IF(Import.TipoArredondamento&lt;&gt;"TransfereGOV",
              ROUND(OFFSET($P30,0,AK$13),15-13*ORÇAMENTO!$AF$7)/$H30*OFFSET(ORÇAMENTO!$X$15,ROW(AK30)-ROW(AK$15),0),
              ROUND(ROUND(OFFSET($P30,0,AK$13),15-13*ORÇAMENTO!$AF$7)*OFFSET(ORÇAMENTO!$W$15,ROW(AK30)-ROW(AK$15),0),15-13*ORÇAMENTO!$AF$11)),
         0)</f>
        <v>0</v>
      </c>
      <c r="AM30" s="358" t="n">
        <f aca="true">IF(OR($D30&lt;&gt;"Serviço",AND(AUTOEVENTO="Manual",$M30=$A$15)),0,
         IF(OFFSET(CRONOPLE!$F$15,$M30-$A$15,AM$13)="",10^12,OFFSET(CRONOPLE!$F$15,$M30-$A$15,AM$13)))</f>
        <v>1000000000000</v>
      </c>
      <c r="AN30" s="358" t="n">
        <f aca="true">IF(OR($D30&lt;&gt;"Serviço",AND(AUTOEVENTO="Manual",$M30=$A$15)),0,
         IF(OFFSET(CRONOPLE!$F$15,$M30-$A$15,AN$13)="",10^12,OFFSET(CRONOPLE!$F$15,$M30-$A$15,AN$13)))</f>
        <v>1000000000000</v>
      </c>
      <c r="AO30" s="358" t="n">
        <f aca="true">IF(OR($D30&lt;&gt;"Serviço",AND(AUTOEVENTO="Manual",$M30=$A$15)),0,
         IF(OFFSET(CRONOPLE!$F$15,$M30-$A$15,AO$13)="",10^12,OFFSET(CRONOPLE!$F$15,$M30-$A$15,AO$13)))</f>
        <v>1000000000000</v>
      </c>
      <c r="AP30" s="358" t="n">
        <f aca="true">IF(OR($D30&lt;&gt;"Serviço",AND(AUTOEVENTO="Manual",$M30=$A$15)),0,
         IF(OFFSET(CRONOPLE!$F$15,$M30-$A$15,AP$13)="",10^12,OFFSET(CRONOPLE!$F$15,$M30-$A$15,AP$13)))</f>
        <v>1000000000000</v>
      </c>
      <c r="AQ30" s="358" t="n">
        <f aca="true">IF(OR($D30&lt;&gt;"Serviço",AND(AUTOEVENTO="Manual",$M30=$A$15)),0,
         IF(OFFSET(CRONOPLE!$F$15,$M30-$A$15,AQ$13)="",10^12,OFFSET(CRONOPLE!$F$15,$M30-$A$15,AQ$13)))</f>
        <v>1000000000000</v>
      </c>
      <c r="AR30" s="358" t="n">
        <f aca="true">IF(OR($D30&lt;&gt;"Serviço",AND(AUTOEVENTO="Manual",$M30=$A$15)),0,
         IF(OFFSET(CRONOPLE!$F$15,$M30-$A$15,AR$13)="",10^12,OFFSET(CRONOPLE!$F$15,$M30-$A$15,AR$13)))</f>
        <v>1000000000000</v>
      </c>
      <c r="AS30" s="358" t="n">
        <f aca="true">IF(OR($D30&lt;&gt;"Serviço",AND(AUTOEVENTO="Manual",$M30=$A$15)),0,
         IF(OFFSET(CRONOPLE!$F$15,$M30-$A$15,AS$13)="",10^12,OFFSET(CRONOPLE!$F$15,$M30-$A$15,AS$13)))</f>
        <v>1000000000000</v>
      </c>
      <c r="AT30" s="358" t="n">
        <f aca="true">IF(OR($D30&lt;&gt;"Serviço",AND(AUTOEVENTO="Manual",$M30=$A$15)),0,
         IF(OFFSET(CRONOPLE!$F$15,$M30-$A$15,AT$13)="",10^12,OFFSET(CRONOPLE!$F$15,$M30-$A$15,AT$13)))</f>
        <v>1000000000000</v>
      </c>
      <c r="AU30" s="358" t="n">
        <f aca="true">IF(OR($D30&lt;&gt;"Serviço",AND(AUTOEVENTO="Manual",$M30=$A$15)),0,
         IF(OFFSET(CRONOPLE!$F$15,$M30-$A$15,AU$13)="",10^12,OFFSET(CRONOPLE!$F$15,$M30-$A$15,AU$13)))</f>
        <v>1000000000000</v>
      </c>
      <c r="AV30" s="358" t="n">
        <f aca="true">IF(OR($D30&lt;&gt;"Serviço",AND(AUTOEVENTO="Manual",$M30=$A$15)),0,
         IF(OFFSET(CRONOPLE!$F$15,$M30-$A$15,AV$13)="",10^12,OFFSET(CRONOPLE!$F$15,$M30-$A$15,AV$13)))</f>
        <v>1000000000000</v>
      </c>
      <c r="AX30" s="359" t="n">
        <f aca="true">IF(OR($D30&lt;&gt;"Serviço",AND(AUTOEVENTO="Manual",$M30=$A$15),$M30&gt;(ROW(PLE.lastrow)-ROW(PLE.firstrow))),0,
           IF(OFFSET(PLE!$G$15,$M30-$A$15,AX$13)="",10^12,OFFSET(PLE!$G$15,$M30-$A$15,AX$13)))</f>
        <v>1000000000000</v>
      </c>
      <c r="AY30" s="359" t="n">
        <f aca="true">IF(OR($D30&lt;&gt;"Serviço",AND(AUTOEVENTO="Manual",$M30=$A$15),$M30&gt;(ROW(PLE.lastrow)-ROW(PLE.firstrow))),0,
           IF(OFFSET(PLE!$G$15,$M30-$A$15,AY$13)="",10^12,OFFSET(PLE!$G$15,$M30-$A$15,AY$13)))</f>
        <v>1000000000000</v>
      </c>
      <c r="AZ30" s="359" t="n">
        <f aca="true">IF(OR($D30&lt;&gt;"Serviço",AND(AUTOEVENTO="Manual",$M30=$A$15),$M30&gt;(ROW(PLE.lastrow)-ROW(PLE.firstrow))),0,
           IF(OFFSET(PLE!$G$15,$M30-$A$15,AZ$13)="",10^12,OFFSET(PLE!$G$15,$M30-$A$15,AZ$13)))</f>
        <v>1000000000000</v>
      </c>
      <c r="BA30" s="359" t="n">
        <f aca="true">IF(OR($D30&lt;&gt;"Serviço",AND(AUTOEVENTO="Manual",$M30=$A$15),$M30&gt;(ROW(PLE.lastrow)-ROW(PLE.firstrow))),0,
           IF(OFFSET(PLE!$G$15,$M30-$A$15,BA$13)="",10^12,OFFSET(PLE!$G$15,$M30-$A$15,BA$13)))</f>
        <v>1000000000000</v>
      </c>
      <c r="BB30" s="359" t="n">
        <f aca="true">IF(OR($D30&lt;&gt;"Serviço",AND(AUTOEVENTO="Manual",$M30=$A$15),$M30&gt;(ROW(PLE.lastrow)-ROW(PLE.firstrow))),0,
           IF(OFFSET(PLE!$G$15,$M30-$A$15,BB$13)="",10^12,OFFSET(PLE!$G$15,$M30-$A$15,BB$13)))</f>
        <v>1000000000000</v>
      </c>
      <c r="BC30" s="359" t="n">
        <f aca="true">IF(OR($D30&lt;&gt;"Serviço",AND(AUTOEVENTO="Manual",$M30=$A$15),$M30&gt;(ROW(PLE.lastrow)-ROW(PLE.firstrow))),0,
           IF(OFFSET(PLE!$G$15,$M30-$A$15,BC$13)="",10^12,OFFSET(PLE!$G$15,$M30-$A$15,BC$13)))</f>
        <v>1000000000000</v>
      </c>
      <c r="BD30" s="359" t="n">
        <f aca="true">IF(OR($D30&lt;&gt;"Serviço",AND(AUTOEVENTO="Manual",$M30=$A$15),$M30&gt;(ROW(PLE.lastrow)-ROW(PLE.firstrow))),0,
           IF(OFFSET(PLE!$G$15,$M30-$A$15,BD$13)="",10^12,OFFSET(PLE!$G$15,$M30-$A$15,BD$13)))</f>
        <v>1000000000000</v>
      </c>
      <c r="BE30" s="359" t="n">
        <f aca="true">IF(OR($D30&lt;&gt;"Serviço",AND(AUTOEVENTO="Manual",$M30=$A$15),$M30&gt;(ROW(PLE.lastrow)-ROW(PLE.firstrow))),0,
           IF(OFFSET(PLE!$G$15,$M30-$A$15,BE$13)="",10^12,OFFSET(PLE!$G$15,$M30-$A$15,BE$13)))</f>
        <v>1000000000000</v>
      </c>
      <c r="BF30" s="359" t="n">
        <f aca="true">IF(OR($D30&lt;&gt;"Serviço",AND(AUTOEVENTO="Manual",$M30=$A$15),$M30&gt;(ROW(PLE.lastrow)-ROW(PLE.firstrow))),0,
           IF(OFFSET(PLE!$G$15,$M30-$A$15,BF$13)="",10^12,OFFSET(PLE!$G$15,$M30-$A$15,BF$13)))</f>
        <v>1000000000000</v>
      </c>
      <c r="BG30" s="359" t="n">
        <f aca="true">IF(OR($D30&lt;&gt;"Serviço",AND(AUTOEVENTO="Manual",$M30=$A$15),$M30&gt;(ROW(PLE.lastrow)-ROW(PLE.firstrow))),0,
           IF(OFFSET(PLE!$G$15,$M30-$A$15,BG$13)="",10^12,OFFSET(PLE!$G$15,$M30-$A$15,BG$13)))</f>
        <v>1000000000000</v>
      </c>
    </row>
    <row r="31" s="1" customFormat="true" ht="25.5" hidden="false" customHeight="false" outlineLevel="0" collapsed="false">
      <c r="A31" s="49" t="str">
        <f aca="true">IF(AUTOEVENTO="Manual",IF(K31&lt;&gt;"",MIN(VALUE(LEFT(K31,FIND(".",K31)-1)),COUNTA(EVENTOS.Lista)),0),IF(OR($B31&gt;AUTOEVENTO,$B31="S",$B31=0),SUBSTITUTE(OFFSET($A31,-1,0),IF($D31="Serviço",".",""),""),ROW(A31)-ROW($A$15)&amp;"."))</f>
        <v>8</v>
      </c>
      <c r="B31" s="49" t="str">
        <f aca="true">OFFSET(ORÇAMENTO!C$15,ROW(B31)-ROW(B$15),0)</f>
        <v>S</v>
      </c>
      <c r="C31" s="49" t="str">
        <f aca="true">OFFSET(ORÇAMENTO!L$15,ROW(C31)-ROW(C$15),0)</f>
        <v>F</v>
      </c>
      <c r="D31" s="201" t="str">
        <f aca="true">OFFSET(ORÇAMENTO!N$15,ROW(D31)-ROW(D$15),0)</f>
        <v>Serviço</v>
      </c>
      <c r="E31" s="202" t="str">
        <f aca="true">OFFSET(ORÇAMENTO!O$15,ROW(E31)-ROW(E$15),0)</f>
        <v>1.3.2.1.</v>
      </c>
      <c r="F31" s="346" t="str">
        <f aca="true">OFFSET(ORÇAMENTO!R$15,ROW(F31)-ROW(F$15),0)</f>
        <v>(abra o arquivo 'Referência 09-2025.xlsm)</v>
      </c>
      <c r="G31" s="347" t="str">
        <f aca="true">IF($D31&lt;&gt;"Serviço","",OFFSET(ORÇAMENTO!S$15,ROW(G31)-ROW(G$15),0))</f>
        <v>-</v>
      </c>
      <c r="H31" s="207" t="n">
        <f aca="true">IF($D31&lt;&gt;"Serviço",0,IF(ACOMPANHAMENTO="BM",ROUND(OFFSET(ORÇAMENTO!AJ$15,ROW(H31)-ROW(H$15),0),15-13*ORÇAMENTO!$AF$7),SUMPRODUCT(($Q$1:$AA$1=1)*ROUND($Q31:$AA31,15-13*ORÇAMENTO!$AF$7))))</f>
        <v>184.62</v>
      </c>
      <c r="I31" s="348"/>
      <c r="J31" s="349" t="str">
        <f aca="false" t="array" ref="J31:J31">IF(B31&lt;&gt;"S","",IF(AND(ACOMPANHAMENTO="PLE",AUTOEVENTO="Manual",OR(H31&gt;0,ORÇAMENTO!AC31="QUANT."),OR(K31="",M31=0,N31="")),"►",IF(AND(ACOMPANHAMENTO="PLE",ORÇAMENTO!AC31="QUANT."),"►►",IF(AND(COUNTIF($P$11:$AA$11,"▼")=0,H31&gt;0,I31=""),"◄",""))))</f>
        <v>◄</v>
      </c>
      <c r="K31" s="350"/>
      <c r="L31" s="351" t="s">
        <v>807</v>
      </c>
      <c r="M31" s="352" t="n">
        <f aca="true">IF($D31&lt;&gt;"Serviço","",
          IF(AUTOEVENTO="manual",$A31,
                IF(ISERROR(MATCH($A31,$A$15:OFFSET($A31,-1,0),0)),MAX($M$15:OFFSET(M31,-1,0))+1,
                      INDEX($M$15:OFFSET(M31,-1,0),MATCH($A31,$A$15:OFFSET($A31,-1,0),0)))))</f>
        <v>3</v>
      </c>
      <c r="N31" s="353" t="str">
        <f aca="true">IF($D31&lt;&gt;"Serviço","",
         IF(AUTOEVENTO="Manual",
                IF($A31=0,"&lt;-- defina o número do agrupador",
                       OFFSET(EVENTOS!$D$15,$A31-$A$15,0)),
                OFFSET($F$15,$A31,0)))</f>
        <v>REFORMA DO TELHADO - PARTE B</v>
      </c>
      <c r="O31" s="354"/>
      <c r="Q31" s="354"/>
      <c r="R31" s="355"/>
      <c r="S31" s="355"/>
      <c r="T31" s="355"/>
      <c r="U31" s="355"/>
      <c r="V31" s="355"/>
      <c r="W31" s="355"/>
      <c r="X31" s="355"/>
      <c r="Y31" s="355"/>
      <c r="Z31" s="356"/>
      <c r="AB31" s="357" t="n">
        <f aca="true">IF(AND($D31="Serviço",AB$12&lt;&gt;0,$H31&gt;0,OR(AUTOEVENTO&lt;&gt;"manual",$M31&lt;&gt;$A$15)),
        IF(Import.TipoArredondamento&lt;&gt;"TransfereGOV",
              ROUND(OFFSET($P31,0,AB$13),15-13*ORÇAMENTO!$AF$7)/$H31*OFFSET(ORÇAMENTO!$X$15,ROW(AB31)-ROW(AB$15),0),
              ROUND(ROUND(OFFSET($P31,0,AB$13),15-13*ORÇAMENTO!$AF$7)*OFFSET(ORÇAMENTO!$W$15,ROW(AB31)-ROW(AB$15),0),15-13*ORÇAMENTO!$AF$11)),
         0)</f>
        <v>0</v>
      </c>
      <c r="AC31" s="357" t="n">
        <f aca="true">IF(AND($D31="Serviço",AC$12&lt;&gt;0,$H31&gt;0,OR(AUTOEVENTO&lt;&gt;"manual",$M31&lt;&gt;$A$15)),
        IF(Import.TipoArredondamento&lt;&gt;"TransfereGOV",
              ROUND(OFFSET($P31,0,AC$13),15-13*ORÇAMENTO!$AF$7)/$H31*OFFSET(ORÇAMENTO!$X$15,ROW(AC31)-ROW(AC$15),0),
              ROUND(ROUND(OFFSET($P31,0,AC$13),15-13*ORÇAMENTO!$AF$7)*OFFSET(ORÇAMENTO!$W$15,ROW(AC31)-ROW(AC$15),0),15-13*ORÇAMENTO!$AF$11)),
         0)</f>
        <v>0</v>
      </c>
      <c r="AD31" s="357" t="n">
        <f aca="true">IF(AND($D31="Serviço",AD$12&lt;&gt;0,$H31&gt;0,OR(AUTOEVENTO&lt;&gt;"manual",$M31&lt;&gt;$A$15)),
        IF(Import.TipoArredondamento&lt;&gt;"TransfereGOV",
              ROUND(OFFSET($P31,0,AD$13),15-13*ORÇAMENTO!$AF$7)/$H31*OFFSET(ORÇAMENTO!$X$15,ROW(AD31)-ROW(AD$15),0),
              ROUND(ROUND(OFFSET($P31,0,AD$13),15-13*ORÇAMENTO!$AF$7)*OFFSET(ORÇAMENTO!$W$15,ROW(AD31)-ROW(AD$15),0),15-13*ORÇAMENTO!$AF$11)),
         0)</f>
        <v>0</v>
      </c>
      <c r="AE31" s="357" t="n">
        <f aca="true">IF(AND($D31="Serviço",AE$12&lt;&gt;0,$H31&gt;0,OR(AUTOEVENTO&lt;&gt;"manual",$M31&lt;&gt;$A$15)),
        IF(Import.TipoArredondamento&lt;&gt;"TransfereGOV",
              ROUND(OFFSET($P31,0,AE$13),15-13*ORÇAMENTO!$AF$7)/$H31*OFFSET(ORÇAMENTO!$X$15,ROW(AE31)-ROW(AE$15),0),
              ROUND(ROUND(OFFSET($P31,0,AE$13),15-13*ORÇAMENTO!$AF$7)*OFFSET(ORÇAMENTO!$W$15,ROW(AE31)-ROW(AE$15),0),15-13*ORÇAMENTO!$AF$11)),
         0)</f>
        <v>0</v>
      </c>
      <c r="AF31" s="357" t="n">
        <f aca="true">IF(AND($D31="Serviço",AF$12&lt;&gt;0,$H31&gt;0,OR(AUTOEVENTO&lt;&gt;"manual",$M31&lt;&gt;$A$15)),
        IF(Import.TipoArredondamento&lt;&gt;"TransfereGOV",
              ROUND(OFFSET($P31,0,AF$13),15-13*ORÇAMENTO!$AF$7)/$H31*OFFSET(ORÇAMENTO!$X$15,ROW(AF31)-ROW(AF$15),0),
              ROUND(ROUND(OFFSET($P31,0,AF$13),15-13*ORÇAMENTO!$AF$7)*OFFSET(ORÇAMENTO!$W$15,ROW(AF31)-ROW(AF$15),0),15-13*ORÇAMENTO!$AF$11)),
         0)</f>
        <v>0</v>
      </c>
      <c r="AG31" s="357" t="n">
        <f aca="true">IF(AND($D31="Serviço",AG$12&lt;&gt;0,$H31&gt;0,OR(AUTOEVENTO&lt;&gt;"manual",$M31&lt;&gt;$A$15)),
        IF(Import.TipoArredondamento&lt;&gt;"TransfereGOV",
              ROUND(OFFSET($P31,0,AG$13),15-13*ORÇAMENTO!$AF$7)/$H31*OFFSET(ORÇAMENTO!$X$15,ROW(AG31)-ROW(AG$15),0),
              ROUND(ROUND(OFFSET($P31,0,AG$13),15-13*ORÇAMENTO!$AF$7)*OFFSET(ORÇAMENTO!$W$15,ROW(AG31)-ROW(AG$15),0),15-13*ORÇAMENTO!$AF$11)),
         0)</f>
        <v>0</v>
      </c>
      <c r="AH31" s="357" t="n">
        <f aca="true">IF(AND($D31="Serviço",AH$12&lt;&gt;0,$H31&gt;0,OR(AUTOEVENTO&lt;&gt;"manual",$M31&lt;&gt;$A$15)),
        IF(Import.TipoArredondamento&lt;&gt;"TransfereGOV",
              ROUND(OFFSET($P31,0,AH$13),15-13*ORÇAMENTO!$AF$7)/$H31*OFFSET(ORÇAMENTO!$X$15,ROW(AH31)-ROW(AH$15),0),
              ROUND(ROUND(OFFSET($P31,0,AH$13),15-13*ORÇAMENTO!$AF$7)*OFFSET(ORÇAMENTO!$W$15,ROW(AH31)-ROW(AH$15),0),15-13*ORÇAMENTO!$AF$11)),
         0)</f>
        <v>0</v>
      </c>
      <c r="AI31" s="357" t="n">
        <f aca="true">IF(AND($D31="Serviço",AI$12&lt;&gt;0,$H31&gt;0,OR(AUTOEVENTO&lt;&gt;"manual",$M31&lt;&gt;$A$15)),
        IF(Import.TipoArredondamento&lt;&gt;"TransfereGOV",
              ROUND(OFFSET($P31,0,AI$13),15-13*ORÇAMENTO!$AF$7)/$H31*OFFSET(ORÇAMENTO!$X$15,ROW(AI31)-ROW(AI$15),0),
              ROUND(ROUND(OFFSET($P31,0,AI$13),15-13*ORÇAMENTO!$AF$7)*OFFSET(ORÇAMENTO!$W$15,ROW(AI31)-ROW(AI$15),0),15-13*ORÇAMENTO!$AF$11)),
         0)</f>
        <v>0</v>
      </c>
      <c r="AJ31" s="357" t="n">
        <f aca="true">IF(AND($D31="Serviço",AJ$12&lt;&gt;0,$H31&gt;0,OR(AUTOEVENTO&lt;&gt;"manual",$M31&lt;&gt;$A$15)),
        IF(Import.TipoArredondamento&lt;&gt;"TransfereGOV",
              ROUND(OFFSET($P31,0,AJ$13),15-13*ORÇAMENTO!$AF$7)/$H31*OFFSET(ORÇAMENTO!$X$15,ROW(AJ31)-ROW(AJ$15),0),
              ROUND(ROUND(OFFSET($P31,0,AJ$13),15-13*ORÇAMENTO!$AF$7)*OFFSET(ORÇAMENTO!$W$15,ROW(AJ31)-ROW(AJ$15),0),15-13*ORÇAMENTO!$AF$11)),
         0)</f>
        <v>0</v>
      </c>
      <c r="AK31" s="357" t="n">
        <f aca="true">IF(AND($D31="Serviço",AK$12&lt;&gt;0,$H31&gt;0,OR(AUTOEVENTO&lt;&gt;"manual",$M31&lt;&gt;$A$15)),
        IF(Import.TipoArredondamento&lt;&gt;"TransfereGOV",
              ROUND(OFFSET($P31,0,AK$13),15-13*ORÇAMENTO!$AF$7)/$H31*OFFSET(ORÇAMENTO!$X$15,ROW(AK31)-ROW(AK$15),0),
              ROUND(ROUND(OFFSET($P31,0,AK$13),15-13*ORÇAMENTO!$AF$7)*OFFSET(ORÇAMENTO!$W$15,ROW(AK31)-ROW(AK$15),0),15-13*ORÇAMENTO!$AF$11)),
         0)</f>
        <v>0</v>
      </c>
      <c r="AM31" s="358" t="n">
        <f aca="true">IF(OR($D31&lt;&gt;"Serviço",AND(AUTOEVENTO="Manual",$M31=$A$15)),0,
         IF(OFFSET(CRONOPLE!$F$15,$M31-$A$15,AM$13)="",10^12,OFFSET(CRONOPLE!$F$15,$M31-$A$15,AM$13)))</f>
        <v>1000000000000</v>
      </c>
      <c r="AN31" s="358" t="n">
        <f aca="true">IF(OR($D31&lt;&gt;"Serviço",AND(AUTOEVENTO="Manual",$M31=$A$15)),0,
         IF(OFFSET(CRONOPLE!$F$15,$M31-$A$15,AN$13)="",10^12,OFFSET(CRONOPLE!$F$15,$M31-$A$15,AN$13)))</f>
        <v>1000000000000</v>
      </c>
      <c r="AO31" s="358" t="n">
        <f aca="true">IF(OR($D31&lt;&gt;"Serviço",AND(AUTOEVENTO="Manual",$M31=$A$15)),0,
         IF(OFFSET(CRONOPLE!$F$15,$M31-$A$15,AO$13)="",10^12,OFFSET(CRONOPLE!$F$15,$M31-$A$15,AO$13)))</f>
        <v>1000000000000</v>
      </c>
      <c r="AP31" s="358" t="n">
        <f aca="true">IF(OR($D31&lt;&gt;"Serviço",AND(AUTOEVENTO="Manual",$M31=$A$15)),0,
         IF(OFFSET(CRONOPLE!$F$15,$M31-$A$15,AP$13)="",10^12,OFFSET(CRONOPLE!$F$15,$M31-$A$15,AP$13)))</f>
        <v>1000000000000</v>
      </c>
      <c r="AQ31" s="358" t="n">
        <f aca="true">IF(OR($D31&lt;&gt;"Serviço",AND(AUTOEVENTO="Manual",$M31=$A$15)),0,
         IF(OFFSET(CRONOPLE!$F$15,$M31-$A$15,AQ$13)="",10^12,OFFSET(CRONOPLE!$F$15,$M31-$A$15,AQ$13)))</f>
        <v>1000000000000</v>
      </c>
      <c r="AR31" s="358" t="n">
        <f aca="true">IF(OR($D31&lt;&gt;"Serviço",AND(AUTOEVENTO="Manual",$M31=$A$15)),0,
         IF(OFFSET(CRONOPLE!$F$15,$M31-$A$15,AR$13)="",10^12,OFFSET(CRONOPLE!$F$15,$M31-$A$15,AR$13)))</f>
        <v>1000000000000</v>
      </c>
      <c r="AS31" s="358" t="n">
        <f aca="true">IF(OR($D31&lt;&gt;"Serviço",AND(AUTOEVENTO="Manual",$M31=$A$15)),0,
         IF(OFFSET(CRONOPLE!$F$15,$M31-$A$15,AS$13)="",10^12,OFFSET(CRONOPLE!$F$15,$M31-$A$15,AS$13)))</f>
        <v>1000000000000</v>
      </c>
      <c r="AT31" s="358" t="n">
        <f aca="true">IF(OR($D31&lt;&gt;"Serviço",AND(AUTOEVENTO="Manual",$M31=$A$15)),0,
         IF(OFFSET(CRONOPLE!$F$15,$M31-$A$15,AT$13)="",10^12,OFFSET(CRONOPLE!$F$15,$M31-$A$15,AT$13)))</f>
        <v>1000000000000</v>
      </c>
      <c r="AU31" s="358" t="n">
        <f aca="true">IF(OR($D31&lt;&gt;"Serviço",AND(AUTOEVENTO="Manual",$M31=$A$15)),0,
         IF(OFFSET(CRONOPLE!$F$15,$M31-$A$15,AU$13)="",10^12,OFFSET(CRONOPLE!$F$15,$M31-$A$15,AU$13)))</f>
        <v>1000000000000</v>
      </c>
      <c r="AV31" s="358" t="n">
        <f aca="true">IF(OR($D31&lt;&gt;"Serviço",AND(AUTOEVENTO="Manual",$M31=$A$15)),0,
         IF(OFFSET(CRONOPLE!$F$15,$M31-$A$15,AV$13)="",10^12,OFFSET(CRONOPLE!$F$15,$M31-$A$15,AV$13)))</f>
        <v>1000000000000</v>
      </c>
      <c r="AX31" s="359" t="n">
        <f aca="true">IF(OR($D31&lt;&gt;"Serviço",AND(AUTOEVENTO="Manual",$M31=$A$15),$M31&gt;(ROW(PLE.lastrow)-ROW(PLE.firstrow))),0,
           IF(OFFSET(PLE!$G$15,$M31-$A$15,AX$13)="",10^12,OFFSET(PLE!$G$15,$M31-$A$15,AX$13)))</f>
        <v>1000000000000</v>
      </c>
      <c r="AY31" s="359" t="n">
        <f aca="true">IF(OR($D31&lt;&gt;"Serviço",AND(AUTOEVENTO="Manual",$M31=$A$15),$M31&gt;(ROW(PLE.lastrow)-ROW(PLE.firstrow))),0,
           IF(OFFSET(PLE!$G$15,$M31-$A$15,AY$13)="",10^12,OFFSET(PLE!$G$15,$M31-$A$15,AY$13)))</f>
        <v>1000000000000</v>
      </c>
      <c r="AZ31" s="359" t="n">
        <f aca="true">IF(OR($D31&lt;&gt;"Serviço",AND(AUTOEVENTO="Manual",$M31=$A$15),$M31&gt;(ROW(PLE.lastrow)-ROW(PLE.firstrow))),0,
           IF(OFFSET(PLE!$G$15,$M31-$A$15,AZ$13)="",10^12,OFFSET(PLE!$G$15,$M31-$A$15,AZ$13)))</f>
        <v>1000000000000</v>
      </c>
      <c r="BA31" s="359" t="n">
        <f aca="true">IF(OR($D31&lt;&gt;"Serviço",AND(AUTOEVENTO="Manual",$M31=$A$15),$M31&gt;(ROW(PLE.lastrow)-ROW(PLE.firstrow))),0,
           IF(OFFSET(PLE!$G$15,$M31-$A$15,BA$13)="",10^12,OFFSET(PLE!$G$15,$M31-$A$15,BA$13)))</f>
        <v>1000000000000</v>
      </c>
      <c r="BB31" s="359" t="n">
        <f aca="true">IF(OR($D31&lt;&gt;"Serviço",AND(AUTOEVENTO="Manual",$M31=$A$15),$M31&gt;(ROW(PLE.lastrow)-ROW(PLE.firstrow))),0,
           IF(OFFSET(PLE!$G$15,$M31-$A$15,BB$13)="",10^12,OFFSET(PLE!$G$15,$M31-$A$15,BB$13)))</f>
        <v>1000000000000</v>
      </c>
      <c r="BC31" s="359" t="n">
        <f aca="true">IF(OR($D31&lt;&gt;"Serviço",AND(AUTOEVENTO="Manual",$M31=$A$15),$M31&gt;(ROW(PLE.lastrow)-ROW(PLE.firstrow))),0,
           IF(OFFSET(PLE!$G$15,$M31-$A$15,BC$13)="",10^12,OFFSET(PLE!$G$15,$M31-$A$15,BC$13)))</f>
        <v>1000000000000</v>
      </c>
      <c r="BD31" s="359" t="n">
        <f aca="true">IF(OR($D31&lt;&gt;"Serviço",AND(AUTOEVENTO="Manual",$M31=$A$15),$M31&gt;(ROW(PLE.lastrow)-ROW(PLE.firstrow))),0,
           IF(OFFSET(PLE!$G$15,$M31-$A$15,BD$13)="",10^12,OFFSET(PLE!$G$15,$M31-$A$15,BD$13)))</f>
        <v>1000000000000</v>
      </c>
      <c r="BE31" s="359" t="n">
        <f aca="true">IF(OR($D31&lt;&gt;"Serviço",AND(AUTOEVENTO="Manual",$M31=$A$15),$M31&gt;(ROW(PLE.lastrow)-ROW(PLE.firstrow))),0,
           IF(OFFSET(PLE!$G$15,$M31-$A$15,BE$13)="",10^12,OFFSET(PLE!$G$15,$M31-$A$15,BE$13)))</f>
        <v>1000000000000</v>
      </c>
      <c r="BF31" s="359" t="n">
        <f aca="true">IF(OR($D31&lt;&gt;"Serviço",AND(AUTOEVENTO="Manual",$M31=$A$15),$M31&gt;(ROW(PLE.lastrow)-ROW(PLE.firstrow))),0,
           IF(OFFSET(PLE!$G$15,$M31-$A$15,BF$13)="",10^12,OFFSET(PLE!$G$15,$M31-$A$15,BF$13)))</f>
        <v>1000000000000</v>
      </c>
      <c r="BG31" s="359" t="n">
        <f aca="true">IF(OR($D31&lt;&gt;"Serviço",AND(AUTOEVENTO="Manual",$M31=$A$15),$M31&gt;(ROW(PLE.lastrow)-ROW(PLE.firstrow))),0,
           IF(OFFSET(PLE!$G$15,$M31-$A$15,BG$13)="",10^12,OFFSET(PLE!$G$15,$M31-$A$15,BG$13)))</f>
        <v>1000000000000</v>
      </c>
    </row>
    <row r="32" s="1" customFormat="true" ht="12.75" hidden="false" customHeight="false" outlineLevel="0" collapsed="false">
      <c r="A32" s="49" t="str">
        <f aca="true">IF(AUTOEVENTO="Manual",IF(K32&lt;&gt;"",MIN(VALUE(LEFT(K32,FIND(".",K32)-1)),COUNTA(EVENTOS.Lista)),0),IF(OR($B32&gt;AUTOEVENTO,$B32="S",$B32=0),SUBSTITUTE(OFFSET($A32,-1,0),IF($D32="Serviço",".",""),""),ROW(A32)-ROW($A$15)&amp;"."))</f>
        <v>8</v>
      </c>
      <c r="B32" s="49" t="n">
        <f aca="true">OFFSET(ORÇAMENTO!C$15,ROW(B32)-ROW(B$15),0)</f>
        <v>3</v>
      </c>
      <c r="C32" s="49" t="str">
        <f aca="true">OFFSET(ORÇAMENTO!L$15,ROW(C32)-ROW(C$15),0)</f>
        <v>F</v>
      </c>
      <c r="D32" s="201" t="str">
        <f aca="true">OFFSET(ORÇAMENTO!N$15,ROW(D32)-ROW(D$15),0)</f>
        <v>Nível 3</v>
      </c>
      <c r="E32" s="202" t="str">
        <f aca="true">OFFSET(ORÇAMENTO!O$15,ROW(E32)-ROW(E$15),0)</f>
        <v>1.3.3.</v>
      </c>
      <c r="F32" s="346" t="str">
        <f aca="true">OFFSET(ORÇAMENTO!R$15,ROW(F32)-ROW(F$15),0)</f>
        <v>Sistema de águas pluviais</v>
      </c>
      <c r="G32" s="347" t="str">
        <f aca="true">IF($D32&lt;&gt;"Serviço","",OFFSET(ORÇAMENTO!S$15,ROW(G32)-ROW(G$15),0))</f>
        <v/>
      </c>
      <c r="H32" s="207" t="n">
        <f aca="true">IF($D32&lt;&gt;"Serviço",0,IF(ACOMPANHAMENTO="BM",ROUND(OFFSET(ORÇAMENTO!AJ$15,ROW(H32)-ROW(H$15),0),15-13*ORÇAMENTO!$AF$7),SUMPRODUCT(($Q$1:$AA$1=1)*ROUND($Q32:$AA32,15-13*ORÇAMENTO!$AF$7))))</f>
        <v>0</v>
      </c>
      <c r="I32" s="348"/>
      <c r="J32" s="349" t="str">
        <f aca="false" t="array" ref="J32:J32">IF(B32&lt;&gt;"S","",IF(AND(ACOMPANHAMENTO="PLE",AUTOEVENTO="Manual",OR(H32&gt;0,ORÇAMENTO!AC32="QUANT."),OR(K32="",M32=0,N32="")),"►",IF(AND(ACOMPANHAMENTO="PLE",ORÇAMENTO!AC32="QUANT."),"►►",IF(AND(COUNTIF($P$11:$AA$11,"▼")=0,H32&gt;0,I32=""),"◄",""))))</f>
        <v/>
      </c>
      <c r="K32" s="350"/>
      <c r="L32" s="351" t="s">
        <v>807</v>
      </c>
      <c r="M32" s="352" t="str">
        <f aca="true">IF($D32&lt;&gt;"Serviço","",
          IF(AUTOEVENTO="manual",$A32,
                IF(ISERROR(MATCH($A32,$A$15:OFFSET($A32,-1,0),0)),MAX($M$15:OFFSET(M32,-1,0))+1,
                      INDEX($M$15:OFFSET(M32,-1,0),MATCH($A32,$A$15:OFFSET($A32,-1,0),0)))))</f>
        <v/>
      </c>
      <c r="N32" s="353" t="str">
        <f aca="true">IF($D32&lt;&gt;"Serviço","",
         IF(AUTOEVENTO="Manual",
                IF($A32=0,"&lt;-- defina o número do agrupador",
                       OFFSET(EVENTOS!$D$15,$A32-$A$15,0)),
                OFFSET($F$15,$A32,0)))</f>
        <v/>
      </c>
      <c r="O32" s="354"/>
      <c r="Q32" s="354"/>
      <c r="R32" s="355"/>
      <c r="S32" s="355"/>
      <c r="T32" s="355"/>
      <c r="U32" s="355"/>
      <c r="V32" s="355"/>
      <c r="W32" s="355"/>
      <c r="X32" s="355"/>
      <c r="Y32" s="355"/>
      <c r="Z32" s="356"/>
      <c r="AB32" s="357" t="n">
        <f aca="true">IF(AND($D32="Serviço",AB$12&lt;&gt;0,$H32&gt;0,OR(AUTOEVENTO&lt;&gt;"manual",$M32&lt;&gt;$A$15)),
        IF(Import.TipoArredondamento&lt;&gt;"TransfereGOV",
              ROUND(OFFSET($P32,0,AB$13),15-13*ORÇAMENTO!$AF$7)/$H32*OFFSET(ORÇAMENTO!$X$15,ROW(AB32)-ROW(AB$15),0),
              ROUND(ROUND(OFFSET($P32,0,AB$13),15-13*ORÇAMENTO!$AF$7)*OFFSET(ORÇAMENTO!$W$15,ROW(AB32)-ROW(AB$15),0),15-13*ORÇAMENTO!$AF$11)),
         0)</f>
        <v>0</v>
      </c>
      <c r="AC32" s="357" t="n">
        <f aca="true">IF(AND($D32="Serviço",AC$12&lt;&gt;0,$H32&gt;0,OR(AUTOEVENTO&lt;&gt;"manual",$M32&lt;&gt;$A$15)),
        IF(Import.TipoArredondamento&lt;&gt;"TransfereGOV",
              ROUND(OFFSET($P32,0,AC$13),15-13*ORÇAMENTO!$AF$7)/$H32*OFFSET(ORÇAMENTO!$X$15,ROW(AC32)-ROW(AC$15),0),
              ROUND(ROUND(OFFSET($P32,0,AC$13),15-13*ORÇAMENTO!$AF$7)*OFFSET(ORÇAMENTO!$W$15,ROW(AC32)-ROW(AC$15),0),15-13*ORÇAMENTO!$AF$11)),
         0)</f>
        <v>0</v>
      </c>
      <c r="AD32" s="357" t="n">
        <f aca="true">IF(AND($D32="Serviço",AD$12&lt;&gt;0,$H32&gt;0,OR(AUTOEVENTO&lt;&gt;"manual",$M32&lt;&gt;$A$15)),
        IF(Import.TipoArredondamento&lt;&gt;"TransfereGOV",
              ROUND(OFFSET($P32,0,AD$13),15-13*ORÇAMENTO!$AF$7)/$H32*OFFSET(ORÇAMENTO!$X$15,ROW(AD32)-ROW(AD$15),0),
              ROUND(ROUND(OFFSET($P32,0,AD$13),15-13*ORÇAMENTO!$AF$7)*OFFSET(ORÇAMENTO!$W$15,ROW(AD32)-ROW(AD$15),0),15-13*ORÇAMENTO!$AF$11)),
         0)</f>
        <v>0</v>
      </c>
      <c r="AE32" s="357" t="n">
        <f aca="true">IF(AND($D32="Serviço",AE$12&lt;&gt;0,$H32&gt;0,OR(AUTOEVENTO&lt;&gt;"manual",$M32&lt;&gt;$A$15)),
        IF(Import.TipoArredondamento&lt;&gt;"TransfereGOV",
              ROUND(OFFSET($P32,0,AE$13),15-13*ORÇAMENTO!$AF$7)/$H32*OFFSET(ORÇAMENTO!$X$15,ROW(AE32)-ROW(AE$15),0),
              ROUND(ROUND(OFFSET($P32,0,AE$13),15-13*ORÇAMENTO!$AF$7)*OFFSET(ORÇAMENTO!$W$15,ROW(AE32)-ROW(AE$15),0),15-13*ORÇAMENTO!$AF$11)),
         0)</f>
        <v>0</v>
      </c>
      <c r="AF32" s="357" t="n">
        <f aca="true">IF(AND($D32="Serviço",AF$12&lt;&gt;0,$H32&gt;0,OR(AUTOEVENTO&lt;&gt;"manual",$M32&lt;&gt;$A$15)),
        IF(Import.TipoArredondamento&lt;&gt;"TransfereGOV",
              ROUND(OFFSET($P32,0,AF$13),15-13*ORÇAMENTO!$AF$7)/$H32*OFFSET(ORÇAMENTO!$X$15,ROW(AF32)-ROW(AF$15),0),
              ROUND(ROUND(OFFSET($P32,0,AF$13),15-13*ORÇAMENTO!$AF$7)*OFFSET(ORÇAMENTO!$W$15,ROW(AF32)-ROW(AF$15),0),15-13*ORÇAMENTO!$AF$11)),
         0)</f>
        <v>0</v>
      </c>
      <c r="AG32" s="357" t="n">
        <f aca="true">IF(AND($D32="Serviço",AG$12&lt;&gt;0,$H32&gt;0,OR(AUTOEVENTO&lt;&gt;"manual",$M32&lt;&gt;$A$15)),
        IF(Import.TipoArredondamento&lt;&gt;"TransfereGOV",
              ROUND(OFFSET($P32,0,AG$13),15-13*ORÇAMENTO!$AF$7)/$H32*OFFSET(ORÇAMENTO!$X$15,ROW(AG32)-ROW(AG$15),0),
              ROUND(ROUND(OFFSET($P32,0,AG$13),15-13*ORÇAMENTO!$AF$7)*OFFSET(ORÇAMENTO!$W$15,ROW(AG32)-ROW(AG$15),0),15-13*ORÇAMENTO!$AF$11)),
         0)</f>
        <v>0</v>
      </c>
      <c r="AH32" s="357" t="n">
        <f aca="true">IF(AND($D32="Serviço",AH$12&lt;&gt;0,$H32&gt;0,OR(AUTOEVENTO&lt;&gt;"manual",$M32&lt;&gt;$A$15)),
        IF(Import.TipoArredondamento&lt;&gt;"TransfereGOV",
              ROUND(OFFSET($P32,0,AH$13),15-13*ORÇAMENTO!$AF$7)/$H32*OFFSET(ORÇAMENTO!$X$15,ROW(AH32)-ROW(AH$15),0),
              ROUND(ROUND(OFFSET($P32,0,AH$13),15-13*ORÇAMENTO!$AF$7)*OFFSET(ORÇAMENTO!$W$15,ROW(AH32)-ROW(AH$15),0),15-13*ORÇAMENTO!$AF$11)),
         0)</f>
        <v>0</v>
      </c>
      <c r="AI32" s="357" t="n">
        <f aca="true">IF(AND($D32="Serviço",AI$12&lt;&gt;0,$H32&gt;0,OR(AUTOEVENTO&lt;&gt;"manual",$M32&lt;&gt;$A$15)),
        IF(Import.TipoArredondamento&lt;&gt;"TransfereGOV",
              ROUND(OFFSET($P32,0,AI$13),15-13*ORÇAMENTO!$AF$7)/$H32*OFFSET(ORÇAMENTO!$X$15,ROW(AI32)-ROW(AI$15),0),
              ROUND(ROUND(OFFSET($P32,0,AI$13),15-13*ORÇAMENTO!$AF$7)*OFFSET(ORÇAMENTO!$W$15,ROW(AI32)-ROW(AI$15),0),15-13*ORÇAMENTO!$AF$11)),
         0)</f>
        <v>0</v>
      </c>
      <c r="AJ32" s="357" t="n">
        <f aca="true">IF(AND($D32="Serviço",AJ$12&lt;&gt;0,$H32&gt;0,OR(AUTOEVENTO&lt;&gt;"manual",$M32&lt;&gt;$A$15)),
        IF(Import.TipoArredondamento&lt;&gt;"TransfereGOV",
              ROUND(OFFSET($P32,0,AJ$13),15-13*ORÇAMENTO!$AF$7)/$H32*OFFSET(ORÇAMENTO!$X$15,ROW(AJ32)-ROW(AJ$15),0),
              ROUND(ROUND(OFFSET($P32,0,AJ$13),15-13*ORÇAMENTO!$AF$7)*OFFSET(ORÇAMENTO!$W$15,ROW(AJ32)-ROW(AJ$15),0),15-13*ORÇAMENTO!$AF$11)),
         0)</f>
        <v>0</v>
      </c>
      <c r="AK32" s="357" t="n">
        <f aca="true">IF(AND($D32="Serviço",AK$12&lt;&gt;0,$H32&gt;0,OR(AUTOEVENTO&lt;&gt;"manual",$M32&lt;&gt;$A$15)),
        IF(Import.TipoArredondamento&lt;&gt;"TransfereGOV",
              ROUND(OFFSET($P32,0,AK$13),15-13*ORÇAMENTO!$AF$7)/$H32*OFFSET(ORÇAMENTO!$X$15,ROW(AK32)-ROW(AK$15),0),
              ROUND(ROUND(OFFSET($P32,0,AK$13),15-13*ORÇAMENTO!$AF$7)*OFFSET(ORÇAMENTO!$W$15,ROW(AK32)-ROW(AK$15),0),15-13*ORÇAMENTO!$AF$11)),
         0)</f>
        <v>0</v>
      </c>
      <c r="AM32" s="358" t="n">
        <f aca="true">IF(OR($D32&lt;&gt;"Serviço",AND(AUTOEVENTO="Manual",$M32=$A$15)),0,
         IF(OFFSET(CRONOPLE!$F$15,$M32-$A$15,AM$13)="",10^12,OFFSET(CRONOPLE!$F$15,$M32-$A$15,AM$13)))</f>
        <v>0</v>
      </c>
      <c r="AN32" s="358" t="n">
        <f aca="true">IF(OR($D32&lt;&gt;"Serviço",AND(AUTOEVENTO="Manual",$M32=$A$15)),0,
         IF(OFFSET(CRONOPLE!$F$15,$M32-$A$15,AN$13)="",10^12,OFFSET(CRONOPLE!$F$15,$M32-$A$15,AN$13)))</f>
        <v>0</v>
      </c>
      <c r="AO32" s="358" t="n">
        <f aca="true">IF(OR($D32&lt;&gt;"Serviço",AND(AUTOEVENTO="Manual",$M32=$A$15)),0,
         IF(OFFSET(CRONOPLE!$F$15,$M32-$A$15,AO$13)="",10^12,OFFSET(CRONOPLE!$F$15,$M32-$A$15,AO$13)))</f>
        <v>0</v>
      </c>
      <c r="AP32" s="358" t="n">
        <f aca="true">IF(OR($D32&lt;&gt;"Serviço",AND(AUTOEVENTO="Manual",$M32=$A$15)),0,
         IF(OFFSET(CRONOPLE!$F$15,$M32-$A$15,AP$13)="",10^12,OFFSET(CRONOPLE!$F$15,$M32-$A$15,AP$13)))</f>
        <v>0</v>
      </c>
      <c r="AQ32" s="358" t="n">
        <f aca="true">IF(OR($D32&lt;&gt;"Serviço",AND(AUTOEVENTO="Manual",$M32=$A$15)),0,
         IF(OFFSET(CRONOPLE!$F$15,$M32-$A$15,AQ$13)="",10^12,OFFSET(CRONOPLE!$F$15,$M32-$A$15,AQ$13)))</f>
        <v>0</v>
      </c>
      <c r="AR32" s="358" t="n">
        <f aca="true">IF(OR($D32&lt;&gt;"Serviço",AND(AUTOEVENTO="Manual",$M32=$A$15)),0,
         IF(OFFSET(CRONOPLE!$F$15,$M32-$A$15,AR$13)="",10^12,OFFSET(CRONOPLE!$F$15,$M32-$A$15,AR$13)))</f>
        <v>0</v>
      </c>
      <c r="AS32" s="358" t="n">
        <f aca="true">IF(OR($D32&lt;&gt;"Serviço",AND(AUTOEVENTO="Manual",$M32=$A$15)),0,
         IF(OFFSET(CRONOPLE!$F$15,$M32-$A$15,AS$13)="",10^12,OFFSET(CRONOPLE!$F$15,$M32-$A$15,AS$13)))</f>
        <v>0</v>
      </c>
      <c r="AT32" s="358" t="n">
        <f aca="true">IF(OR($D32&lt;&gt;"Serviço",AND(AUTOEVENTO="Manual",$M32=$A$15)),0,
         IF(OFFSET(CRONOPLE!$F$15,$M32-$A$15,AT$13)="",10^12,OFFSET(CRONOPLE!$F$15,$M32-$A$15,AT$13)))</f>
        <v>0</v>
      </c>
      <c r="AU32" s="358" t="n">
        <f aca="true">IF(OR($D32&lt;&gt;"Serviço",AND(AUTOEVENTO="Manual",$M32=$A$15)),0,
         IF(OFFSET(CRONOPLE!$F$15,$M32-$A$15,AU$13)="",10^12,OFFSET(CRONOPLE!$F$15,$M32-$A$15,AU$13)))</f>
        <v>0</v>
      </c>
      <c r="AV32" s="358" t="n">
        <f aca="true">IF(OR($D32&lt;&gt;"Serviço",AND(AUTOEVENTO="Manual",$M32=$A$15)),0,
         IF(OFFSET(CRONOPLE!$F$15,$M32-$A$15,AV$13)="",10^12,OFFSET(CRONOPLE!$F$15,$M32-$A$15,AV$13)))</f>
        <v>0</v>
      </c>
      <c r="AX32" s="359" t="n">
        <f aca="true">IF(OR($D32&lt;&gt;"Serviço",AND(AUTOEVENTO="Manual",$M32=$A$15),$M32&gt;(ROW(PLE.lastrow)-ROW(PLE.firstrow))),0,
           IF(OFFSET(PLE!$G$15,$M32-$A$15,AX$13)="",10^12,OFFSET(PLE!$G$15,$M32-$A$15,AX$13)))</f>
        <v>0</v>
      </c>
      <c r="AY32" s="359" t="n">
        <f aca="true">IF(OR($D32&lt;&gt;"Serviço",AND(AUTOEVENTO="Manual",$M32=$A$15),$M32&gt;(ROW(PLE.lastrow)-ROW(PLE.firstrow))),0,
           IF(OFFSET(PLE!$G$15,$M32-$A$15,AY$13)="",10^12,OFFSET(PLE!$G$15,$M32-$A$15,AY$13)))</f>
        <v>0</v>
      </c>
      <c r="AZ32" s="359" t="n">
        <f aca="true">IF(OR($D32&lt;&gt;"Serviço",AND(AUTOEVENTO="Manual",$M32=$A$15),$M32&gt;(ROW(PLE.lastrow)-ROW(PLE.firstrow))),0,
           IF(OFFSET(PLE!$G$15,$M32-$A$15,AZ$13)="",10^12,OFFSET(PLE!$G$15,$M32-$A$15,AZ$13)))</f>
        <v>0</v>
      </c>
      <c r="BA32" s="359" t="n">
        <f aca="true">IF(OR($D32&lt;&gt;"Serviço",AND(AUTOEVENTO="Manual",$M32=$A$15),$M32&gt;(ROW(PLE.lastrow)-ROW(PLE.firstrow))),0,
           IF(OFFSET(PLE!$G$15,$M32-$A$15,BA$13)="",10^12,OFFSET(PLE!$G$15,$M32-$A$15,BA$13)))</f>
        <v>0</v>
      </c>
      <c r="BB32" s="359" t="n">
        <f aca="true">IF(OR($D32&lt;&gt;"Serviço",AND(AUTOEVENTO="Manual",$M32=$A$15),$M32&gt;(ROW(PLE.lastrow)-ROW(PLE.firstrow))),0,
           IF(OFFSET(PLE!$G$15,$M32-$A$15,BB$13)="",10^12,OFFSET(PLE!$G$15,$M32-$A$15,BB$13)))</f>
        <v>0</v>
      </c>
      <c r="BC32" s="359" t="n">
        <f aca="true">IF(OR($D32&lt;&gt;"Serviço",AND(AUTOEVENTO="Manual",$M32=$A$15),$M32&gt;(ROW(PLE.lastrow)-ROW(PLE.firstrow))),0,
           IF(OFFSET(PLE!$G$15,$M32-$A$15,BC$13)="",10^12,OFFSET(PLE!$G$15,$M32-$A$15,BC$13)))</f>
        <v>0</v>
      </c>
      <c r="BD32" s="359" t="n">
        <f aca="true">IF(OR($D32&lt;&gt;"Serviço",AND(AUTOEVENTO="Manual",$M32=$A$15),$M32&gt;(ROW(PLE.lastrow)-ROW(PLE.firstrow))),0,
           IF(OFFSET(PLE!$G$15,$M32-$A$15,BD$13)="",10^12,OFFSET(PLE!$G$15,$M32-$A$15,BD$13)))</f>
        <v>0</v>
      </c>
      <c r="BE32" s="359" t="n">
        <f aca="true">IF(OR($D32&lt;&gt;"Serviço",AND(AUTOEVENTO="Manual",$M32=$A$15),$M32&gt;(ROW(PLE.lastrow)-ROW(PLE.firstrow))),0,
           IF(OFFSET(PLE!$G$15,$M32-$A$15,BE$13)="",10^12,OFFSET(PLE!$G$15,$M32-$A$15,BE$13)))</f>
        <v>0</v>
      </c>
      <c r="BF32" s="359" t="n">
        <f aca="true">IF(OR($D32&lt;&gt;"Serviço",AND(AUTOEVENTO="Manual",$M32=$A$15),$M32&gt;(ROW(PLE.lastrow)-ROW(PLE.firstrow))),0,
           IF(OFFSET(PLE!$G$15,$M32-$A$15,BF$13)="",10^12,OFFSET(PLE!$G$15,$M32-$A$15,BF$13)))</f>
        <v>0</v>
      </c>
      <c r="BG32" s="359" t="n">
        <f aca="true">IF(OR($D32&lt;&gt;"Serviço",AND(AUTOEVENTO="Manual",$M32=$A$15),$M32&gt;(ROW(PLE.lastrow)-ROW(PLE.firstrow))),0,
           IF(OFFSET(PLE!$G$15,$M32-$A$15,BG$13)="",10^12,OFFSET(PLE!$G$15,$M32-$A$15,BG$13)))</f>
        <v>0</v>
      </c>
    </row>
    <row r="33" s="1" customFormat="true" ht="38.25" hidden="false" customHeight="false" outlineLevel="0" collapsed="false">
      <c r="A33" s="49" t="str">
        <f aca="true">IF(AUTOEVENTO="Manual",IF(K33&lt;&gt;"",MIN(VALUE(LEFT(K33,FIND(".",K33)-1)),COUNTA(EVENTOS.Lista)),0),IF(OR($B33&gt;AUTOEVENTO,$B33="S",$B33=0),SUBSTITUTE(OFFSET($A33,-1,0),IF($D33="Serviço",".",""),""),ROW(A33)-ROW($A$15)&amp;"."))</f>
        <v>8</v>
      </c>
      <c r="B33" s="49" t="str">
        <f aca="true">OFFSET(ORÇAMENTO!C$15,ROW(B33)-ROW(B$15),0)</f>
        <v>S</v>
      </c>
      <c r="C33" s="49" t="str">
        <f aca="true">OFFSET(ORÇAMENTO!L$15,ROW(C33)-ROW(C$15),0)</f>
        <v/>
      </c>
      <c r="D33" s="201" t="str">
        <f aca="true">OFFSET(ORÇAMENTO!N$15,ROW(D33)-ROW(D$15),0)</f>
        <v>Serviço</v>
      </c>
      <c r="E33" s="202" t="str">
        <f aca="true">OFFSET(ORÇAMENTO!O$15,ROW(E33)-ROW(E$15),0)</f>
        <v>-</v>
      </c>
      <c r="F33" s="346" t="str">
        <f aca="true">OFFSET(ORÇAMENTO!R$15,ROW(F33)-ROW(F$15),0)</f>
        <v>(abra o arquivo 'Referência 09-2025.xlsm)</v>
      </c>
      <c r="G33" s="347" t="str">
        <f aca="true">IF($D33&lt;&gt;"Serviço","",OFFSET(ORÇAMENTO!S$15,ROW(G33)-ROW(G$15),0))</f>
        <v>-</v>
      </c>
      <c r="H33" s="207" t="n">
        <f aca="true">IF($D33&lt;&gt;"Serviço",0,IF(ACOMPANHAMENTO="BM",ROUND(OFFSET(ORÇAMENTO!AJ$15,ROW(H33)-ROW(H$15),0),15-13*ORÇAMENTO!$AF$7),SUMPRODUCT(($Q$1:$AA$1=1)*ROUND($Q33:$AA33,15-13*ORÇAMENTO!$AF$7))))</f>
        <v>88.5</v>
      </c>
      <c r="I33" s="348"/>
      <c r="J33" s="349" t="str">
        <f aca="false" t="array" ref="J33:J33">IF(B33&lt;&gt;"S","",IF(AND(ACOMPANHAMENTO="PLE",AUTOEVENTO="Manual",OR(H33&gt;0,ORÇAMENTO!AC33="QUANT."),OR(K33="",M33=0,N33="")),"►",IF(AND(ACOMPANHAMENTO="PLE",ORÇAMENTO!AC33="QUANT."),"►►",IF(AND(COUNTIF($P$11:$AA$11,"▼")=0,H33&gt;0,I33=""),"◄",""))))</f>
        <v>◄</v>
      </c>
      <c r="K33" s="350"/>
      <c r="L33" s="351" t="s">
        <v>807</v>
      </c>
      <c r="M33" s="352" t="n">
        <f aca="true">IF($D33&lt;&gt;"Serviço","",
          IF(AUTOEVENTO="manual",$A33,
                IF(ISERROR(MATCH($A33,$A$15:OFFSET($A33,-1,0),0)),MAX($M$15:OFFSET(M33,-1,0))+1,
                      INDEX($M$15:OFFSET(M33,-1,0),MATCH($A33,$A$15:OFFSET($A33,-1,0),0)))))</f>
        <v>3</v>
      </c>
      <c r="N33" s="353" t="str">
        <f aca="true">IF($D33&lt;&gt;"Serviço","",
         IF(AUTOEVENTO="Manual",
                IF($A33=0,"&lt;-- defina o número do agrupador",
                       OFFSET(EVENTOS!$D$15,$A33-$A$15,0)),
                OFFSET($F$15,$A33,0)))</f>
        <v>REFORMA DO TELHADO - PARTE B</v>
      </c>
      <c r="O33" s="354"/>
      <c r="Q33" s="354"/>
      <c r="R33" s="355"/>
      <c r="S33" s="355"/>
      <c r="T33" s="355"/>
      <c r="U33" s="355"/>
      <c r="V33" s="355"/>
      <c r="W33" s="355"/>
      <c r="X33" s="355"/>
      <c r="Y33" s="355"/>
      <c r="Z33" s="356"/>
      <c r="AB33" s="357" t="n">
        <f aca="true">IF(AND($D33="Serviço",AB$12&lt;&gt;0,$H33&gt;0,OR(AUTOEVENTO&lt;&gt;"manual",$M33&lt;&gt;$A$15)),
        IF(Import.TipoArredondamento&lt;&gt;"TransfereGOV",
              ROUND(OFFSET($P33,0,AB$13),15-13*ORÇAMENTO!$AF$7)/$H33*OFFSET(ORÇAMENTO!$X$15,ROW(AB33)-ROW(AB$15),0),
              ROUND(ROUND(OFFSET($P33,0,AB$13),15-13*ORÇAMENTO!$AF$7)*OFFSET(ORÇAMENTO!$W$15,ROW(AB33)-ROW(AB$15),0),15-13*ORÇAMENTO!$AF$11)),
         0)</f>
        <v>0</v>
      </c>
      <c r="AC33" s="357" t="n">
        <f aca="true">IF(AND($D33="Serviço",AC$12&lt;&gt;0,$H33&gt;0,OR(AUTOEVENTO&lt;&gt;"manual",$M33&lt;&gt;$A$15)),
        IF(Import.TipoArredondamento&lt;&gt;"TransfereGOV",
              ROUND(OFFSET($P33,0,AC$13),15-13*ORÇAMENTO!$AF$7)/$H33*OFFSET(ORÇAMENTO!$X$15,ROW(AC33)-ROW(AC$15),0),
              ROUND(ROUND(OFFSET($P33,0,AC$13),15-13*ORÇAMENTO!$AF$7)*OFFSET(ORÇAMENTO!$W$15,ROW(AC33)-ROW(AC$15),0),15-13*ORÇAMENTO!$AF$11)),
         0)</f>
        <v>0</v>
      </c>
      <c r="AD33" s="357" t="n">
        <f aca="true">IF(AND($D33="Serviço",AD$12&lt;&gt;0,$H33&gt;0,OR(AUTOEVENTO&lt;&gt;"manual",$M33&lt;&gt;$A$15)),
        IF(Import.TipoArredondamento&lt;&gt;"TransfereGOV",
              ROUND(OFFSET($P33,0,AD$13),15-13*ORÇAMENTO!$AF$7)/$H33*OFFSET(ORÇAMENTO!$X$15,ROW(AD33)-ROW(AD$15),0),
              ROUND(ROUND(OFFSET($P33,0,AD$13),15-13*ORÇAMENTO!$AF$7)*OFFSET(ORÇAMENTO!$W$15,ROW(AD33)-ROW(AD$15),0),15-13*ORÇAMENTO!$AF$11)),
         0)</f>
        <v>0</v>
      </c>
      <c r="AE33" s="357" t="n">
        <f aca="true">IF(AND($D33="Serviço",AE$12&lt;&gt;0,$H33&gt;0,OR(AUTOEVENTO&lt;&gt;"manual",$M33&lt;&gt;$A$15)),
        IF(Import.TipoArredondamento&lt;&gt;"TransfereGOV",
              ROUND(OFFSET($P33,0,AE$13),15-13*ORÇAMENTO!$AF$7)/$H33*OFFSET(ORÇAMENTO!$X$15,ROW(AE33)-ROW(AE$15),0),
              ROUND(ROUND(OFFSET($P33,0,AE$13),15-13*ORÇAMENTO!$AF$7)*OFFSET(ORÇAMENTO!$W$15,ROW(AE33)-ROW(AE$15),0),15-13*ORÇAMENTO!$AF$11)),
         0)</f>
        <v>0</v>
      </c>
      <c r="AF33" s="357" t="n">
        <f aca="true">IF(AND($D33="Serviço",AF$12&lt;&gt;0,$H33&gt;0,OR(AUTOEVENTO&lt;&gt;"manual",$M33&lt;&gt;$A$15)),
        IF(Import.TipoArredondamento&lt;&gt;"TransfereGOV",
              ROUND(OFFSET($P33,0,AF$13),15-13*ORÇAMENTO!$AF$7)/$H33*OFFSET(ORÇAMENTO!$X$15,ROW(AF33)-ROW(AF$15),0),
              ROUND(ROUND(OFFSET($P33,0,AF$13),15-13*ORÇAMENTO!$AF$7)*OFFSET(ORÇAMENTO!$W$15,ROW(AF33)-ROW(AF$15),0),15-13*ORÇAMENTO!$AF$11)),
         0)</f>
        <v>0</v>
      </c>
      <c r="AG33" s="357" t="n">
        <f aca="true">IF(AND($D33="Serviço",AG$12&lt;&gt;0,$H33&gt;0,OR(AUTOEVENTO&lt;&gt;"manual",$M33&lt;&gt;$A$15)),
        IF(Import.TipoArredondamento&lt;&gt;"TransfereGOV",
              ROUND(OFFSET($P33,0,AG$13),15-13*ORÇAMENTO!$AF$7)/$H33*OFFSET(ORÇAMENTO!$X$15,ROW(AG33)-ROW(AG$15),0),
              ROUND(ROUND(OFFSET($P33,0,AG$13),15-13*ORÇAMENTO!$AF$7)*OFFSET(ORÇAMENTO!$W$15,ROW(AG33)-ROW(AG$15),0),15-13*ORÇAMENTO!$AF$11)),
         0)</f>
        <v>0</v>
      </c>
      <c r="AH33" s="357" t="n">
        <f aca="true">IF(AND($D33="Serviço",AH$12&lt;&gt;0,$H33&gt;0,OR(AUTOEVENTO&lt;&gt;"manual",$M33&lt;&gt;$A$15)),
        IF(Import.TipoArredondamento&lt;&gt;"TransfereGOV",
              ROUND(OFFSET($P33,0,AH$13),15-13*ORÇAMENTO!$AF$7)/$H33*OFFSET(ORÇAMENTO!$X$15,ROW(AH33)-ROW(AH$15),0),
              ROUND(ROUND(OFFSET($P33,0,AH$13),15-13*ORÇAMENTO!$AF$7)*OFFSET(ORÇAMENTO!$W$15,ROW(AH33)-ROW(AH$15),0),15-13*ORÇAMENTO!$AF$11)),
         0)</f>
        <v>0</v>
      </c>
      <c r="AI33" s="357" t="n">
        <f aca="true">IF(AND($D33="Serviço",AI$12&lt;&gt;0,$H33&gt;0,OR(AUTOEVENTO&lt;&gt;"manual",$M33&lt;&gt;$A$15)),
        IF(Import.TipoArredondamento&lt;&gt;"TransfereGOV",
              ROUND(OFFSET($P33,0,AI$13),15-13*ORÇAMENTO!$AF$7)/$H33*OFFSET(ORÇAMENTO!$X$15,ROW(AI33)-ROW(AI$15),0),
              ROUND(ROUND(OFFSET($P33,0,AI$13),15-13*ORÇAMENTO!$AF$7)*OFFSET(ORÇAMENTO!$W$15,ROW(AI33)-ROW(AI$15),0),15-13*ORÇAMENTO!$AF$11)),
         0)</f>
        <v>0</v>
      </c>
      <c r="AJ33" s="357" t="n">
        <f aca="true">IF(AND($D33="Serviço",AJ$12&lt;&gt;0,$H33&gt;0,OR(AUTOEVENTO&lt;&gt;"manual",$M33&lt;&gt;$A$15)),
        IF(Import.TipoArredondamento&lt;&gt;"TransfereGOV",
              ROUND(OFFSET($P33,0,AJ$13),15-13*ORÇAMENTO!$AF$7)/$H33*OFFSET(ORÇAMENTO!$X$15,ROW(AJ33)-ROW(AJ$15),0),
              ROUND(ROUND(OFFSET($P33,0,AJ$13),15-13*ORÇAMENTO!$AF$7)*OFFSET(ORÇAMENTO!$W$15,ROW(AJ33)-ROW(AJ$15),0),15-13*ORÇAMENTO!$AF$11)),
         0)</f>
        <v>0</v>
      </c>
      <c r="AK33" s="357" t="n">
        <f aca="true">IF(AND($D33="Serviço",AK$12&lt;&gt;0,$H33&gt;0,OR(AUTOEVENTO&lt;&gt;"manual",$M33&lt;&gt;$A$15)),
        IF(Import.TipoArredondamento&lt;&gt;"TransfereGOV",
              ROUND(OFFSET($P33,0,AK$13),15-13*ORÇAMENTO!$AF$7)/$H33*OFFSET(ORÇAMENTO!$X$15,ROW(AK33)-ROW(AK$15),0),
              ROUND(ROUND(OFFSET($P33,0,AK$13),15-13*ORÇAMENTO!$AF$7)*OFFSET(ORÇAMENTO!$W$15,ROW(AK33)-ROW(AK$15),0),15-13*ORÇAMENTO!$AF$11)),
         0)</f>
        <v>0</v>
      </c>
      <c r="AM33" s="358" t="n">
        <f aca="true">IF(OR($D33&lt;&gt;"Serviço",AND(AUTOEVENTO="Manual",$M33=$A$15)),0,
         IF(OFFSET(CRONOPLE!$F$15,$M33-$A$15,AM$13)="",10^12,OFFSET(CRONOPLE!$F$15,$M33-$A$15,AM$13)))</f>
        <v>1000000000000</v>
      </c>
      <c r="AN33" s="358" t="n">
        <f aca="true">IF(OR($D33&lt;&gt;"Serviço",AND(AUTOEVENTO="Manual",$M33=$A$15)),0,
         IF(OFFSET(CRONOPLE!$F$15,$M33-$A$15,AN$13)="",10^12,OFFSET(CRONOPLE!$F$15,$M33-$A$15,AN$13)))</f>
        <v>1000000000000</v>
      </c>
      <c r="AO33" s="358" t="n">
        <f aca="true">IF(OR($D33&lt;&gt;"Serviço",AND(AUTOEVENTO="Manual",$M33=$A$15)),0,
         IF(OFFSET(CRONOPLE!$F$15,$M33-$A$15,AO$13)="",10^12,OFFSET(CRONOPLE!$F$15,$M33-$A$15,AO$13)))</f>
        <v>1000000000000</v>
      </c>
      <c r="AP33" s="358" t="n">
        <f aca="true">IF(OR($D33&lt;&gt;"Serviço",AND(AUTOEVENTO="Manual",$M33=$A$15)),0,
         IF(OFFSET(CRONOPLE!$F$15,$M33-$A$15,AP$13)="",10^12,OFFSET(CRONOPLE!$F$15,$M33-$A$15,AP$13)))</f>
        <v>1000000000000</v>
      </c>
      <c r="AQ33" s="358" t="n">
        <f aca="true">IF(OR($D33&lt;&gt;"Serviço",AND(AUTOEVENTO="Manual",$M33=$A$15)),0,
         IF(OFFSET(CRONOPLE!$F$15,$M33-$A$15,AQ$13)="",10^12,OFFSET(CRONOPLE!$F$15,$M33-$A$15,AQ$13)))</f>
        <v>1000000000000</v>
      </c>
      <c r="AR33" s="358" t="n">
        <f aca="true">IF(OR($D33&lt;&gt;"Serviço",AND(AUTOEVENTO="Manual",$M33=$A$15)),0,
         IF(OFFSET(CRONOPLE!$F$15,$M33-$A$15,AR$13)="",10^12,OFFSET(CRONOPLE!$F$15,$M33-$A$15,AR$13)))</f>
        <v>1000000000000</v>
      </c>
      <c r="AS33" s="358" t="n">
        <f aca="true">IF(OR($D33&lt;&gt;"Serviço",AND(AUTOEVENTO="Manual",$M33=$A$15)),0,
         IF(OFFSET(CRONOPLE!$F$15,$M33-$A$15,AS$13)="",10^12,OFFSET(CRONOPLE!$F$15,$M33-$A$15,AS$13)))</f>
        <v>1000000000000</v>
      </c>
      <c r="AT33" s="358" t="n">
        <f aca="true">IF(OR($D33&lt;&gt;"Serviço",AND(AUTOEVENTO="Manual",$M33=$A$15)),0,
         IF(OFFSET(CRONOPLE!$F$15,$M33-$A$15,AT$13)="",10^12,OFFSET(CRONOPLE!$F$15,$M33-$A$15,AT$13)))</f>
        <v>1000000000000</v>
      </c>
      <c r="AU33" s="358" t="n">
        <f aca="true">IF(OR($D33&lt;&gt;"Serviço",AND(AUTOEVENTO="Manual",$M33=$A$15)),0,
         IF(OFFSET(CRONOPLE!$F$15,$M33-$A$15,AU$13)="",10^12,OFFSET(CRONOPLE!$F$15,$M33-$A$15,AU$13)))</f>
        <v>1000000000000</v>
      </c>
      <c r="AV33" s="358" t="n">
        <f aca="true">IF(OR($D33&lt;&gt;"Serviço",AND(AUTOEVENTO="Manual",$M33=$A$15)),0,
         IF(OFFSET(CRONOPLE!$F$15,$M33-$A$15,AV$13)="",10^12,OFFSET(CRONOPLE!$F$15,$M33-$A$15,AV$13)))</f>
        <v>1000000000000</v>
      </c>
      <c r="AX33" s="359" t="n">
        <f aca="true">IF(OR($D33&lt;&gt;"Serviço",AND(AUTOEVENTO="Manual",$M33=$A$15),$M33&gt;(ROW(PLE.lastrow)-ROW(PLE.firstrow))),0,
           IF(OFFSET(PLE!$G$15,$M33-$A$15,AX$13)="",10^12,OFFSET(PLE!$G$15,$M33-$A$15,AX$13)))</f>
        <v>1000000000000</v>
      </c>
      <c r="AY33" s="359" t="n">
        <f aca="true">IF(OR($D33&lt;&gt;"Serviço",AND(AUTOEVENTO="Manual",$M33=$A$15),$M33&gt;(ROW(PLE.lastrow)-ROW(PLE.firstrow))),0,
           IF(OFFSET(PLE!$G$15,$M33-$A$15,AY$13)="",10^12,OFFSET(PLE!$G$15,$M33-$A$15,AY$13)))</f>
        <v>1000000000000</v>
      </c>
      <c r="AZ33" s="359" t="n">
        <f aca="true">IF(OR($D33&lt;&gt;"Serviço",AND(AUTOEVENTO="Manual",$M33=$A$15),$M33&gt;(ROW(PLE.lastrow)-ROW(PLE.firstrow))),0,
           IF(OFFSET(PLE!$G$15,$M33-$A$15,AZ$13)="",10^12,OFFSET(PLE!$G$15,$M33-$A$15,AZ$13)))</f>
        <v>1000000000000</v>
      </c>
      <c r="BA33" s="359" t="n">
        <f aca="true">IF(OR($D33&lt;&gt;"Serviço",AND(AUTOEVENTO="Manual",$M33=$A$15),$M33&gt;(ROW(PLE.lastrow)-ROW(PLE.firstrow))),0,
           IF(OFFSET(PLE!$G$15,$M33-$A$15,BA$13)="",10^12,OFFSET(PLE!$G$15,$M33-$A$15,BA$13)))</f>
        <v>1000000000000</v>
      </c>
      <c r="BB33" s="359" t="n">
        <f aca="true">IF(OR($D33&lt;&gt;"Serviço",AND(AUTOEVENTO="Manual",$M33=$A$15),$M33&gt;(ROW(PLE.lastrow)-ROW(PLE.firstrow))),0,
           IF(OFFSET(PLE!$G$15,$M33-$A$15,BB$13)="",10^12,OFFSET(PLE!$G$15,$M33-$A$15,BB$13)))</f>
        <v>1000000000000</v>
      </c>
      <c r="BC33" s="359" t="n">
        <f aca="true">IF(OR($D33&lt;&gt;"Serviço",AND(AUTOEVENTO="Manual",$M33=$A$15),$M33&gt;(ROW(PLE.lastrow)-ROW(PLE.firstrow))),0,
           IF(OFFSET(PLE!$G$15,$M33-$A$15,BC$13)="",10^12,OFFSET(PLE!$G$15,$M33-$A$15,BC$13)))</f>
        <v>1000000000000</v>
      </c>
      <c r="BD33" s="359" t="n">
        <f aca="true">IF(OR($D33&lt;&gt;"Serviço",AND(AUTOEVENTO="Manual",$M33=$A$15),$M33&gt;(ROW(PLE.lastrow)-ROW(PLE.firstrow))),0,
           IF(OFFSET(PLE!$G$15,$M33-$A$15,BD$13)="",10^12,OFFSET(PLE!$G$15,$M33-$A$15,BD$13)))</f>
        <v>1000000000000</v>
      </c>
      <c r="BE33" s="359" t="n">
        <f aca="true">IF(OR($D33&lt;&gt;"Serviço",AND(AUTOEVENTO="Manual",$M33=$A$15),$M33&gt;(ROW(PLE.lastrow)-ROW(PLE.firstrow))),0,
           IF(OFFSET(PLE!$G$15,$M33-$A$15,BE$13)="",10^12,OFFSET(PLE!$G$15,$M33-$A$15,BE$13)))</f>
        <v>1000000000000</v>
      </c>
      <c r="BF33" s="359" t="n">
        <f aca="true">IF(OR($D33&lt;&gt;"Serviço",AND(AUTOEVENTO="Manual",$M33=$A$15),$M33&gt;(ROW(PLE.lastrow)-ROW(PLE.firstrow))),0,
           IF(OFFSET(PLE!$G$15,$M33-$A$15,BF$13)="",10^12,OFFSET(PLE!$G$15,$M33-$A$15,BF$13)))</f>
        <v>1000000000000</v>
      </c>
      <c r="BG33" s="359" t="n">
        <f aca="true">IF(OR($D33&lt;&gt;"Serviço",AND(AUTOEVENTO="Manual",$M33=$A$15),$M33&gt;(ROW(PLE.lastrow)-ROW(PLE.firstrow))),0,
           IF(OFFSET(PLE!$G$15,$M33-$A$15,BG$13)="",10^12,OFFSET(PLE!$G$15,$M33-$A$15,BG$13)))</f>
        <v>1000000000000</v>
      </c>
    </row>
    <row r="34" s="1" customFormat="true" ht="38.25" hidden="false" customHeight="false" outlineLevel="0" collapsed="false">
      <c r="A34" s="49" t="str">
        <f aca="true">IF(AUTOEVENTO="Manual",IF(K34&lt;&gt;"",MIN(VALUE(LEFT(K34,FIND(".",K34)-1)),COUNTA(EVENTOS.Lista)),0),IF(OR($B34&gt;AUTOEVENTO,$B34="S",$B34=0),SUBSTITUTE(OFFSET($A34,-1,0),IF($D34="Serviço",".",""),""),ROW(A34)-ROW($A$15)&amp;"."))</f>
        <v>8</v>
      </c>
      <c r="B34" s="49" t="str">
        <f aca="true">OFFSET(ORÇAMENTO!C$15,ROW(B34)-ROW(B$15),0)</f>
        <v>S</v>
      </c>
      <c r="C34" s="49" t="str">
        <f aca="true">OFFSET(ORÇAMENTO!L$15,ROW(C34)-ROW(C$15),0)</f>
        <v/>
      </c>
      <c r="D34" s="201" t="str">
        <f aca="true">OFFSET(ORÇAMENTO!N$15,ROW(D34)-ROW(D$15),0)</f>
        <v>Serviço</v>
      </c>
      <c r="E34" s="202" t="str">
        <f aca="true">OFFSET(ORÇAMENTO!O$15,ROW(E34)-ROW(E$15),0)</f>
        <v>-</v>
      </c>
      <c r="F34" s="346" t="str">
        <f aca="true">OFFSET(ORÇAMENTO!R$15,ROW(F34)-ROW(F$15),0)</f>
        <v>(abra o arquivo 'Referência 09-2025.xlsm)</v>
      </c>
      <c r="G34" s="347" t="str">
        <f aca="true">IF($D34&lt;&gt;"Serviço","",OFFSET(ORÇAMENTO!S$15,ROW(G34)-ROW(G$15),0))</f>
        <v>-</v>
      </c>
      <c r="H34" s="207" t="n">
        <f aca="true">IF($D34&lt;&gt;"Serviço",0,IF(ACOMPANHAMENTO="BM",ROUND(OFFSET(ORÇAMENTO!AJ$15,ROW(H34)-ROW(H$15),0),15-13*ORÇAMENTO!$AF$7),SUMPRODUCT(($Q$1:$AA$1=1)*ROUND($Q34:$AA34,15-13*ORÇAMENTO!$AF$7))))</f>
        <v>22.125</v>
      </c>
      <c r="I34" s="348"/>
      <c r="J34" s="349" t="str">
        <f aca="false" t="array" ref="J34:J34">IF(B34&lt;&gt;"S","",IF(AND(ACOMPANHAMENTO="PLE",AUTOEVENTO="Manual",OR(H34&gt;0,ORÇAMENTO!AC34="QUANT."),OR(K34="",M34=0,N34="")),"►",IF(AND(ACOMPANHAMENTO="PLE",ORÇAMENTO!AC34="QUANT."),"►►",IF(AND(COUNTIF($P$11:$AA$11,"▼")=0,H34&gt;0,I34=""),"◄",""))))</f>
        <v>◄</v>
      </c>
      <c r="K34" s="350"/>
      <c r="L34" s="351" t="s">
        <v>807</v>
      </c>
      <c r="M34" s="352" t="n">
        <f aca="true">IF($D34&lt;&gt;"Serviço","",
          IF(AUTOEVENTO="manual",$A34,
                IF(ISERROR(MATCH($A34,$A$15:OFFSET($A34,-1,0),0)),MAX($M$15:OFFSET(M34,-1,0))+1,
                      INDEX($M$15:OFFSET(M34,-1,0),MATCH($A34,$A$15:OFFSET($A34,-1,0),0)))))</f>
        <v>3</v>
      </c>
      <c r="N34" s="353" t="str">
        <f aca="true">IF($D34&lt;&gt;"Serviço","",
         IF(AUTOEVENTO="Manual",
                IF($A34=0,"&lt;-- defina o número do agrupador",
                       OFFSET(EVENTOS!$D$15,$A34-$A$15,0)),
                OFFSET($F$15,$A34,0)))</f>
        <v>REFORMA DO TELHADO - PARTE B</v>
      </c>
      <c r="O34" s="354"/>
      <c r="Q34" s="354"/>
      <c r="R34" s="355"/>
      <c r="S34" s="355"/>
      <c r="T34" s="355"/>
      <c r="U34" s="355"/>
      <c r="V34" s="355"/>
      <c r="W34" s="355"/>
      <c r="X34" s="355"/>
      <c r="Y34" s="355"/>
      <c r="Z34" s="356"/>
      <c r="AB34" s="357" t="n">
        <f aca="true">IF(AND($D34="Serviço",AB$12&lt;&gt;0,$H34&gt;0,OR(AUTOEVENTO&lt;&gt;"manual",$M34&lt;&gt;$A$15)),
        IF(Import.TipoArredondamento&lt;&gt;"TransfereGOV",
              ROUND(OFFSET($P34,0,AB$13),15-13*ORÇAMENTO!$AF$7)/$H34*OFFSET(ORÇAMENTO!$X$15,ROW(AB34)-ROW(AB$15),0),
              ROUND(ROUND(OFFSET($P34,0,AB$13),15-13*ORÇAMENTO!$AF$7)*OFFSET(ORÇAMENTO!$W$15,ROW(AB34)-ROW(AB$15),0),15-13*ORÇAMENTO!$AF$11)),
         0)</f>
        <v>0</v>
      </c>
      <c r="AC34" s="357" t="n">
        <f aca="true">IF(AND($D34="Serviço",AC$12&lt;&gt;0,$H34&gt;0,OR(AUTOEVENTO&lt;&gt;"manual",$M34&lt;&gt;$A$15)),
        IF(Import.TipoArredondamento&lt;&gt;"TransfereGOV",
              ROUND(OFFSET($P34,0,AC$13),15-13*ORÇAMENTO!$AF$7)/$H34*OFFSET(ORÇAMENTO!$X$15,ROW(AC34)-ROW(AC$15),0),
              ROUND(ROUND(OFFSET($P34,0,AC$13),15-13*ORÇAMENTO!$AF$7)*OFFSET(ORÇAMENTO!$W$15,ROW(AC34)-ROW(AC$15),0),15-13*ORÇAMENTO!$AF$11)),
         0)</f>
        <v>0</v>
      </c>
      <c r="AD34" s="357" t="n">
        <f aca="true">IF(AND($D34="Serviço",AD$12&lt;&gt;0,$H34&gt;0,OR(AUTOEVENTO&lt;&gt;"manual",$M34&lt;&gt;$A$15)),
        IF(Import.TipoArredondamento&lt;&gt;"TransfereGOV",
              ROUND(OFFSET($P34,0,AD$13),15-13*ORÇAMENTO!$AF$7)/$H34*OFFSET(ORÇAMENTO!$X$15,ROW(AD34)-ROW(AD$15),0),
              ROUND(ROUND(OFFSET($P34,0,AD$13),15-13*ORÇAMENTO!$AF$7)*OFFSET(ORÇAMENTO!$W$15,ROW(AD34)-ROW(AD$15),0),15-13*ORÇAMENTO!$AF$11)),
         0)</f>
        <v>0</v>
      </c>
      <c r="AE34" s="357" t="n">
        <f aca="true">IF(AND($D34="Serviço",AE$12&lt;&gt;0,$H34&gt;0,OR(AUTOEVENTO&lt;&gt;"manual",$M34&lt;&gt;$A$15)),
        IF(Import.TipoArredondamento&lt;&gt;"TransfereGOV",
              ROUND(OFFSET($P34,0,AE$13),15-13*ORÇAMENTO!$AF$7)/$H34*OFFSET(ORÇAMENTO!$X$15,ROW(AE34)-ROW(AE$15),0),
              ROUND(ROUND(OFFSET($P34,0,AE$13),15-13*ORÇAMENTO!$AF$7)*OFFSET(ORÇAMENTO!$W$15,ROW(AE34)-ROW(AE$15),0),15-13*ORÇAMENTO!$AF$11)),
         0)</f>
        <v>0</v>
      </c>
      <c r="AF34" s="357" t="n">
        <f aca="true">IF(AND($D34="Serviço",AF$12&lt;&gt;0,$H34&gt;0,OR(AUTOEVENTO&lt;&gt;"manual",$M34&lt;&gt;$A$15)),
        IF(Import.TipoArredondamento&lt;&gt;"TransfereGOV",
              ROUND(OFFSET($P34,0,AF$13),15-13*ORÇAMENTO!$AF$7)/$H34*OFFSET(ORÇAMENTO!$X$15,ROW(AF34)-ROW(AF$15),0),
              ROUND(ROUND(OFFSET($P34,0,AF$13),15-13*ORÇAMENTO!$AF$7)*OFFSET(ORÇAMENTO!$W$15,ROW(AF34)-ROW(AF$15),0),15-13*ORÇAMENTO!$AF$11)),
         0)</f>
        <v>0</v>
      </c>
      <c r="AG34" s="357" t="n">
        <f aca="true">IF(AND($D34="Serviço",AG$12&lt;&gt;0,$H34&gt;0,OR(AUTOEVENTO&lt;&gt;"manual",$M34&lt;&gt;$A$15)),
        IF(Import.TipoArredondamento&lt;&gt;"TransfereGOV",
              ROUND(OFFSET($P34,0,AG$13),15-13*ORÇAMENTO!$AF$7)/$H34*OFFSET(ORÇAMENTO!$X$15,ROW(AG34)-ROW(AG$15),0),
              ROUND(ROUND(OFFSET($P34,0,AG$13),15-13*ORÇAMENTO!$AF$7)*OFFSET(ORÇAMENTO!$W$15,ROW(AG34)-ROW(AG$15),0),15-13*ORÇAMENTO!$AF$11)),
         0)</f>
        <v>0</v>
      </c>
      <c r="AH34" s="357" t="n">
        <f aca="true">IF(AND($D34="Serviço",AH$12&lt;&gt;0,$H34&gt;0,OR(AUTOEVENTO&lt;&gt;"manual",$M34&lt;&gt;$A$15)),
        IF(Import.TipoArredondamento&lt;&gt;"TransfereGOV",
              ROUND(OFFSET($P34,0,AH$13),15-13*ORÇAMENTO!$AF$7)/$H34*OFFSET(ORÇAMENTO!$X$15,ROW(AH34)-ROW(AH$15),0),
              ROUND(ROUND(OFFSET($P34,0,AH$13),15-13*ORÇAMENTO!$AF$7)*OFFSET(ORÇAMENTO!$W$15,ROW(AH34)-ROW(AH$15),0),15-13*ORÇAMENTO!$AF$11)),
         0)</f>
        <v>0</v>
      </c>
      <c r="AI34" s="357" t="n">
        <f aca="true">IF(AND($D34="Serviço",AI$12&lt;&gt;0,$H34&gt;0,OR(AUTOEVENTO&lt;&gt;"manual",$M34&lt;&gt;$A$15)),
        IF(Import.TipoArredondamento&lt;&gt;"TransfereGOV",
              ROUND(OFFSET($P34,0,AI$13),15-13*ORÇAMENTO!$AF$7)/$H34*OFFSET(ORÇAMENTO!$X$15,ROW(AI34)-ROW(AI$15),0),
              ROUND(ROUND(OFFSET($P34,0,AI$13),15-13*ORÇAMENTO!$AF$7)*OFFSET(ORÇAMENTO!$W$15,ROW(AI34)-ROW(AI$15),0),15-13*ORÇAMENTO!$AF$11)),
         0)</f>
        <v>0</v>
      </c>
      <c r="AJ34" s="357" t="n">
        <f aca="true">IF(AND($D34="Serviço",AJ$12&lt;&gt;0,$H34&gt;0,OR(AUTOEVENTO&lt;&gt;"manual",$M34&lt;&gt;$A$15)),
        IF(Import.TipoArredondamento&lt;&gt;"TransfereGOV",
              ROUND(OFFSET($P34,0,AJ$13),15-13*ORÇAMENTO!$AF$7)/$H34*OFFSET(ORÇAMENTO!$X$15,ROW(AJ34)-ROW(AJ$15),0),
              ROUND(ROUND(OFFSET($P34,0,AJ$13),15-13*ORÇAMENTO!$AF$7)*OFFSET(ORÇAMENTO!$W$15,ROW(AJ34)-ROW(AJ$15),0),15-13*ORÇAMENTO!$AF$11)),
         0)</f>
        <v>0</v>
      </c>
      <c r="AK34" s="357" t="n">
        <f aca="true">IF(AND($D34="Serviço",AK$12&lt;&gt;0,$H34&gt;0,OR(AUTOEVENTO&lt;&gt;"manual",$M34&lt;&gt;$A$15)),
        IF(Import.TipoArredondamento&lt;&gt;"TransfereGOV",
              ROUND(OFFSET($P34,0,AK$13),15-13*ORÇAMENTO!$AF$7)/$H34*OFFSET(ORÇAMENTO!$X$15,ROW(AK34)-ROW(AK$15),0),
              ROUND(ROUND(OFFSET($P34,0,AK$13),15-13*ORÇAMENTO!$AF$7)*OFFSET(ORÇAMENTO!$W$15,ROW(AK34)-ROW(AK$15),0),15-13*ORÇAMENTO!$AF$11)),
         0)</f>
        <v>0</v>
      </c>
      <c r="AM34" s="358" t="n">
        <f aca="true">IF(OR($D34&lt;&gt;"Serviço",AND(AUTOEVENTO="Manual",$M34=$A$15)),0,
         IF(OFFSET(CRONOPLE!$F$15,$M34-$A$15,AM$13)="",10^12,OFFSET(CRONOPLE!$F$15,$M34-$A$15,AM$13)))</f>
        <v>1000000000000</v>
      </c>
      <c r="AN34" s="358" t="n">
        <f aca="true">IF(OR($D34&lt;&gt;"Serviço",AND(AUTOEVENTO="Manual",$M34=$A$15)),0,
         IF(OFFSET(CRONOPLE!$F$15,$M34-$A$15,AN$13)="",10^12,OFFSET(CRONOPLE!$F$15,$M34-$A$15,AN$13)))</f>
        <v>1000000000000</v>
      </c>
      <c r="AO34" s="358" t="n">
        <f aca="true">IF(OR($D34&lt;&gt;"Serviço",AND(AUTOEVENTO="Manual",$M34=$A$15)),0,
         IF(OFFSET(CRONOPLE!$F$15,$M34-$A$15,AO$13)="",10^12,OFFSET(CRONOPLE!$F$15,$M34-$A$15,AO$13)))</f>
        <v>1000000000000</v>
      </c>
      <c r="AP34" s="358" t="n">
        <f aca="true">IF(OR($D34&lt;&gt;"Serviço",AND(AUTOEVENTO="Manual",$M34=$A$15)),0,
         IF(OFFSET(CRONOPLE!$F$15,$M34-$A$15,AP$13)="",10^12,OFFSET(CRONOPLE!$F$15,$M34-$A$15,AP$13)))</f>
        <v>1000000000000</v>
      </c>
      <c r="AQ34" s="358" t="n">
        <f aca="true">IF(OR($D34&lt;&gt;"Serviço",AND(AUTOEVENTO="Manual",$M34=$A$15)),0,
         IF(OFFSET(CRONOPLE!$F$15,$M34-$A$15,AQ$13)="",10^12,OFFSET(CRONOPLE!$F$15,$M34-$A$15,AQ$13)))</f>
        <v>1000000000000</v>
      </c>
      <c r="AR34" s="358" t="n">
        <f aca="true">IF(OR($D34&lt;&gt;"Serviço",AND(AUTOEVENTO="Manual",$M34=$A$15)),0,
         IF(OFFSET(CRONOPLE!$F$15,$M34-$A$15,AR$13)="",10^12,OFFSET(CRONOPLE!$F$15,$M34-$A$15,AR$13)))</f>
        <v>1000000000000</v>
      </c>
      <c r="AS34" s="358" t="n">
        <f aca="true">IF(OR($D34&lt;&gt;"Serviço",AND(AUTOEVENTO="Manual",$M34=$A$15)),0,
         IF(OFFSET(CRONOPLE!$F$15,$M34-$A$15,AS$13)="",10^12,OFFSET(CRONOPLE!$F$15,$M34-$A$15,AS$13)))</f>
        <v>1000000000000</v>
      </c>
      <c r="AT34" s="358" t="n">
        <f aca="true">IF(OR($D34&lt;&gt;"Serviço",AND(AUTOEVENTO="Manual",$M34=$A$15)),0,
         IF(OFFSET(CRONOPLE!$F$15,$M34-$A$15,AT$13)="",10^12,OFFSET(CRONOPLE!$F$15,$M34-$A$15,AT$13)))</f>
        <v>1000000000000</v>
      </c>
      <c r="AU34" s="358" t="n">
        <f aca="true">IF(OR($D34&lt;&gt;"Serviço",AND(AUTOEVENTO="Manual",$M34=$A$15)),0,
         IF(OFFSET(CRONOPLE!$F$15,$M34-$A$15,AU$13)="",10^12,OFFSET(CRONOPLE!$F$15,$M34-$A$15,AU$13)))</f>
        <v>1000000000000</v>
      </c>
      <c r="AV34" s="358" t="n">
        <f aca="true">IF(OR($D34&lt;&gt;"Serviço",AND(AUTOEVENTO="Manual",$M34=$A$15)),0,
         IF(OFFSET(CRONOPLE!$F$15,$M34-$A$15,AV$13)="",10^12,OFFSET(CRONOPLE!$F$15,$M34-$A$15,AV$13)))</f>
        <v>1000000000000</v>
      </c>
      <c r="AX34" s="359" t="n">
        <f aca="true">IF(OR($D34&lt;&gt;"Serviço",AND(AUTOEVENTO="Manual",$M34=$A$15),$M34&gt;(ROW(PLE.lastrow)-ROW(PLE.firstrow))),0,
           IF(OFFSET(PLE!$G$15,$M34-$A$15,AX$13)="",10^12,OFFSET(PLE!$G$15,$M34-$A$15,AX$13)))</f>
        <v>1000000000000</v>
      </c>
      <c r="AY34" s="359" t="n">
        <f aca="true">IF(OR($D34&lt;&gt;"Serviço",AND(AUTOEVENTO="Manual",$M34=$A$15),$M34&gt;(ROW(PLE.lastrow)-ROW(PLE.firstrow))),0,
           IF(OFFSET(PLE!$G$15,$M34-$A$15,AY$13)="",10^12,OFFSET(PLE!$G$15,$M34-$A$15,AY$13)))</f>
        <v>1000000000000</v>
      </c>
      <c r="AZ34" s="359" t="n">
        <f aca="true">IF(OR($D34&lt;&gt;"Serviço",AND(AUTOEVENTO="Manual",$M34=$A$15),$M34&gt;(ROW(PLE.lastrow)-ROW(PLE.firstrow))),0,
           IF(OFFSET(PLE!$G$15,$M34-$A$15,AZ$13)="",10^12,OFFSET(PLE!$G$15,$M34-$A$15,AZ$13)))</f>
        <v>1000000000000</v>
      </c>
      <c r="BA34" s="359" t="n">
        <f aca="true">IF(OR($D34&lt;&gt;"Serviço",AND(AUTOEVENTO="Manual",$M34=$A$15),$M34&gt;(ROW(PLE.lastrow)-ROW(PLE.firstrow))),0,
           IF(OFFSET(PLE!$G$15,$M34-$A$15,BA$13)="",10^12,OFFSET(PLE!$G$15,$M34-$A$15,BA$13)))</f>
        <v>1000000000000</v>
      </c>
      <c r="BB34" s="359" t="n">
        <f aca="true">IF(OR($D34&lt;&gt;"Serviço",AND(AUTOEVENTO="Manual",$M34=$A$15),$M34&gt;(ROW(PLE.lastrow)-ROW(PLE.firstrow))),0,
           IF(OFFSET(PLE!$G$15,$M34-$A$15,BB$13)="",10^12,OFFSET(PLE!$G$15,$M34-$A$15,BB$13)))</f>
        <v>1000000000000</v>
      </c>
      <c r="BC34" s="359" t="n">
        <f aca="true">IF(OR($D34&lt;&gt;"Serviço",AND(AUTOEVENTO="Manual",$M34=$A$15),$M34&gt;(ROW(PLE.lastrow)-ROW(PLE.firstrow))),0,
           IF(OFFSET(PLE!$G$15,$M34-$A$15,BC$13)="",10^12,OFFSET(PLE!$G$15,$M34-$A$15,BC$13)))</f>
        <v>1000000000000</v>
      </c>
      <c r="BD34" s="359" t="n">
        <f aca="true">IF(OR($D34&lt;&gt;"Serviço",AND(AUTOEVENTO="Manual",$M34=$A$15),$M34&gt;(ROW(PLE.lastrow)-ROW(PLE.firstrow))),0,
           IF(OFFSET(PLE!$G$15,$M34-$A$15,BD$13)="",10^12,OFFSET(PLE!$G$15,$M34-$A$15,BD$13)))</f>
        <v>1000000000000</v>
      </c>
      <c r="BE34" s="359" t="n">
        <f aca="true">IF(OR($D34&lt;&gt;"Serviço",AND(AUTOEVENTO="Manual",$M34=$A$15),$M34&gt;(ROW(PLE.lastrow)-ROW(PLE.firstrow))),0,
           IF(OFFSET(PLE!$G$15,$M34-$A$15,BE$13)="",10^12,OFFSET(PLE!$G$15,$M34-$A$15,BE$13)))</f>
        <v>1000000000000</v>
      </c>
      <c r="BF34" s="359" t="n">
        <f aca="true">IF(OR($D34&lt;&gt;"Serviço",AND(AUTOEVENTO="Manual",$M34=$A$15),$M34&gt;(ROW(PLE.lastrow)-ROW(PLE.firstrow))),0,
           IF(OFFSET(PLE!$G$15,$M34-$A$15,BF$13)="",10^12,OFFSET(PLE!$G$15,$M34-$A$15,BF$13)))</f>
        <v>1000000000000</v>
      </c>
      <c r="BG34" s="359" t="n">
        <f aca="true">IF(OR($D34&lt;&gt;"Serviço",AND(AUTOEVENTO="Manual",$M34=$A$15),$M34&gt;(ROW(PLE.lastrow)-ROW(PLE.firstrow))),0,
           IF(OFFSET(PLE!$G$15,$M34-$A$15,BG$13)="",10^12,OFFSET(PLE!$G$15,$M34-$A$15,BG$13)))</f>
        <v>1000000000000</v>
      </c>
    </row>
    <row r="35" s="1" customFormat="true" ht="51" hidden="false" customHeight="false" outlineLevel="0" collapsed="false">
      <c r="A35" s="49" t="str">
        <f aca="true">IF(AUTOEVENTO="Manual",IF(K35&lt;&gt;"",MIN(VALUE(LEFT(K35,FIND(".",K35)-1)),COUNTA(EVENTOS.Lista)),0),IF(OR($B35&gt;AUTOEVENTO,$B35="S",$B35=0),SUBSTITUTE(OFFSET($A35,-1,0),IF($D35="Serviço",".",""),""),ROW(A35)-ROW($A$15)&amp;"."))</f>
        <v>8</v>
      </c>
      <c r="B35" s="49" t="str">
        <f aca="true">OFFSET(ORÇAMENTO!C$15,ROW(B35)-ROW(B$15),0)</f>
        <v>S</v>
      </c>
      <c r="C35" s="49" t="str">
        <f aca="true">OFFSET(ORÇAMENTO!L$15,ROW(C35)-ROW(C$15),0)</f>
        <v/>
      </c>
      <c r="D35" s="236" t="str">
        <f aca="true">OFFSET(ORÇAMENTO!N$15,ROW(D35)-ROW(D$15),0)</f>
        <v>Serviço</v>
      </c>
      <c r="E35" s="202" t="str">
        <f aca="true">OFFSET(ORÇAMENTO!O$15,ROW(E35)-ROW(E$15),0)</f>
        <v>-</v>
      </c>
      <c r="F35" s="346" t="str">
        <f aca="true">OFFSET(ORÇAMENTO!R$15,ROW(F35)-ROW(F$15),0)</f>
        <v>(abra o arquivo 'Referência 09-2025.xlsm)</v>
      </c>
      <c r="G35" s="347" t="str">
        <f aca="true">IF($D35&lt;&gt;"Serviço","",OFFSET(ORÇAMENTO!S$15,ROW(G35)-ROW(G$15),0))</f>
        <v>-</v>
      </c>
      <c r="H35" s="207" t="n">
        <f aca="true">IF($D35&lt;&gt;"Serviço",0,IF(ACOMPANHAMENTO="BM",ROUND(OFFSET(ORÇAMENTO!AJ$15,ROW(H35)-ROW(H$15),0),15-13*ORÇAMENTO!$AF$7),SUMPRODUCT(($Q$1:$AA$1=1)*ROUND($Q35:$AA35,15-13*ORÇAMENTO!$AF$7))))</f>
        <v>88.5</v>
      </c>
      <c r="I35" s="348"/>
      <c r="J35" s="349" t="str">
        <f aca="false" t="array" ref="J35:J35">IF(B35&lt;&gt;"S","",IF(AND(ACOMPANHAMENTO="PLE",AUTOEVENTO="Manual",OR(H35&gt;0,ORÇAMENTO!AC35="QUANT."),OR(K35="",M35=0,N35="")),"►",IF(AND(ACOMPANHAMENTO="PLE",ORÇAMENTO!AC35="QUANT."),"►►",IF(AND(COUNTIF($P$11:$AA$11,"▼")=0,H35&gt;0,I35=""),"◄",""))))</f>
        <v>◄</v>
      </c>
      <c r="K35" s="350"/>
      <c r="L35" s="351" t="s">
        <v>807</v>
      </c>
      <c r="M35" s="352" t="n">
        <f aca="true">IF($D35&lt;&gt;"Serviço","",
          IF(AUTOEVENTO="manual",$A35,
                IF(ISERROR(MATCH($A35,$A$15:OFFSET($A35,-1,0),0)),MAX($M$15:OFFSET(M35,-1,0))+1,
                      INDEX($M$15:OFFSET(M35,-1,0),MATCH($A35,$A$15:OFFSET($A35,-1,0),0)))))</f>
        <v>3</v>
      </c>
      <c r="N35" s="353" t="str">
        <f aca="true">IF($D35&lt;&gt;"Serviço","",
         IF(AUTOEVENTO="Manual",
                IF($A35=0,"&lt;-- defina o número do agrupador",
                       OFFSET(EVENTOS!$D$15,$A35-$A$15,0)),
                OFFSET($F$15,$A35,0)))</f>
        <v>REFORMA DO TELHADO - PARTE B</v>
      </c>
      <c r="O35" s="354"/>
      <c r="Q35" s="354"/>
      <c r="R35" s="355"/>
      <c r="S35" s="355"/>
      <c r="T35" s="355"/>
      <c r="U35" s="355"/>
      <c r="V35" s="355"/>
      <c r="W35" s="355"/>
      <c r="X35" s="355"/>
      <c r="Y35" s="355"/>
      <c r="Z35" s="356"/>
      <c r="AB35" s="357" t="n">
        <f aca="true">IF(AND($D35="Serviço",AB$12&lt;&gt;0,$H35&gt;0,OR(AUTOEVENTO&lt;&gt;"manual",$M35&lt;&gt;$A$15)),
        IF(Import.TipoArredondamento&lt;&gt;"TransfereGOV",
              ROUND(OFFSET($P35,0,AB$13),15-13*ORÇAMENTO!$AF$7)/$H35*OFFSET(ORÇAMENTO!$X$15,ROW(AB35)-ROW(AB$15),0),
              ROUND(ROUND(OFFSET($P35,0,AB$13),15-13*ORÇAMENTO!$AF$7)*OFFSET(ORÇAMENTO!$W$15,ROW(AB35)-ROW(AB$15),0),15-13*ORÇAMENTO!$AF$11)),
         0)</f>
        <v>0</v>
      </c>
      <c r="AC35" s="357" t="n">
        <f aca="true">IF(AND($D35="Serviço",AC$12&lt;&gt;0,$H35&gt;0,OR(AUTOEVENTO&lt;&gt;"manual",$M35&lt;&gt;$A$15)),
        IF(Import.TipoArredondamento&lt;&gt;"TransfereGOV",
              ROUND(OFFSET($P35,0,AC$13),15-13*ORÇAMENTO!$AF$7)/$H35*OFFSET(ORÇAMENTO!$X$15,ROW(AC35)-ROW(AC$15),0),
              ROUND(ROUND(OFFSET($P35,0,AC$13),15-13*ORÇAMENTO!$AF$7)*OFFSET(ORÇAMENTO!$W$15,ROW(AC35)-ROW(AC$15),0),15-13*ORÇAMENTO!$AF$11)),
         0)</f>
        <v>0</v>
      </c>
      <c r="AD35" s="357" t="n">
        <f aca="true">IF(AND($D35="Serviço",AD$12&lt;&gt;0,$H35&gt;0,OR(AUTOEVENTO&lt;&gt;"manual",$M35&lt;&gt;$A$15)),
        IF(Import.TipoArredondamento&lt;&gt;"TransfereGOV",
              ROUND(OFFSET($P35,0,AD$13),15-13*ORÇAMENTO!$AF$7)/$H35*OFFSET(ORÇAMENTO!$X$15,ROW(AD35)-ROW(AD$15),0),
              ROUND(ROUND(OFFSET($P35,0,AD$13),15-13*ORÇAMENTO!$AF$7)*OFFSET(ORÇAMENTO!$W$15,ROW(AD35)-ROW(AD$15),0),15-13*ORÇAMENTO!$AF$11)),
         0)</f>
        <v>0</v>
      </c>
      <c r="AE35" s="357" t="n">
        <f aca="true">IF(AND($D35="Serviço",AE$12&lt;&gt;0,$H35&gt;0,OR(AUTOEVENTO&lt;&gt;"manual",$M35&lt;&gt;$A$15)),
        IF(Import.TipoArredondamento&lt;&gt;"TransfereGOV",
              ROUND(OFFSET($P35,0,AE$13),15-13*ORÇAMENTO!$AF$7)/$H35*OFFSET(ORÇAMENTO!$X$15,ROW(AE35)-ROW(AE$15),0),
              ROUND(ROUND(OFFSET($P35,0,AE$13),15-13*ORÇAMENTO!$AF$7)*OFFSET(ORÇAMENTO!$W$15,ROW(AE35)-ROW(AE$15),0),15-13*ORÇAMENTO!$AF$11)),
         0)</f>
        <v>0</v>
      </c>
      <c r="AF35" s="357" t="n">
        <f aca="true">IF(AND($D35="Serviço",AF$12&lt;&gt;0,$H35&gt;0,OR(AUTOEVENTO&lt;&gt;"manual",$M35&lt;&gt;$A$15)),
        IF(Import.TipoArredondamento&lt;&gt;"TransfereGOV",
              ROUND(OFFSET($P35,0,AF$13),15-13*ORÇAMENTO!$AF$7)/$H35*OFFSET(ORÇAMENTO!$X$15,ROW(AF35)-ROW(AF$15),0),
              ROUND(ROUND(OFFSET($P35,0,AF$13),15-13*ORÇAMENTO!$AF$7)*OFFSET(ORÇAMENTO!$W$15,ROW(AF35)-ROW(AF$15),0),15-13*ORÇAMENTO!$AF$11)),
         0)</f>
        <v>0</v>
      </c>
      <c r="AG35" s="357" t="n">
        <f aca="true">IF(AND($D35="Serviço",AG$12&lt;&gt;0,$H35&gt;0,OR(AUTOEVENTO&lt;&gt;"manual",$M35&lt;&gt;$A$15)),
        IF(Import.TipoArredondamento&lt;&gt;"TransfereGOV",
              ROUND(OFFSET($P35,0,AG$13),15-13*ORÇAMENTO!$AF$7)/$H35*OFFSET(ORÇAMENTO!$X$15,ROW(AG35)-ROW(AG$15),0),
              ROUND(ROUND(OFFSET($P35,0,AG$13),15-13*ORÇAMENTO!$AF$7)*OFFSET(ORÇAMENTO!$W$15,ROW(AG35)-ROW(AG$15),0),15-13*ORÇAMENTO!$AF$11)),
         0)</f>
        <v>0</v>
      </c>
      <c r="AH35" s="357" t="n">
        <f aca="true">IF(AND($D35="Serviço",AH$12&lt;&gt;0,$H35&gt;0,OR(AUTOEVENTO&lt;&gt;"manual",$M35&lt;&gt;$A$15)),
        IF(Import.TipoArredondamento&lt;&gt;"TransfereGOV",
              ROUND(OFFSET($P35,0,AH$13),15-13*ORÇAMENTO!$AF$7)/$H35*OFFSET(ORÇAMENTO!$X$15,ROW(AH35)-ROW(AH$15),0),
              ROUND(ROUND(OFFSET($P35,0,AH$13),15-13*ORÇAMENTO!$AF$7)*OFFSET(ORÇAMENTO!$W$15,ROW(AH35)-ROW(AH$15),0),15-13*ORÇAMENTO!$AF$11)),
         0)</f>
        <v>0</v>
      </c>
      <c r="AI35" s="357" t="n">
        <f aca="true">IF(AND($D35="Serviço",AI$12&lt;&gt;0,$H35&gt;0,OR(AUTOEVENTO&lt;&gt;"manual",$M35&lt;&gt;$A$15)),
        IF(Import.TipoArredondamento&lt;&gt;"TransfereGOV",
              ROUND(OFFSET($P35,0,AI$13),15-13*ORÇAMENTO!$AF$7)/$H35*OFFSET(ORÇAMENTO!$X$15,ROW(AI35)-ROW(AI$15),0),
              ROUND(ROUND(OFFSET($P35,0,AI$13),15-13*ORÇAMENTO!$AF$7)*OFFSET(ORÇAMENTO!$W$15,ROW(AI35)-ROW(AI$15),0),15-13*ORÇAMENTO!$AF$11)),
         0)</f>
        <v>0</v>
      </c>
      <c r="AJ35" s="357" t="n">
        <f aca="true">IF(AND($D35="Serviço",AJ$12&lt;&gt;0,$H35&gt;0,OR(AUTOEVENTO&lt;&gt;"manual",$M35&lt;&gt;$A$15)),
        IF(Import.TipoArredondamento&lt;&gt;"TransfereGOV",
              ROUND(OFFSET($P35,0,AJ$13),15-13*ORÇAMENTO!$AF$7)/$H35*OFFSET(ORÇAMENTO!$X$15,ROW(AJ35)-ROW(AJ$15),0),
              ROUND(ROUND(OFFSET($P35,0,AJ$13),15-13*ORÇAMENTO!$AF$7)*OFFSET(ORÇAMENTO!$W$15,ROW(AJ35)-ROW(AJ$15),0),15-13*ORÇAMENTO!$AF$11)),
         0)</f>
        <v>0</v>
      </c>
      <c r="AK35" s="357" t="n">
        <f aca="true">IF(AND($D35="Serviço",AK$12&lt;&gt;0,$H35&gt;0,OR(AUTOEVENTO&lt;&gt;"manual",$M35&lt;&gt;$A$15)),
        IF(Import.TipoArredondamento&lt;&gt;"TransfereGOV",
              ROUND(OFFSET($P35,0,AK$13),15-13*ORÇAMENTO!$AF$7)/$H35*OFFSET(ORÇAMENTO!$X$15,ROW(AK35)-ROW(AK$15),0),
              ROUND(ROUND(OFFSET($P35,0,AK$13),15-13*ORÇAMENTO!$AF$7)*OFFSET(ORÇAMENTO!$W$15,ROW(AK35)-ROW(AK$15),0),15-13*ORÇAMENTO!$AF$11)),
         0)</f>
        <v>0</v>
      </c>
      <c r="AM35" s="358" t="n">
        <f aca="true">IF(OR($D35&lt;&gt;"Serviço",AND(AUTOEVENTO="Manual",$M35=$A$15)),0,
         IF(OFFSET(CRONOPLE!$F$15,$M35-$A$15,AM$13)="",10^12,OFFSET(CRONOPLE!$F$15,$M35-$A$15,AM$13)))</f>
        <v>1000000000000</v>
      </c>
      <c r="AN35" s="358" t="n">
        <f aca="true">IF(OR($D35&lt;&gt;"Serviço",AND(AUTOEVENTO="Manual",$M35=$A$15)),0,
         IF(OFFSET(CRONOPLE!$F$15,$M35-$A$15,AN$13)="",10^12,OFFSET(CRONOPLE!$F$15,$M35-$A$15,AN$13)))</f>
        <v>1000000000000</v>
      </c>
      <c r="AO35" s="358" t="n">
        <f aca="true">IF(OR($D35&lt;&gt;"Serviço",AND(AUTOEVENTO="Manual",$M35=$A$15)),0,
         IF(OFFSET(CRONOPLE!$F$15,$M35-$A$15,AO$13)="",10^12,OFFSET(CRONOPLE!$F$15,$M35-$A$15,AO$13)))</f>
        <v>1000000000000</v>
      </c>
      <c r="AP35" s="358" t="n">
        <f aca="true">IF(OR($D35&lt;&gt;"Serviço",AND(AUTOEVENTO="Manual",$M35=$A$15)),0,
         IF(OFFSET(CRONOPLE!$F$15,$M35-$A$15,AP$13)="",10^12,OFFSET(CRONOPLE!$F$15,$M35-$A$15,AP$13)))</f>
        <v>1000000000000</v>
      </c>
      <c r="AQ35" s="358" t="n">
        <f aca="true">IF(OR($D35&lt;&gt;"Serviço",AND(AUTOEVENTO="Manual",$M35=$A$15)),0,
         IF(OFFSET(CRONOPLE!$F$15,$M35-$A$15,AQ$13)="",10^12,OFFSET(CRONOPLE!$F$15,$M35-$A$15,AQ$13)))</f>
        <v>1000000000000</v>
      </c>
      <c r="AR35" s="358" t="n">
        <f aca="true">IF(OR($D35&lt;&gt;"Serviço",AND(AUTOEVENTO="Manual",$M35=$A$15)),0,
         IF(OFFSET(CRONOPLE!$F$15,$M35-$A$15,AR$13)="",10^12,OFFSET(CRONOPLE!$F$15,$M35-$A$15,AR$13)))</f>
        <v>1000000000000</v>
      </c>
      <c r="AS35" s="358" t="n">
        <f aca="true">IF(OR($D35&lt;&gt;"Serviço",AND(AUTOEVENTO="Manual",$M35=$A$15)),0,
         IF(OFFSET(CRONOPLE!$F$15,$M35-$A$15,AS$13)="",10^12,OFFSET(CRONOPLE!$F$15,$M35-$A$15,AS$13)))</f>
        <v>1000000000000</v>
      </c>
      <c r="AT35" s="358" t="n">
        <f aca="true">IF(OR($D35&lt;&gt;"Serviço",AND(AUTOEVENTO="Manual",$M35=$A$15)),0,
         IF(OFFSET(CRONOPLE!$F$15,$M35-$A$15,AT$13)="",10^12,OFFSET(CRONOPLE!$F$15,$M35-$A$15,AT$13)))</f>
        <v>1000000000000</v>
      </c>
      <c r="AU35" s="358" t="n">
        <f aca="true">IF(OR($D35&lt;&gt;"Serviço",AND(AUTOEVENTO="Manual",$M35=$A$15)),0,
         IF(OFFSET(CRONOPLE!$F$15,$M35-$A$15,AU$13)="",10^12,OFFSET(CRONOPLE!$F$15,$M35-$A$15,AU$13)))</f>
        <v>1000000000000</v>
      </c>
      <c r="AV35" s="358" t="n">
        <f aca="true">IF(OR($D35&lt;&gt;"Serviço",AND(AUTOEVENTO="Manual",$M35=$A$15)),0,
         IF(OFFSET(CRONOPLE!$F$15,$M35-$A$15,AV$13)="",10^12,OFFSET(CRONOPLE!$F$15,$M35-$A$15,AV$13)))</f>
        <v>1000000000000</v>
      </c>
      <c r="AX35" s="359" t="n">
        <f aca="true">IF(OR($D35&lt;&gt;"Serviço",AND(AUTOEVENTO="Manual",$M35=$A$15),$M35&gt;(ROW(PLE.lastrow)-ROW(PLE.firstrow))),0,
           IF(OFFSET(PLE!$G$15,$M35-$A$15,AX$13)="",10^12,OFFSET(PLE!$G$15,$M35-$A$15,AX$13)))</f>
        <v>1000000000000</v>
      </c>
      <c r="AY35" s="359" t="n">
        <f aca="true">IF(OR($D35&lt;&gt;"Serviço",AND(AUTOEVENTO="Manual",$M35=$A$15),$M35&gt;(ROW(PLE.lastrow)-ROW(PLE.firstrow))),0,
           IF(OFFSET(PLE!$G$15,$M35-$A$15,AY$13)="",10^12,OFFSET(PLE!$G$15,$M35-$A$15,AY$13)))</f>
        <v>1000000000000</v>
      </c>
      <c r="AZ35" s="359" t="n">
        <f aca="true">IF(OR($D35&lt;&gt;"Serviço",AND(AUTOEVENTO="Manual",$M35=$A$15),$M35&gt;(ROW(PLE.lastrow)-ROW(PLE.firstrow))),0,
           IF(OFFSET(PLE!$G$15,$M35-$A$15,AZ$13)="",10^12,OFFSET(PLE!$G$15,$M35-$A$15,AZ$13)))</f>
        <v>1000000000000</v>
      </c>
      <c r="BA35" s="359" t="n">
        <f aca="true">IF(OR($D35&lt;&gt;"Serviço",AND(AUTOEVENTO="Manual",$M35=$A$15),$M35&gt;(ROW(PLE.lastrow)-ROW(PLE.firstrow))),0,
           IF(OFFSET(PLE!$G$15,$M35-$A$15,BA$13)="",10^12,OFFSET(PLE!$G$15,$M35-$A$15,BA$13)))</f>
        <v>1000000000000</v>
      </c>
      <c r="BB35" s="359" t="n">
        <f aca="true">IF(OR($D35&lt;&gt;"Serviço",AND(AUTOEVENTO="Manual",$M35=$A$15),$M35&gt;(ROW(PLE.lastrow)-ROW(PLE.firstrow))),0,
           IF(OFFSET(PLE!$G$15,$M35-$A$15,BB$13)="",10^12,OFFSET(PLE!$G$15,$M35-$A$15,BB$13)))</f>
        <v>1000000000000</v>
      </c>
      <c r="BC35" s="359" t="n">
        <f aca="true">IF(OR($D35&lt;&gt;"Serviço",AND(AUTOEVENTO="Manual",$M35=$A$15),$M35&gt;(ROW(PLE.lastrow)-ROW(PLE.firstrow))),0,
           IF(OFFSET(PLE!$G$15,$M35-$A$15,BC$13)="",10^12,OFFSET(PLE!$G$15,$M35-$A$15,BC$13)))</f>
        <v>1000000000000</v>
      </c>
      <c r="BD35" s="359" t="n">
        <f aca="true">IF(OR($D35&lt;&gt;"Serviço",AND(AUTOEVENTO="Manual",$M35=$A$15),$M35&gt;(ROW(PLE.lastrow)-ROW(PLE.firstrow))),0,
           IF(OFFSET(PLE!$G$15,$M35-$A$15,BD$13)="",10^12,OFFSET(PLE!$G$15,$M35-$A$15,BD$13)))</f>
        <v>1000000000000</v>
      </c>
      <c r="BE35" s="359" t="n">
        <f aca="true">IF(OR($D35&lt;&gt;"Serviço",AND(AUTOEVENTO="Manual",$M35=$A$15),$M35&gt;(ROW(PLE.lastrow)-ROW(PLE.firstrow))),0,
           IF(OFFSET(PLE!$G$15,$M35-$A$15,BE$13)="",10^12,OFFSET(PLE!$G$15,$M35-$A$15,BE$13)))</f>
        <v>1000000000000</v>
      </c>
      <c r="BF35" s="359" t="n">
        <f aca="true">IF(OR($D35&lt;&gt;"Serviço",AND(AUTOEVENTO="Manual",$M35=$A$15),$M35&gt;(ROW(PLE.lastrow)-ROW(PLE.firstrow))),0,
           IF(OFFSET(PLE!$G$15,$M35-$A$15,BF$13)="",10^12,OFFSET(PLE!$G$15,$M35-$A$15,BF$13)))</f>
        <v>1000000000000</v>
      </c>
      <c r="BG35" s="359" t="n">
        <f aca="true">IF(OR($D35&lt;&gt;"Serviço",AND(AUTOEVENTO="Manual",$M35=$A$15),$M35&gt;(ROW(PLE.lastrow)-ROW(PLE.firstrow))),0,
           IF(OFFSET(PLE!$G$15,$M35-$A$15,BG$13)="",10^12,OFFSET(PLE!$G$15,$M35-$A$15,BG$13)))</f>
        <v>1000000000000</v>
      </c>
    </row>
    <row r="36" s="1" customFormat="true" ht="38.25" hidden="false" customHeight="false" outlineLevel="0" collapsed="false">
      <c r="A36" s="49" t="str">
        <f aca="true">IF(AUTOEVENTO="Manual",IF(K36&lt;&gt;"",MIN(VALUE(LEFT(K36,FIND(".",K36)-1)),COUNTA(EVENTOS.Lista)),0),IF(OR($B36&gt;AUTOEVENTO,$B36="S",$B36=0),SUBSTITUTE(OFFSET($A36,-1,0),IF($D36="Serviço",".",""),""),ROW(A36)-ROW($A$15)&amp;"."))</f>
        <v>8</v>
      </c>
      <c r="B36" s="49" t="str">
        <f aca="true">OFFSET(ORÇAMENTO!C$15,ROW(B36)-ROW(B$15),0)</f>
        <v>S</v>
      </c>
      <c r="C36" s="49" t="str">
        <f aca="true">OFFSET(ORÇAMENTO!L$15,ROW(C36)-ROW(C$15),0)</f>
        <v/>
      </c>
      <c r="D36" s="236" t="str">
        <f aca="true">OFFSET(ORÇAMENTO!N$15,ROW(D36)-ROW(D$15),0)</f>
        <v>Serviço</v>
      </c>
      <c r="E36" s="202" t="str">
        <f aca="true">OFFSET(ORÇAMENTO!O$15,ROW(E36)-ROW(E$15),0)</f>
        <v>-</v>
      </c>
      <c r="F36" s="346" t="str">
        <f aca="true">OFFSET(ORÇAMENTO!R$15,ROW(F36)-ROW(F$15),0)</f>
        <v>(abra o arquivo 'Referência 09-2025.xlsm)</v>
      </c>
      <c r="G36" s="347" t="str">
        <f aca="true">IF($D36&lt;&gt;"Serviço","",OFFSET(ORÇAMENTO!S$15,ROW(G36)-ROW(G$15),0))</f>
        <v>-</v>
      </c>
      <c r="H36" s="207" t="n">
        <f aca="true">IF($D36&lt;&gt;"Serviço",0,IF(ACOMPANHAMENTO="BM",ROUND(OFFSET(ORÇAMENTO!AJ$15,ROW(H36)-ROW(H$15),0),15-13*ORÇAMENTO!$AF$7),SUMPRODUCT(($Q$1:$AA$1=1)*ROUND($Q36:$AA36,15-13*ORÇAMENTO!$AF$7))))</f>
        <v>28</v>
      </c>
      <c r="I36" s="348"/>
      <c r="J36" s="349" t="str">
        <f aca="false" t="array" ref="J36:J36">IF(B36&lt;&gt;"S","",IF(AND(ACOMPANHAMENTO="PLE",AUTOEVENTO="Manual",OR(H36&gt;0,ORÇAMENTO!AC36="QUANT."),OR(K36="",M36=0,N36="")),"►",IF(AND(ACOMPANHAMENTO="PLE",ORÇAMENTO!AC36="QUANT."),"►►",IF(AND(COUNTIF($P$11:$AA$11,"▼")=0,H36&gt;0,I36=""),"◄",""))))</f>
        <v>◄</v>
      </c>
      <c r="K36" s="350"/>
      <c r="L36" s="351" t="s">
        <v>807</v>
      </c>
      <c r="M36" s="352" t="n">
        <f aca="true">IF($D36&lt;&gt;"Serviço","",
          IF(AUTOEVENTO="manual",$A36,
                IF(ISERROR(MATCH($A36,$A$15:OFFSET($A36,-1,0),0)),MAX($M$15:OFFSET(M36,-1,0))+1,
                      INDEX($M$15:OFFSET(M36,-1,0),MATCH($A36,$A$15:OFFSET($A36,-1,0),0)))))</f>
        <v>3</v>
      </c>
      <c r="N36" s="353" t="str">
        <f aca="true">IF($D36&lt;&gt;"Serviço","",
         IF(AUTOEVENTO="Manual",
                IF($A36=0,"&lt;-- defina o número do agrupador",
                       OFFSET(EVENTOS!$D$15,$A36-$A$15,0)),
                OFFSET($F$15,$A36,0)))</f>
        <v>REFORMA DO TELHADO - PARTE B</v>
      </c>
      <c r="O36" s="354"/>
      <c r="Q36" s="354"/>
      <c r="R36" s="355"/>
      <c r="S36" s="355"/>
      <c r="T36" s="355"/>
      <c r="U36" s="355"/>
      <c r="V36" s="355"/>
      <c r="W36" s="355"/>
      <c r="X36" s="355"/>
      <c r="Y36" s="355"/>
      <c r="Z36" s="356"/>
      <c r="AB36" s="357" t="n">
        <f aca="true">IF(AND($D36="Serviço",AB$12&lt;&gt;0,$H36&gt;0,OR(AUTOEVENTO&lt;&gt;"manual",$M36&lt;&gt;$A$15)),
        IF(Import.TipoArredondamento&lt;&gt;"TransfereGOV",
              ROUND(OFFSET($P36,0,AB$13),15-13*ORÇAMENTO!$AF$7)/$H36*OFFSET(ORÇAMENTO!$X$15,ROW(AB36)-ROW(AB$15),0),
              ROUND(ROUND(OFFSET($P36,0,AB$13),15-13*ORÇAMENTO!$AF$7)*OFFSET(ORÇAMENTO!$W$15,ROW(AB36)-ROW(AB$15),0),15-13*ORÇAMENTO!$AF$11)),
         0)</f>
        <v>0</v>
      </c>
      <c r="AC36" s="357" t="n">
        <f aca="true">IF(AND($D36="Serviço",AC$12&lt;&gt;0,$H36&gt;0,OR(AUTOEVENTO&lt;&gt;"manual",$M36&lt;&gt;$A$15)),
        IF(Import.TipoArredondamento&lt;&gt;"TransfereGOV",
              ROUND(OFFSET($P36,0,AC$13),15-13*ORÇAMENTO!$AF$7)/$H36*OFFSET(ORÇAMENTO!$X$15,ROW(AC36)-ROW(AC$15),0),
              ROUND(ROUND(OFFSET($P36,0,AC$13),15-13*ORÇAMENTO!$AF$7)*OFFSET(ORÇAMENTO!$W$15,ROW(AC36)-ROW(AC$15),0),15-13*ORÇAMENTO!$AF$11)),
         0)</f>
        <v>0</v>
      </c>
      <c r="AD36" s="357" t="n">
        <f aca="true">IF(AND($D36="Serviço",AD$12&lt;&gt;0,$H36&gt;0,OR(AUTOEVENTO&lt;&gt;"manual",$M36&lt;&gt;$A$15)),
        IF(Import.TipoArredondamento&lt;&gt;"TransfereGOV",
              ROUND(OFFSET($P36,0,AD$13),15-13*ORÇAMENTO!$AF$7)/$H36*OFFSET(ORÇAMENTO!$X$15,ROW(AD36)-ROW(AD$15),0),
              ROUND(ROUND(OFFSET($P36,0,AD$13),15-13*ORÇAMENTO!$AF$7)*OFFSET(ORÇAMENTO!$W$15,ROW(AD36)-ROW(AD$15),0),15-13*ORÇAMENTO!$AF$11)),
         0)</f>
        <v>0</v>
      </c>
      <c r="AE36" s="357" t="n">
        <f aca="true">IF(AND($D36="Serviço",AE$12&lt;&gt;0,$H36&gt;0,OR(AUTOEVENTO&lt;&gt;"manual",$M36&lt;&gt;$A$15)),
        IF(Import.TipoArredondamento&lt;&gt;"TransfereGOV",
              ROUND(OFFSET($P36,0,AE$13),15-13*ORÇAMENTO!$AF$7)/$H36*OFFSET(ORÇAMENTO!$X$15,ROW(AE36)-ROW(AE$15),0),
              ROUND(ROUND(OFFSET($P36,0,AE$13),15-13*ORÇAMENTO!$AF$7)*OFFSET(ORÇAMENTO!$W$15,ROW(AE36)-ROW(AE$15),0),15-13*ORÇAMENTO!$AF$11)),
         0)</f>
        <v>0</v>
      </c>
      <c r="AF36" s="357" t="n">
        <f aca="true">IF(AND($D36="Serviço",AF$12&lt;&gt;0,$H36&gt;0,OR(AUTOEVENTO&lt;&gt;"manual",$M36&lt;&gt;$A$15)),
        IF(Import.TipoArredondamento&lt;&gt;"TransfereGOV",
              ROUND(OFFSET($P36,0,AF$13),15-13*ORÇAMENTO!$AF$7)/$H36*OFFSET(ORÇAMENTO!$X$15,ROW(AF36)-ROW(AF$15),0),
              ROUND(ROUND(OFFSET($P36,0,AF$13),15-13*ORÇAMENTO!$AF$7)*OFFSET(ORÇAMENTO!$W$15,ROW(AF36)-ROW(AF$15),0),15-13*ORÇAMENTO!$AF$11)),
         0)</f>
        <v>0</v>
      </c>
      <c r="AG36" s="357" t="n">
        <f aca="true">IF(AND($D36="Serviço",AG$12&lt;&gt;0,$H36&gt;0,OR(AUTOEVENTO&lt;&gt;"manual",$M36&lt;&gt;$A$15)),
        IF(Import.TipoArredondamento&lt;&gt;"TransfereGOV",
              ROUND(OFFSET($P36,0,AG$13),15-13*ORÇAMENTO!$AF$7)/$H36*OFFSET(ORÇAMENTO!$X$15,ROW(AG36)-ROW(AG$15),0),
              ROUND(ROUND(OFFSET($P36,0,AG$13),15-13*ORÇAMENTO!$AF$7)*OFFSET(ORÇAMENTO!$W$15,ROW(AG36)-ROW(AG$15),0),15-13*ORÇAMENTO!$AF$11)),
         0)</f>
        <v>0</v>
      </c>
      <c r="AH36" s="357" t="n">
        <f aca="true">IF(AND($D36="Serviço",AH$12&lt;&gt;0,$H36&gt;0,OR(AUTOEVENTO&lt;&gt;"manual",$M36&lt;&gt;$A$15)),
        IF(Import.TipoArredondamento&lt;&gt;"TransfereGOV",
              ROUND(OFFSET($P36,0,AH$13),15-13*ORÇAMENTO!$AF$7)/$H36*OFFSET(ORÇAMENTO!$X$15,ROW(AH36)-ROW(AH$15),0),
              ROUND(ROUND(OFFSET($P36,0,AH$13),15-13*ORÇAMENTO!$AF$7)*OFFSET(ORÇAMENTO!$W$15,ROW(AH36)-ROW(AH$15),0),15-13*ORÇAMENTO!$AF$11)),
         0)</f>
        <v>0</v>
      </c>
      <c r="AI36" s="357" t="n">
        <f aca="true">IF(AND($D36="Serviço",AI$12&lt;&gt;0,$H36&gt;0,OR(AUTOEVENTO&lt;&gt;"manual",$M36&lt;&gt;$A$15)),
        IF(Import.TipoArredondamento&lt;&gt;"TransfereGOV",
              ROUND(OFFSET($P36,0,AI$13),15-13*ORÇAMENTO!$AF$7)/$H36*OFFSET(ORÇAMENTO!$X$15,ROW(AI36)-ROW(AI$15),0),
              ROUND(ROUND(OFFSET($P36,0,AI$13),15-13*ORÇAMENTO!$AF$7)*OFFSET(ORÇAMENTO!$W$15,ROW(AI36)-ROW(AI$15),0),15-13*ORÇAMENTO!$AF$11)),
         0)</f>
        <v>0</v>
      </c>
      <c r="AJ36" s="357" t="n">
        <f aca="true">IF(AND($D36="Serviço",AJ$12&lt;&gt;0,$H36&gt;0,OR(AUTOEVENTO&lt;&gt;"manual",$M36&lt;&gt;$A$15)),
        IF(Import.TipoArredondamento&lt;&gt;"TransfereGOV",
              ROUND(OFFSET($P36,0,AJ$13),15-13*ORÇAMENTO!$AF$7)/$H36*OFFSET(ORÇAMENTO!$X$15,ROW(AJ36)-ROW(AJ$15),0),
              ROUND(ROUND(OFFSET($P36,0,AJ$13),15-13*ORÇAMENTO!$AF$7)*OFFSET(ORÇAMENTO!$W$15,ROW(AJ36)-ROW(AJ$15),0),15-13*ORÇAMENTO!$AF$11)),
         0)</f>
        <v>0</v>
      </c>
      <c r="AK36" s="357" t="n">
        <f aca="true">IF(AND($D36="Serviço",AK$12&lt;&gt;0,$H36&gt;0,OR(AUTOEVENTO&lt;&gt;"manual",$M36&lt;&gt;$A$15)),
        IF(Import.TipoArredondamento&lt;&gt;"TransfereGOV",
              ROUND(OFFSET($P36,0,AK$13),15-13*ORÇAMENTO!$AF$7)/$H36*OFFSET(ORÇAMENTO!$X$15,ROW(AK36)-ROW(AK$15),0),
              ROUND(ROUND(OFFSET($P36,0,AK$13),15-13*ORÇAMENTO!$AF$7)*OFFSET(ORÇAMENTO!$W$15,ROW(AK36)-ROW(AK$15),0),15-13*ORÇAMENTO!$AF$11)),
         0)</f>
        <v>0</v>
      </c>
      <c r="AM36" s="358" t="n">
        <f aca="true">IF(OR($D36&lt;&gt;"Serviço",AND(AUTOEVENTO="Manual",$M36=$A$15)),0,
         IF(OFFSET(CRONOPLE!$F$15,$M36-$A$15,AM$13)="",10^12,OFFSET(CRONOPLE!$F$15,$M36-$A$15,AM$13)))</f>
        <v>1000000000000</v>
      </c>
      <c r="AN36" s="358" t="n">
        <f aca="true">IF(OR($D36&lt;&gt;"Serviço",AND(AUTOEVENTO="Manual",$M36=$A$15)),0,
         IF(OFFSET(CRONOPLE!$F$15,$M36-$A$15,AN$13)="",10^12,OFFSET(CRONOPLE!$F$15,$M36-$A$15,AN$13)))</f>
        <v>1000000000000</v>
      </c>
      <c r="AO36" s="358" t="n">
        <f aca="true">IF(OR($D36&lt;&gt;"Serviço",AND(AUTOEVENTO="Manual",$M36=$A$15)),0,
         IF(OFFSET(CRONOPLE!$F$15,$M36-$A$15,AO$13)="",10^12,OFFSET(CRONOPLE!$F$15,$M36-$A$15,AO$13)))</f>
        <v>1000000000000</v>
      </c>
      <c r="AP36" s="358" t="n">
        <f aca="true">IF(OR($D36&lt;&gt;"Serviço",AND(AUTOEVENTO="Manual",$M36=$A$15)),0,
         IF(OFFSET(CRONOPLE!$F$15,$M36-$A$15,AP$13)="",10^12,OFFSET(CRONOPLE!$F$15,$M36-$A$15,AP$13)))</f>
        <v>1000000000000</v>
      </c>
      <c r="AQ36" s="358" t="n">
        <f aca="true">IF(OR($D36&lt;&gt;"Serviço",AND(AUTOEVENTO="Manual",$M36=$A$15)),0,
         IF(OFFSET(CRONOPLE!$F$15,$M36-$A$15,AQ$13)="",10^12,OFFSET(CRONOPLE!$F$15,$M36-$A$15,AQ$13)))</f>
        <v>1000000000000</v>
      </c>
      <c r="AR36" s="358" t="n">
        <f aca="true">IF(OR($D36&lt;&gt;"Serviço",AND(AUTOEVENTO="Manual",$M36=$A$15)),0,
         IF(OFFSET(CRONOPLE!$F$15,$M36-$A$15,AR$13)="",10^12,OFFSET(CRONOPLE!$F$15,$M36-$A$15,AR$13)))</f>
        <v>1000000000000</v>
      </c>
      <c r="AS36" s="358" t="n">
        <f aca="true">IF(OR($D36&lt;&gt;"Serviço",AND(AUTOEVENTO="Manual",$M36=$A$15)),0,
         IF(OFFSET(CRONOPLE!$F$15,$M36-$A$15,AS$13)="",10^12,OFFSET(CRONOPLE!$F$15,$M36-$A$15,AS$13)))</f>
        <v>1000000000000</v>
      </c>
      <c r="AT36" s="358" t="n">
        <f aca="true">IF(OR($D36&lt;&gt;"Serviço",AND(AUTOEVENTO="Manual",$M36=$A$15)),0,
         IF(OFFSET(CRONOPLE!$F$15,$M36-$A$15,AT$13)="",10^12,OFFSET(CRONOPLE!$F$15,$M36-$A$15,AT$13)))</f>
        <v>1000000000000</v>
      </c>
      <c r="AU36" s="358" t="n">
        <f aca="true">IF(OR($D36&lt;&gt;"Serviço",AND(AUTOEVENTO="Manual",$M36=$A$15)),0,
         IF(OFFSET(CRONOPLE!$F$15,$M36-$A$15,AU$13)="",10^12,OFFSET(CRONOPLE!$F$15,$M36-$A$15,AU$13)))</f>
        <v>1000000000000</v>
      </c>
      <c r="AV36" s="358" t="n">
        <f aca="true">IF(OR($D36&lt;&gt;"Serviço",AND(AUTOEVENTO="Manual",$M36=$A$15)),0,
         IF(OFFSET(CRONOPLE!$F$15,$M36-$A$15,AV$13)="",10^12,OFFSET(CRONOPLE!$F$15,$M36-$A$15,AV$13)))</f>
        <v>1000000000000</v>
      </c>
      <c r="AX36" s="359" t="n">
        <f aca="true">IF(OR($D36&lt;&gt;"Serviço",AND(AUTOEVENTO="Manual",$M36=$A$15),$M36&gt;(ROW(PLE.lastrow)-ROW(PLE.firstrow))),0,
           IF(OFFSET(PLE!$G$15,$M36-$A$15,AX$13)="",10^12,OFFSET(PLE!$G$15,$M36-$A$15,AX$13)))</f>
        <v>1000000000000</v>
      </c>
      <c r="AY36" s="359" t="n">
        <f aca="true">IF(OR($D36&lt;&gt;"Serviço",AND(AUTOEVENTO="Manual",$M36=$A$15),$M36&gt;(ROW(PLE.lastrow)-ROW(PLE.firstrow))),0,
           IF(OFFSET(PLE!$G$15,$M36-$A$15,AY$13)="",10^12,OFFSET(PLE!$G$15,$M36-$A$15,AY$13)))</f>
        <v>1000000000000</v>
      </c>
      <c r="AZ36" s="359" t="n">
        <f aca="true">IF(OR($D36&lt;&gt;"Serviço",AND(AUTOEVENTO="Manual",$M36=$A$15),$M36&gt;(ROW(PLE.lastrow)-ROW(PLE.firstrow))),0,
           IF(OFFSET(PLE!$G$15,$M36-$A$15,AZ$13)="",10^12,OFFSET(PLE!$G$15,$M36-$A$15,AZ$13)))</f>
        <v>1000000000000</v>
      </c>
      <c r="BA36" s="359" t="n">
        <f aca="true">IF(OR($D36&lt;&gt;"Serviço",AND(AUTOEVENTO="Manual",$M36=$A$15),$M36&gt;(ROW(PLE.lastrow)-ROW(PLE.firstrow))),0,
           IF(OFFSET(PLE!$G$15,$M36-$A$15,BA$13)="",10^12,OFFSET(PLE!$G$15,$M36-$A$15,BA$13)))</f>
        <v>1000000000000</v>
      </c>
      <c r="BB36" s="359" t="n">
        <f aca="true">IF(OR($D36&lt;&gt;"Serviço",AND(AUTOEVENTO="Manual",$M36=$A$15),$M36&gt;(ROW(PLE.lastrow)-ROW(PLE.firstrow))),0,
           IF(OFFSET(PLE!$G$15,$M36-$A$15,BB$13)="",10^12,OFFSET(PLE!$G$15,$M36-$A$15,BB$13)))</f>
        <v>1000000000000</v>
      </c>
      <c r="BC36" s="359" t="n">
        <f aca="true">IF(OR($D36&lt;&gt;"Serviço",AND(AUTOEVENTO="Manual",$M36=$A$15),$M36&gt;(ROW(PLE.lastrow)-ROW(PLE.firstrow))),0,
           IF(OFFSET(PLE!$G$15,$M36-$A$15,BC$13)="",10^12,OFFSET(PLE!$G$15,$M36-$A$15,BC$13)))</f>
        <v>1000000000000</v>
      </c>
      <c r="BD36" s="359" t="n">
        <f aca="true">IF(OR($D36&lt;&gt;"Serviço",AND(AUTOEVENTO="Manual",$M36=$A$15),$M36&gt;(ROW(PLE.lastrow)-ROW(PLE.firstrow))),0,
           IF(OFFSET(PLE!$G$15,$M36-$A$15,BD$13)="",10^12,OFFSET(PLE!$G$15,$M36-$A$15,BD$13)))</f>
        <v>1000000000000</v>
      </c>
      <c r="BE36" s="359" t="n">
        <f aca="true">IF(OR($D36&lt;&gt;"Serviço",AND(AUTOEVENTO="Manual",$M36=$A$15),$M36&gt;(ROW(PLE.lastrow)-ROW(PLE.firstrow))),0,
           IF(OFFSET(PLE!$G$15,$M36-$A$15,BE$13)="",10^12,OFFSET(PLE!$G$15,$M36-$A$15,BE$13)))</f>
        <v>1000000000000</v>
      </c>
      <c r="BF36" s="359" t="n">
        <f aca="true">IF(OR($D36&lt;&gt;"Serviço",AND(AUTOEVENTO="Manual",$M36=$A$15),$M36&gt;(ROW(PLE.lastrow)-ROW(PLE.firstrow))),0,
           IF(OFFSET(PLE!$G$15,$M36-$A$15,BF$13)="",10^12,OFFSET(PLE!$G$15,$M36-$A$15,BF$13)))</f>
        <v>1000000000000</v>
      </c>
      <c r="BG36" s="359" t="n">
        <f aca="true">IF(OR($D36&lt;&gt;"Serviço",AND(AUTOEVENTO="Manual",$M36=$A$15),$M36&gt;(ROW(PLE.lastrow)-ROW(PLE.firstrow))),0,
           IF(OFFSET(PLE!$G$15,$M36-$A$15,BG$13)="",10^12,OFFSET(PLE!$G$15,$M36-$A$15,BG$13)))</f>
        <v>1000000000000</v>
      </c>
    </row>
    <row r="37" s="1" customFormat="true" ht="12.75" hidden="false" customHeight="false" outlineLevel="0" collapsed="false">
      <c r="A37" s="49" t="str">
        <f aca="true">IF(AUTOEVENTO="Manual",IF(K37&lt;&gt;"",MIN(VALUE(LEFT(K37,FIND(".",K37)-1)),COUNTA(EVENTOS.Lista)),0),IF(OR($B37&gt;AUTOEVENTO,$B37="S",$B37=0),SUBSTITUTE(OFFSET($A37,-1,0),IF($D37="Serviço",".",""),""),ROW(A37)-ROW($A$15)&amp;"."))</f>
        <v>8</v>
      </c>
      <c r="B37" s="49" t="n">
        <f aca="true">OFFSET(ORÇAMENTO!C$15,ROW(B37)-ROW(B$15),0)</f>
        <v>3</v>
      </c>
      <c r="C37" s="49" t="str">
        <f aca="true">OFFSET(ORÇAMENTO!L$15,ROW(C37)-ROW(C$15),0)</f>
        <v>F</v>
      </c>
      <c r="D37" s="236" t="str">
        <f aca="true">OFFSET(ORÇAMENTO!N$15,ROW(D37)-ROW(D$15),0)</f>
        <v>Nível 3</v>
      </c>
      <c r="E37" s="202" t="str">
        <f aca="true">OFFSET(ORÇAMENTO!O$15,ROW(E37)-ROW(E$15),0)</f>
        <v>1.3.4.</v>
      </c>
      <c r="F37" s="346" t="str">
        <f aca="true">OFFSET(ORÇAMENTO!R$15,ROW(F37)-ROW(F$15),0)</f>
        <v>Forro Parte B</v>
      </c>
      <c r="G37" s="347" t="str">
        <f aca="true">IF($D37&lt;&gt;"Serviço","",OFFSET(ORÇAMENTO!S$15,ROW(G37)-ROW(G$15),0))</f>
        <v/>
      </c>
      <c r="H37" s="207" t="n">
        <f aca="true">IF($D37&lt;&gt;"Serviço",0,IF(ACOMPANHAMENTO="BM",ROUND(OFFSET(ORÇAMENTO!AJ$15,ROW(H37)-ROW(H$15),0),15-13*ORÇAMENTO!$AF$7),SUMPRODUCT(($Q$1:$AA$1=1)*ROUND($Q37:$AA37,15-13*ORÇAMENTO!$AF$7))))</f>
        <v>0</v>
      </c>
      <c r="I37" s="348"/>
      <c r="J37" s="349" t="str">
        <f aca="false" t="array" ref="J37:J37">IF(B37&lt;&gt;"S","",IF(AND(ACOMPANHAMENTO="PLE",AUTOEVENTO="Manual",OR(H37&gt;0,ORÇAMENTO!AC37="QUANT."),OR(K37="",M37=0,N37="")),"►",IF(AND(ACOMPANHAMENTO="PLE",ORÇAMENTO!AC37="QUANT."),"►►",IF(AND(COUNTIF($P$11:$AA$11,"▼")=0,H37&gt;0,I37=""),"◄",""))))</f>
        <v/>
      </c>
      <c r="K37" s="350"/>
      <c r="L37" s="351" t="s">
        <v>807</v>
      </c>
      <c r="M37" s="370" t="str">
        <f aca="true">IF($D37&lt;&gt;"Serviço","",
          IF(AUTOEVENTO="manual",$A37,
                IF(ISERROR(MATCH($A37,$A$15:OFFSET($A37,-1,0),0)),MAX($M$15:OFFSET(M37,-1,0))+1,
                      INDEX($M$15:OFFSET(M37,-1,0),MATCH($A37,$A$15:OFFSET($A37,-1,0),0)))))</f>
        <v/>
      </c>
      <c r="N37" s="353" t="str">
        <f aca="true">IF($D37&lt;&gt;"Serviço","",
         IF(AUTOEVENTO="Manual",
                IF($A37=0,"&lt;-- defina o número do agrupador",
                       OFFSET(EVENTOS!$D$15,$A37-$A$15,0)),
                OFFSET($F$15,$A37,0)))</f>
        <v/>
      </c>
      <c r="O37" s="354"/>
      <c r="Q37" s="354"/>
      <c r="R37" s="355"/>
      <c r="S37" s="355"/>
      <c r="T37" s="355"/>
      <c r="U37" s="355"/>
      <c r="V37" s="355"/>
      <c r="W37" s="355"/>
      <c r="X37" s="355"/>
      <c r="Y37" s="355"/>
      <c r="Z37" s="356"/>
      <c r="AB37" s="357" t="n">
        <f aca="true">IF(AND($D37="Serviço",AB$12&lt;&gt;0,$H37&gt;0,OR(AUTOEVENTO&lt;&gt;"manual",$M37&lt;&gt;$A$15)),
        IF(Import.TipoArredondamento&lt;&gt;"TransfereGOV",
              ROUND(OFFSET($P37,0,AB$13),15-13*ORÇAMENTO!$AF$7)/$H37*OFFSET(ORÇAMENTO!$X$15,ROW(AB37)-ROW(AB$15),0),
              ROUND(ROUND(OFFSET($P37,0,AB$13),15-13*ORÇAMENTO!$AF$7)*OFFSET(ORÇAMENTO!$W$15,ROW(AB37)-ROW(AB$15),0),15-13*ORÇAMENTO!$AF$11)),
         0)</f>
        <v>0</v>
      </c>
      <c r="AC37" s="357" t="n">
        <f aca="true">IF(AND($D37="Serviço",AC$12&lt;&gt;0,$H37&gt;0,OR(AUTOEVENTO&lt;&gt;"manual",$M37&lt;&gt;$A$15)),
        IF(Import.TipoArredondamento&lt;&gt;"TransfereGOV",
              ROUND(OFFSET($P37,0,AC$13),15-13*ORÇAMENTO!$AF$7)/$H37*OFFSET(ORÇAMENTO!$X$15,ROW(AC37)-ROW(AC$15),0),
              ROUND(ROUND(OFFSET($P37,0,AC$13),15-13*ORÇAMENTO!$AF$7)*OFFSET(ORÇAMENTO!$W$15,ROW(AC37)-ROW(AC$15),0),15-13*ORÇAMENTO!$AF$11)),
         0)</f>
        <v>0</v>
      </c>
      <c r="AD37" s="357" t="n">
        <f aca="true">IF(AND($D37="Serviço",AD$12&lt;&gt;0,$H37&gt;0,OR(AUTOEVENTO&lt;&gt;"manual",$M37&lt;&gt;$A$15)),
        IF(Import.TipoArredondamento&lt;&gt;"TransfereGOV",
              ROUND(OFFSET($P37,0,AD$13),15-13*ORÇAMENTO!$AF$7)/$H37*OFFSET(ORÇAMENTO!$X$15,ROW(AD37)-ROW(AD$15),0),
              ROUND(ROUND(OFFSET($P37,0,AD$13),15-13*ORÇAMENTO!$AF$7)*OFFSET(ORÇAMENTO!$W$15,ROW(AD37)-ROW(AD$15),0),15-13*ORÇAMENTO!$AF$11)),
         0)</f>
        <v>0</v>
      </c>
      <c r="AE37" s="357" t="n">
        <f aca="true">IF(AND($D37="Serviço",AE$12&lt;&gt;0,$H37&gt;0,OR(AUTOEVENTO&lt;&gt;"manual",$M37&lt;&gt;$A$15)),
        IF(Import.TipoArredondamento&lt;&gt;"TransfereGOV",
              ROUND(OFFSET($P37,0,AE$13),15-13*ORÇAMENTO!$AF$7)/$H37*OFFSET(ORÇAMENTO!$X$15,ROW(AE37)-ROW(AE$15),0),
              ROUND(ROUND(OFFSET($P37,0,AE$13),15-13*ORÇAMENTO!$AF$7)*OFFSET(ORÇAMENTO!$W$15,ROW(AE37)-ROW(AE$15),0),15-13*ORÇAMENTO!$AF$11)),
         0)</f>
        <v>0</v>
      </c>
      <c r="AF37" s="357" t="n">
        <f aca="true">IF(AND($D37="Serviço",AF$12&lt;&gt;0,$H37&gt;0,OR(AUTOEVENTO&lt;&gt;"manual",$M37&lt;&gt;$A$15)),
        IF(Import.TipoArredondamento&lt;&gt;"TransfereGOV",
              ROUND(OFFSET($P37,0,AF$13),15-13*ORÇAMENTO!$AF$7)/$H37*OFFSET(ORÇAMENTO!$X$15,ROW(AF37)-ROW(AF$15),0),
              ROUND(ROUND(OFFSET($P37,0,AF$13),15-13*ORÇAMENTO!$AF$7)*OFFSET(ORÇAMENTO!$W$15,ROW(AF37)-ROW(AF$15),0),15-13*ORÇAMENTO!$AF$11)),
         0)</f>
        <v>0</v>
      </c>
      <c r="AG37" s="357" t="n">
        <f aca="true">IF(AND($D37="Serviço",AG$12&lt;&gt;0,$H37&gt;0,OR(AUTOEVENTO&lt;&gt;"manual",$M37&lt;&gt;$A$15)),
        IF(Import.TipoArredondamento&lt;&gt;"TransfereGOV",
              ROUND(OFFSET($P37,0,AG$13),15-13*ORÇAMENTO!$AF$7)/$H37*OFFSET(ORÇAMENTO!$X$15,ROW(AG37)-ROW(AG$15),0),
              ROUND(ROUND(OFFSET($P37,0,AG$13),15-13*ORÇAMENTO!$AF$7)*OFFSET(ORÇAMENTO!$W$15,ROW(AG37)-ROW(AG$15),0),15-13*ORÇAMENTO!$AF$11)),
         0)</f>
        <v>0</v>
      </c>
      <c r="AH37" s="357" t="n">
        <f aca="true">IF(AND($D37="Serviço",AH$12&lt;&gt;0,$H37&gt;0,OR(AUTOEVENTO&lt;&gt;"manual",$M37&lt;&gt;$A$15)),
        IF(Import.TipoArredondamento&lt;&gt;"TransfereGOV",
              ROUND(OFFSET($P37,0,AH$13),15-13*ORÇAMENTO!$AF$7)/$H37*OFFSET(ORÇAMENTO!$X$15,ROW(AH37)-ROW(AH$15),0),
              ROUND(ROUND(OFFSET($P37,0,AH$13),15-13*ORÇAMENTO!$AF$7)*OFFSET(ORÇAMENTO!$W$15,ROW(AH37)-ROW(AH$15),0),15-13*ORÇAMENTO!$AF$11)),
         0)</f>
        <v>0</v>
      </c>
      <c r="AI37" s="357" t="n">
        <f aca="true">IF(AND($D37="Serviço",AI$12&lt;&gt;0,$H37&gt;0,OR(AUTOEVENTO&lt;&gt;"manual",$M37&lt;&gt;$A$15)),
        IF(Import.TipoArredondamento&lt;&gt;"TransfereGOV",
              ROUND(OFFSET($P37,0,AI$13),15-13*ORÇAMENTO!$AF$7)/$H37*OFFSET(ORÇAMENTO!$X$15,ROW(AI37)-ROW(AI$15),0),
              ROUND(ROUND(OFFSET($P37,0,AI$13),15-13*ORÇAMENTO!$AF$7)*OFFSET(ORÇAMENTO!$W$15,ROW(AI37)-ROW(AI$15),0),15-13*ORÇAMENTO!$AF$11)),
         0)</f>
        <v>0</v>
      </c>
      <c r="AJ37" s="357" t="n">
        <f aca="true">IF(AND($D37="Serviço",AJ$12&lt;&gt;0,$H37&gt;0,OR(AUTOEVENTO&lt;&gt;"manual",$M37&lt;&gt;$A$15)),
        IF(Import.TipoArredondamento&lt;&gt;"TransfereGOV",
              ROUND(OFFSET($P37,0,AJ$13),15-13*ORÇAMENTO!$AF$7)/$H37*OFFSET(ORÇAMENTO!$X$15,ROW(AJ37)-ROW(AJ$15),0),
              ROUND(ROUND(OFFSET($P37,0,AJ$13),15-13*ORÇAMENTO!$AF$7)*OFFSET(ORÇAMENTO!$W$15,ROW(AJ37)-ROW(AJ$15),0),15-13*ORÇAMENTO!$AF$11)),
         0)</f>
        <v>0</v>
      </c>
      <c r="AK37" s="357" t="n">
        <f aca="true">IF(AND($D37="Serviço",AK$12&lt;&gt;0,$H37&gt;0,OR(AUTOEVENTO&lt;&gt;"manual",$M37&lt;&gt;$A$15)),
        IF(Import.TipoArredondamento&lt;&gt;"TransfereGOV",
              ROUND(OFFSET($P37,0,AK$13),15-13*ORÇAMENTO!$AF$7)/$H37*OFFSET(ORÇAMENTO!$X$15,ROW(AK37)-ROW(AK$15),0),
              ROUND(ROUND(OFFSET($P37,0,AK$13),15-13*ORÇAMENTO!$AF$7)*OFFSET(ORÇAMENTO!$W$15,ROW(AK37)-ROW(AK$15),0),15-13*ORÇAMENTO!$AF$11)),
         0)</f>
        <v>0</v>
      </c>
      <c r="AM37" s="358" t="n">
        <f aca="true">IF(OR($D37&lt;&gt;"Serviço",AND(AUTOEVENTO="Manual",$M37=$A$15)),0,
         IF(OFFSET(CRONOPLE!$F$15,$M37-$A$15,AM$13)="",10^12,OFFSET(CRONOPLE!$F$15,$M37-$A$15,AM$13)))</f>
        <v>0</v>
      </c>
      <c r="AN37" s="358" t="n">
        <f aca="true">IF(OR($D37&lt;&gt;"Serviço",AND(AUTOEVENTO="Manual",$M37=$A$15)),0,
         IF(OFFSET(CRONOPLE!$F$15,$M37-$A$15,AN$13)="",10^12,OFFSET(CRONOPLE!$F$15,$M37-$A$15,AN$13)))</f>
        <v>0</v>
      </c>
      <c r="AO37" s="358" t="n">
        <f aca="true">IF(OR($D37&lt;&gt;"Serviço",AND(AUTOEVENTO="Manual",$M37=$A$15)),0,
         IF(OFFSET(CRONOPLE!$F$15,$M37-$A$15,AO$13)="",10^12,OFFSET(CRONOPLE!$F$15,$M37-$A$15,AO$13)))</f>
        <v>0</v>
      </c>
      <c r="AP37" s="358" t="n">
        <f aca="true">IF(OR($D37&lt;&gt;"Serviço",AND(AUTOEVENTO="Manual",$M37=$A$15)),0,
         IF(OFFSET(CRONOPLE!$F$15,$M37-$A$15,AP$13)="",10^12,OFFSET(CRONOPLE!$F$15,$M37-$A$15,AP$13)))</f>
        <v>0</v>
      </c>
      <c r="AQ37" s="358" t="n">
        <f aca="true">IF(OR($D37&lt;&gt;"Serviço",AND(AUTOEVENTO="Manual",$M37=$A$15)),0,
         IF(OFFSET(CRONOPLE!$F$15,$M37-$A$15,AQ$13)="",10^12,OFFSET(CRONOPLE!$F$15,$M37-$A$15,AQ$13)))</f>
        <v>0</v>
      </c>
      <c r="AR37" s="358" t="n">
        <f aca="true">IF(OR($D37&lt;&gt;"Serviço",AND(AUTOEVENTO="Manual",$M37=$A$15)),0,
         IF(OFFSET(CRONOPLE!$F$15,$M37-$A$15,AR$13)="",10^12,OFFSET(CRONOPLE!$F$15,$M37-$A$15,AR$13)))</f>
        <v>0</v>
      </c>
      <c r="AS37" s="358" t="n">
        <f aca="true">IF(OR($D37&lt;&gt;"Serviço",AND(AUTOEVENTO="Manual",$M37=$A$15)),0,
         IF(OFFSET(CRONOPLE!$F$15,$M37-$A$15,AS$13)="",10^12,OFFSET(CRONOPLE!$F$15,$M37-$A$15,AS$13)))</f>
        <v>0</v>
      </c>
      <c r="AT37" s="358" t="n">
        <f aca="true">IF(OR($D37&lt;&gt;"Serviço",AND(AUTOEVENTO="Manual",$M37=$A$15)),0,
         IF(OFFSET(CRONOPLE!$F$15,$M37-$A$15,AT$13)="",10^12,OFFSET(CRONOPLE!$F$15,$M37-$A$15,AT$13)))</f>
        <v>0</v>
      </c>
      <c r="AU37" s="358" t="n">
        <f aca="true">IF(OR($D37&lt;&gt;"Serviço",AND(AUTOEVENTO="Manual",$M37=$A$15)),0,
         IF(OFFSET(CRONOPLE!$F$15,$M37-$A$15,AU$13)="",10^12,OFFSET(CRONOPLE!$F$15,$M37-$A$15,AU$13)))</f>
        <v>0</v>
      </c>
      <c r="AV37" s="358" t="n">
        <f aca="true">IF(OR($D37&lt;&gt;"Serviço",AND(AUTOEVENTO="Manual",$M37=$A$15)),0,
         IF(OFFSET(CRONOPLE!$F$15,$M37-$A$15,AV$13)="",10^12,OFFSET(CRONOPLE!$F$15,$M37-$A$15,AV$13)))</f>
        <v>0</v>
      </c>
      <c r="AX37" s="359" t="n">
        <f aca="true">IF(OR($D37&lt;&gt;"Serviço",AND(AUTOEVENTO="Manual",$M37=$A$15),$M37&gt;(ROW(PLE.lastrow)-ROW(PLE.firstrow))),0,
           IF(OFFSET(PLE!$G$15,$M37-$A$15,AX$13)="",10^12,OFFSET(PLE!$G$15,$M37-$A$15,AX$13)))</f>
        <v>0</v>
      </c>
      <c r="AY37" s="359" t="n">
        <f aca="true">IF(OR($D37&lt;&gt;"Serviço",AND(AUTOEVENTO="Manual",$M37=$A$15),$M37&gt;(ROW(PLE.lastrow)-ROW(PLE.firstrow))),0,
           IF(OFFSET(PLE!$G$15,$M37-$A$15,AY$13)="",10^12,OFFSET(PLE!$G$15,$M37-$A$15,AY$13)))</f>
        <v>0</v>
      </c>
      <c r="AZ37" s="359" t="n">
        <f aca="true">IF(OR($D37&lt;&gt;"Serviço",AND(AUTOEVENTO="Manual",$M37=$A$15),$M37&gt;(ROW(PLE.lastrow)-ROW(PLE.firstrow))),0,
           IF(OFFSET(PLE!$G$15,$M37-$A$15,AZ$13)="",10^12,OFFSET(PLE!$G$15,$M37-$A$15,AZ$13)))</f>
        <v>0</v>
      </c>
      <c r="BA37" s="359" t="n">
        <f aca="true">IF(OR($D37&lt;&gt;"Serviço",AND(AUTOEVENTO="Manual",$M37=$A$15),$M37&gt;(ROW(PLE.lastrow)-ROW(PLE.firstrow))),0,
           IF(OFFSET(PLE!$G$15,$M37-$A$15,BA$13)="",10^12,OFFSET(PLE!$G$15,$M37-$A$15,BA$13)))</f>
        <v>0</v>
      </c>
      <c r="BB37" s="359" t="n">
        <f aca="true">IF(OR($D37&lt;&gt;"Serviço",AND(AUTOEVENTO="Manual",$M37=$A$15),$M37&gt;(ROW(PLE.lastrow)-ROW(PLE.firstrow))),0,
           IF(OFFSET(PLE!$G$15,$M37-$A$15,BB$13)="",10^12,OFFSET(PLE!$G$15,$M37-$A$15,BB$13)))</f>
        <v>0</v>
      </c>
      <c r="BC37" s="359" t="n">
        <f aca="true">IF(OR($D37&lt;&gt;"Serviço",AND(AUTOEVENTO="Manual",$M37=$A$15),$M37&gt;(ROW(PLE.lastrow)-ROW(PLE.firstrow))),0,
           IF(OFFSET(PLE!$G$15,$M37-$A$15,BC$13)="",10^12,OFFSET(PLE!$G$15,$M37-$A$15,BC$13)))</f>
        <v>0</v>
      </c>
      <c r="BD37" s="359" t="n">
        <f aca="true">IF(OR($D37&lt;&gt;"Serviço",AND(AUTOEVENTO="Manual",$M37=$A$15),$M37&gt;(ROW(PLE.lastrow)-ROW(PLE.firstrow))),0,
           IF(OFFSET(PLE!$G$15,$M37-$A$15,BD$13)="",10^12,OFFSET(PLE!$G$15,$M37-$A$15,BD$13)))</f>
        <v>0</v>
      </c>
      <c r="BE37" s="359" t="n">
        <f aca="true">IF(OR($D37&lt;&gt;"Serviço",AND(AUTOEVENTO="Manual",$M37=$A$15),$M37&gt;(ROW(PLE.lastrow)-ROW(PLE.firstrow))),0,
           IF(OFFSET(PLE!$G$15,$M37-$A$15,BE$13)="",10^12,OFFSET(PLE!$G$15,$M37-$A$15,BE$13)))</f>
        <v>0</v>
      </c>
      <c r="BF37" s="359" t="n">
        <f aca="true">IF(OR($D37&lt;&gt;"Serviço",AND(AUTOEVENTO="Manual",$M37=$A$15),$M37&gt;(ROW(PLE.lastrow)-ROW(PLE.firstrow))),0,
           IF(OFFSET(PLE!$G$15,$M37-$A$15,BF$13)="",10^12,OFFSET(PLE!$G$15,$M37-$A$15,BF$13)))</f>
        <v>0</v>
      </c>
      <c r="BG37" s="359" t="n">
        <f aca="true">IF(OR($D37&lt;&gt;"Serviço",AND(AUTOEVENTO="Manual",$M37=$A$15),$M37&gt;(ROW(PLE.lastrow)-ROW(PLE.firstrow))),0,
           IF(OFFSET(PLE!$G$15,$M37-$A$15,BG$13)="",10^12,OFFSET(PLE!$G$15,$M37-$A$15,BG$13)))</f>
        <v>0</v>
      </c>
    </row>
    <row r="38" s="1" customFormat="true" ht="25.5" hidden="false" customHeight="false" outlineLevel="0" collapsed="false">
      <c r="A38" s="49" t="str">
        <f aca="true">IF(AUTOEVENTO="Manual",IF(K38&lt;&gt;"",MIN(VALUE(LEFT(K38,FIND(".",K38)-1)),COUNTA(EVENTOS.Lista)),0),IF(OR($B38&gt;AUTOEVENTO,$B38="S",$B38=0),SUBSTITUTE(OFFSET($A38,-1,0),IF($D38="Serviço",".",""),""),ROW(A38)-ROW($A$15)&amp;"."))</f>
        <v>8</v>
      </c>
      <c r="B38" s="49" t="str">
        <f aca="true">OFFSET(ORÇAMENTO!C$15,ROW(B38)-ROW(B$15),0)</f>
        <v>S</v>
      </c>
      <c r="C38" s="49" t="str">
        <f aca="true">OFFSET(ORÇAMENTO!L$15,ROW(C38)-ROW(C$15),0)</f>
        <v/>
      </c>
      <c r="D38" s="201" t="str">
        <f aca="true">OFFSET(ORÇAMENTO!N$15,ROW(D38)-ROW(D$15),0)</f>
        <v>Serviço</v>
      </c>
      <c r="E38" s="202" t="str">
        <f aca="true">OFFSET(ORÇAMENTO!O$15,ROW(E38)-ROW(E$15),0)</f>
        <v>-</v>
      </c>
      <c r="F38" s="346" t="str">
        <f aca="true">OFFSET(ORÇAMENTO!R$15,ROW(F38)-ROW(F$15),0)</f>
        <v>(abra o arquivo 'Referência 09-2025.xlsm)</v>
      </c>
      <c r="G38" s="347" t="str">
        <f aca="true">IF($D38&lt;&gt;"Serviço","",OFFSET(ORÇAMENTO!S$15,ROW(G38)-ROW(G$15),0))</f>
        <v>-</v>
      </c>
      <c r="H38" s="207" t="n">
        <f aca="true">IF($D38&lt;&gt;"Serviço",0,IF(ACOMPANHAMENTO="BM",ROUND(OFFSET(ORÇAMENTO!AJ$15,ROW(H38)-ROW(H$15),0),15-13*ORÇAMENTO!$AF$7),SUMPRODUCT(($Q$1:$AA$1=1)*ROUND($Q38:$AA38,15-13*ORÇAMENTO!$AF$7))))</f>
        <v>215</v>
      </c>
      <c r="I38" s="348"/>
      <c r="J38" s="349" t="str">
        <f aca="false" t="array" ref="J38:J38">IF(B38&lt;&gt;"S","",IF(AND(ACOMPANHAMENTO="PLE",AUTOEVENTO="Manual",OR(H38&gt;0,ORÇAMENTO!AC38="QUANT."),OR(K38="",M38=0,N38="")),"►",IF(AND(ACOMPANHAMENTO="PLE",ORÇAMENTO!AC38="QUANT."),"►►",IF(AND(COUNTIF($P$11:$AA$11,"▼")=0,H38&gt;0,I38=""),"◄",""))))</f>
        <v>◄</v>
      </c>
      <c r="K38" s="350"/>
      <c r="L38" s="351" t="s">
        <v>807</v>
      </c>
      <c r="M38" s="352" t="n">
        <f aca="true">IF($D38&lt;&gt;"Serviço","",
          IF(AUTOEVENTO="manual",$A38,
                IF(ISERROR(MATCH($A38,$A$15:OFFSET($A38,-1,0),0)),MAX($M$15:OFFSET(M38,-1,0))+1,
                      INDEX($M$15:OFFSET(M38,-1,0),MATCH($A38,$A$15:OFFSET($A38,-1,0),0)))))</f>
        <v>3</v>
      </c>
      <c r="N38" s="353" t="str">
        <f aca="true">IF($D38&lt;&gt;"Serviço","",
         IF(AUTOEVENTO="Manual",
                IF($A38=0,"&lt;-- defina o número do agrupador",
                       OFFSET(EVENTOS!$D$15,$A38-$A$15,0)),
                OFFSET($F$15,$A38,0)))</f>
        <v>REFORMA DO TELHADO - PARTE B</v>
      </c>
      <c r="O38" s="354"/>
      <c r="Q38" s="354"/>
      <c r="R38" s="355"/>
      <c r="S38" s="355"/>
      <c r="T38" s="355"/>
      <c r="U38" s="355"/>
      <c r="V38" s="355"/>
      <c r="W38" s="355"/>
      <c r="X38" s="355"/>
      <c r="Y38" s="355"/>
      <c r="Z38" s="356"/>
      <c r="AB38" s="357" t="n">
        <f aca="true">IF(AND($D38="Serviço",AB$12&lt;&gt;0,$H38&gt;0,OR(AUTOEVENTO&lt;&gt;"manual",$M38&lt;&gt;$A$15)),
        IF(Import.TipoArredondamento&lt;&gt;"TransfereGOV",
              ROUND(OFFSET($P38,0,AB$13),15-13*ORÇAMENTO!$AF$7)/$H38*OFFSET(ORÇAMENTO!$X$15,ROW(AB38)-ROW(AB$15),0),
              ROUND(ROUND(OFFSET($P38,0,AB$13),15-13*ORÇAMENTO!$AF$7)*OFFSET(ORÇAMENTO!$W$15,ROW(AB38)-ROW(AB$15),0),15-13*ORÇAMENTO!$AF$11)),
         0)</f>
        <v>0</v>
      </c>
      <c r="AC38" s="357" t="n">
        <f aca="true">IF(AND($D38="Serviço",AC$12&lt;&gt;0,$H38&gt;0,OR(AUTOEVENTO&lt;&gt;"manual",$M38&lt;&gt;$A$15)),
        IF(Import.TipoArredondamento&lt;&gt;"TransfereGOV",
              ROUND(OFFSET($P38,0,AC$13),15-13*ORÇAMENTO!$AF$7)/$H38*OFFSET(ORÇAMENTO!$X$15,ROW(AC38)-ROW(AC$15),0),
              ROUND(ROUND(OFFSET($P38,0,AC$13),15-13*ORÇAMENTO!$AF$7)*OFFSET(ORÇAMENTO!$W$15,ROW(AC38)-ROW(AC$15),0),15-13*ORÇAMENTO!$AF$11)),
         0)</f>
        <v>0</v>
      </c>
      <c r="AD38" s="357" t="n">
        <f aca="true">IF(AND($D38="Serviço",AD$12&lt;&gt;0,$H38&gt;0,OR(AUTOEVENTO&lt;&gt;"manual",$M38&lt;&gt;$A$15)),
        IF(Import.TipoArredondamento&lt;&gt;"TransfereGOV",
              ROUND(OFFSET($P38,0,AD$13),15-13*ORÇAMENTO!$AF$7)/$H38*OFFSET(ORÇAMENTO!$X$15,ROW(AD38)-ROW(AD$15),0),
              ROUND(ROUND(OFFSET($P38,0,AD$13),15-13*ORÇAMENTO!$AF$7)*OFFSET(ORÇAMENTO!$W$15,ROW(AD38)-ROW(AD$15),0),15-13*ORÇAMENTO!$AF$11)),
         0)</f>
        <v>0</v>
      </c>
      <c r="AE38" s="357" t="n">
        <f aca="true">IF(AND($D38="Serviço",AE$12&lt;&gt;0,$H38&gt;0,OR(AUTOEVENTO&lt;&gt;"manual",$M38&lt;&gt;$A$15)),
        IF(Import.TipoArredondamento&lt;&gt;"TransfereGOV",
              ROUND(OFFSET($P38,0,AE$13),15-13*ORÇAMENTO!$AF$7)/$H38*OFFSET(ORÇAMENTO!$X$15,ROW(AE38)-ROW(AE$15),0),
              ROUND(ROUND(OFFSET($P38,0,AE$13),15-13*ORÇAMENTO!$AF$7)*OFFSET(ORÇAMENTO!$W$15,ROW(AE38)-ROW(AE$15),0),15-13*ORÇAMENTO!$AF$11)),
         0)</f>
        <v>0</v>
      </c>
      <c r="AF38" s="357" t="n">
        <f aca="true">IF(AND($D38="Serviço",AF$12&lt;&gt;0,$H38&gt;0,OR(AUTOEVENTO&lt;&gt;"manual",$M38&lt;&gt;$A$15)),
        IF(Import.TipoArredondamento&lt;&gt;"TransfereGOV",
              ROUND(OFFSET($P38,0,AF$13),15-13*ORÇAMENTO!$AF$7)/$H38*OFFSET(ORÇAMENTO!$X$15,ROW(AF38)-ROW(AF$15),0),
              ROUND(ROUND(OFFSET($P38,0,AF$13),15-13*ORÇAMENTO!$AF$7)*OFFSET(ORÇAMENTO!$W$15,ROW(AF38)-ROW(AF$15),0),15-13*ORÇAMENTO!$AF$11)),
         0)</f>
        <v>0</v>
      </c>
      <c r="AG38" s="357" t="n">
        <f aca="true">IF(AND($D38="Serviço",AG$12&lt;&gt;0,$H38&gt;0,OR(AUTOEVENTO&lt;&gt;"manual",$M38&lt;&gt;$A$15)),
        IF(Import.TipoArredondamento&lt;&gt;"TransfereGOV",
              ROUND(OFFSET($P38,0,AG$13),15-13*ORÇAMENTO!$AF$7)/$H38*OFFSET(ORÇAMENTO!$X$15,ROW(AG38)-ROW(AG$15),0),
              ROUND(ROUND(OFFSET($P38,0,AG$13),15-13*ORÇAMENTO!$AF$7)*OFFSET(ORÇAMENTO!$W$15,ROW(AG38)-ROW(AG$15),0),15-13*ORÇAMENTO!$AF$11)),
         0)</f>
        <v>0</v>
      </c>
      <c r="AH38" s="357" t="n">
        <f aca="true">IF(AND($D38="Serviço",AH$12&lt;&gt;0,$H38&gt;0,OR(AUTOEVENTO&lt;&gt;"manual",$M38&lt;&gt;$A$15)),
        IF(Import.TipoArredondamento&lt;&gt;"TransfereGOV",
              ROUND(OFFSET($P38,0,AH$13),15-13*ORÇAMENTO!$AF$7)/$H38*OFFSET(ORÇAMENTO!$X$15,ROW(AH38)-ROW(AH$15),0),
              ROUND(ROUND(OFFSET($P38,0,AH$13),15-13*ORÇAMENTO!$AF$7)*OFFSET(ORÇAMENTO!$W$15,ROW(AH38)-ROW(AH$15),0),15-13*ORÇAMENTO!$AF$11)),
         0)</f>
        <v>0</v>
      </c>
      <c r="AI38" s="357" t="n">
        <f aca="true">IF(AND($D38="Serviço",AI$12&lt;&gt;0,$H38&gt;0,OR(AUTOEVENTO&lt;&gt;"manual",$M38&lt;&gt;$A$15)),
        IF(Import.TipoArredondamento&lt;&gt;"TransfereGOV",
              ROUND(OFFSET($P38,0,AI$13),15-13*ORÇAMENTO!$AF$7)/$H38*OFFSET(ORÇAMENTO!$X$15,ROW(AI38)-ROW(AI$15),0),
              ROUND(ROUND(OFFSET($P38,0,AI$13),15-13*ORÇAMENTO!$AF$7)*OFFSET(ORÇAMENTO!$W$15,ROW(AI38)-ROW(AI$15),0),15-13*ORÇAMENTO!$AF$11)),
         0)</f>
        <v>0</v>
      </c>
      <c r="AJ38" s="357" t="n">
        <f aca="true">IF(AND($D38="Serviço",AJ$12&lt;&gt;0,$H38&gt;0,OR(AUTOEVENTO&lt;&gt;"manual",$M38&lt;&gt;$A$15)),
        IF(Import.TipoArredondamento&lt;&gt;"TransfereGOV",
              ROUND(OFFSET($P38,0,AJ$13),15-13*ORÇAMENTO!$AF$7)/$H38*OFFSET(ORÇAMENTO!$X$15,ROW(AJ38)-ROW(AJ$15),0),
              ROUND(ROUND(OFFSET($P38,0,AJ$13),15-13*ORÇAMENTO!$AF$7)*OFFSET(ORÇAMENTO!$W$15,ROW(AJ38)-ROW(AJ$15),0),15-13*ORÇAMENTO!$AF$11)),
         0)</f>
        <v>0</v>
      </c>
      <c r="AK38" s="357" t="n">
        <f aca="true">IF(AND($D38="Serviço",AK$12&lt;&gt;0,$H38&gt;0,OR(AUTOEVENTO&lt;&gt;"manual",$M38&lt;&gt;$A$15)),
        IF(Import.TipoArredondamento&lt;&gt;"TransfereGOV",
              ROUND(OFFSET($P38,0,AK$13),15-13*ORÇAMENTO!$AF$7)/$H38*OFFSET(ORÇAMENTO!$X$15,ROW(AK38)-ROW(AK$15),0),
              ROUND(ROUND(OFFSET($P38,0,AK$13),15-13*ORÇAMENTO!$AF$7)*OFFSET(ORÇAMENTO!$W$15,ROW(AK38)-ROW(AK$15),0),15-13*ORÇAMENTO!$AF$11)),
         0)</f>
        <v>0</v>
      </c>
      <c r="AM38" s="358" t="n">
        <f aca="true">IF(OR($D38&lt;&gt;"Serviço",AND(AUTOEVENTO="Manual",$M38=$A$15)),0,
         IF(OFFSET(CRONOPLE!$F$15,$M38-$A$15,AM$13)="",10^12,OFFSET(CRONOPLE!$F$15,$M38-$A$15,AM$13)))</f>
        <v>1000000000000</v>
      </c>
      <c r="AN38" s="358" t="n">
        <f aca="true">IF(OR($D38&lt;&gt;"Serviço",AND(AUTOEVENTO="Manual",$M38=$A$15)),0,
         IF(OFFSET(CRONOPLE!$F$15,$M38-$A$15,AN$13)="",10^12,OFFSET(CRONOPLE!$F$15,$M38-$A$15,AN$13)))</f>
        <v>1000000000000</v>
      </c>
      <c r="AO38" s="358" t="n">
        <f aca="true">IF(OR($D38&lt;&gt;"Serviço",AND(AUTOEVENTO="Manual",$M38=$A$15)),0,
         IF(OFFSET(CRONOPLE!$F$15,$M38-$A$15,AO$13)="",10^12,OFFSET(CRONOPLE!$F$15,$M38-$A$15,AO$13)))</f>
        <v>1000000000000</v>
      </c>
      <c r="AP38" s="358" t="n">
        <f aca="true">IF(OR($D38&lt;&gt;"Serviço",AND(AUTOEVENTO="Manual",$M38=$A$15)),0,
         IF(OFFSET(CRONOPLE!$F$15,$M38-$A$15,AP$13)="",10^12,OFFSET(CRONOPLE!$F$15,$M38-$A$15,AP$13)))</f>
        <v>1000000000000</v>
      </c>
      <c r="AQ38" s="358" t="n">
        <f aca="true">IF(OR($D38&lt;&gt;"Serviço",AND(AUTOEVENTO="Manual",$M38=$A$15)),0,
         IF(OFFSET(CRONOPLE!$F$15,$M38-$A$15,AQ$13)="",10^12,OFFSET(CRONOPLE!$F$15,$M38-$A$15,AQ$13)))</f>
        <v>1000000000000</v>
      </c>
      <c r="AR38" s="358" t="n">
        <f aca="true">IF(OR($D38&lt;&gt;"Serviço",AND(AUTOEVENTO="Manual",$M38=$A$15)),0,
         IF(OFFSET(CRONOPLE!$F$15,$M38-$A$15,AR$13)="",10^12,OFFSET(CRONOPLE!$F$15,$M38-$A$15,AR$13)))</f>
        <v>1000000000000</v>
      </c>
      <c r="AS38" s="358" t="n">
        <f aca="true">IF(OR($D38&lt;&gt;"Serviço",AND(AUTOEVENTO="Manual",$M38=$A$15)),0,
         IF(OFFSET(CRONOPLE!$F$15,$M38-$A$15,AS$13)="",10^12,OFFSET(CRONOPLE!$F$15,$M38-$A$15,AS$13)))</f>
        <v>1000000000000</v>
      </c>
      <c r="AT38" s="358" t="n">
        <f aca="true">IF(OR($D38&lt;&gt;"Serviço",AND(AUTOEVENTO="Manual",$M38=$A$15)),0,
         IF(OFFSET(CRONOPLE!$F$15,$M38-$A$15,AT$13)="",10^12,OFFSET(CRONOPLE!$F$15,$M38-$A$15,AT$13)))</f>
        <v>1000000000000</v>
      </c>
      <c r="AU38" s="358" t="n">
        <f aca="true">IF(OR($D38&lt;&gt;"Serviço",AND(AUTOEVENTO="Manual",$M38=$A$15)),0,
         IF(OFFSET(CRONOPLE!$F$15,$M38-$A$15,AU$13)="",10^12,OFFSET(CRONOPLE!$F$15,$M38-$A$15,AU$13)))</f>
        <v>1000000000000</v>
      </c>
      <c r="AV38" s="358" t="n">
        <f aca="true">IF(OR($D38&lt;&gt;"Serviço",AND(AUTOEVENTO="Manual",$M38=$A$15)),0,
         IF(OFFSET(CRONOPLE!$F$15,$M38-$A$15,AV$13)="",10^12,OFFSET(CRONOPLE!$F$15,$M38-$A$15,AV$13)))</f>
        <v>1000000000000</v>
      </c>
      <c r="AX38" s="359" t="n">
        <f aca="true">IF(OR($D38&lt;&gt;"Serviço",AND(AUTOEVENTO="Manual",$M38=$A$15),$M38&gt;(ROW(PLE.lastrow)-ROW(PLE.firstrow))),0,
           IF(OFFSET(PLE!$G$15,$M38-$A$15,AX$13)="",10^12,OFFSET(PLE!$G$15,$M38-$A$15,AX$13)))</f>
        <v>1000000000000</v>
      </c>
      <c r="AY38" s="359" t="n">
        <f aca="true">IF(OR($D38&lt;&gt;"Serviço",AND(AUTOEVENTO="Manual",$M38=$A$15),$M38&gt;(ROW(PLE.lastrow)-ROW(PLE.firstrow))),0,
           IF(OFFSET(PLE!$G$15,$M38-$A$15,AY$13)="",10^12,OFFSET(PLE!$G$15,$M38-$A$15,AY$13)))</f>
        <v>1000000000000</v>
      </c>
      <c r="AZ38" s="359" t="n">
        <f aca="true">IF(OR($D38&lt;&gt;"Serviço",AND(AUTOEVENTO="Manual",$M38=$A$15),$M38&gt;(ROW(PLE.lastrow)-ROW(PLE.firstrow))),0,
           IF(OFFSET(PLE!$G$15,$M38-$A$15,AZ$13)="",10^12,OFFSET(PLE!$G$15,$M38-$A$15,AZ$13)))</f>
        <v>1000000000000</v>
      </c>
      <c r="BA38" s="359" t="n">
        <f aca="true">IF(OR($D38&lt;&gt;"Serviço",AND(AUTOEVENTO="Manual",$M38=$A$15),$M38&gt;(ROW(PLE.lastrow)-ROW(PLE.firstrow))),0,
           IF(OFFSET(PLE!$G$15,$M38-$A$15,BA$13)="",10^12,OFFSET(PLE!$G$15,$M38-$A$15,BA$13)))</f>
        <v>1000000000000</v>
      </c>
      <c r="BB38" s="359" t="n">
        <f aca="true">IF(OR($D38&lt;&gt;"Serviço",AND(AUTOEVENTO="Manual",$M38=$A$15),$M38&gt;(ROW(PLE.lastrow)-ROW(PLE.firstrow))),0,
           IF(OFFSET(PLE!$G$15,$M38-$A$15,BB$13)="",10^12,OFFSET(PLE!$G$15,$M38-$A$15,BB$13)))</f>
        <v>1000000000000</v>
      </c>
      <c r="BC38" s="359" t="n">
        <f aca="true">IF(OR($D38&lt;&gt;"Serviço",AND(AUTOEVENTO="Manual",$M38=$A$15),$M38&gt;(ROW(PLE.lastrow)-ROW(PLE.firstrow))),0,
           IF(OFFSET(PLE!$G$15,$M38-$A$15,BC$13)="",10^12,OFFSET(PLE!$G$15,$M38-$A$15,BC$13)))</f>
        <v>1000000000000</v>
      </c>
      <c r="BD38" s="359" t="n">
        <f aca="true">IF(OR($D38&lt;&gt;"Serviço",AND(AUTOEVENTO="Manual",$M38=$A$15),$M38&gt;(ROW(PLE.lastrow)-ROW(PLE.firstrow))),0,
           IF(OFFSET(PLE!$G$15,$M38-$A$15,BD$13)="",10^12,OFFSET(PLE!$G$15,$M38-$A$15,BD$13)))</f>
        <v>1000000000000</v>
      </c>
      <c r="BE38" s="359" t="n">
        <f aca="true">IF(OR($D38&lt;&gt;"Serviço",AND(AUTOEVENTO="Manual",$M38=$A$15),$M38&gt;(ROW(PLE.lastrow)-ROW(PLE.firstrow))),0,
           IF(OFFSET(PLE!$G$15,$M38-$A$15,BE$13)="",10^12,OFFSET(PLE!$G$15,$M38-$A$15,BE$13)))</f>
        <v>1000000000000</v>
      </c>
      <c r="BF38" s="359" t="n">
        <f aca="true">IF(OR($D38&lt;&gt;"Serviço",AND(AUTOEVENTO="Manual",$M38=$A$15),$M38&gt;(ROW(PLE.lastrow)-ROW(PLE.firstrow))),0,
           IF(OFFSET(PLE!$G$15,$M38-$A$15,BF$13)="",10^12,OFFSET(PLE!$G$15,$M38-$A$15,BF$13)))</f>
        <v>1000000000000</v>
      </c>
      <c r="BG38" s="359" t="n">
        <f aca="true">IF(OR($D38&lt;&gt;"Serviço",AND(AUTOEVENTO="Manual",$M38=$A$15),$M38&gt;(ROW(PLE.lastrow)-ROW(PLE.firstrow))),0,
           IF(OFFSET(PLE!$G$15,$M38-$A$15,BG$13)="",10^12,OFFSET(PLE!$G$15,$M38-$A$15,BG$13)))</f>
        <v>1000000000000</v>
      </c>
    </row>
    <row r="39" s="1" customFormat="true" ht="25.5" hidden="false" customHeight="false" outlineLevel="0" collapsed="false">
      <c r="A39" s="49" t="str">
        <f aca="true">IF(AUTOEVENTO="Manual",IF(K39&lt;&gt;"",MIN(VALUE(LEFT(K39,FIND(".",K39)-1)),COUNTA(EVENTOS.Lista)),0),IF(OR($B39&gt;AUTOEVENTO,$B39="S",$B39=0),SUBSTITUTE(OFFSET($A39,-1,0),IF($D39="Serviço",".",""),""),ROW(A39)-ROW($A$15)&amp;"."))</f>
        <v>8</v>
      </c>
      <c r="B39" s="49" t="str">
        <f aca="true">OFFSET(ORÇAMENTO!C$15,ROW(B39)-ROW(B$15),0)</f>
        <v>S</v>
      </c>
      <c r="C39" s="49" t="str">
        <f aca="true">OFFSET(ORÇAMENTO!L$15,ROW(C39)-ROW(C$15),0)</f>
        <v/>
      </c>
      <c r="D39" s="201" t="str">
        <f aca="true">OFFSET(ORÇAMENTO!N$15,ROW(D39)-ROW(D$15),0)</f>
        <v>Serviço</v>
      </c>
      <c r="E39" s="202" t="str">
        <f aca="true">OFFSET(ORÇAMENTO!O$15,ROW(E39)-ROW(E$15),0)</f>
        <v>-</v>
      </c>
      <c r="F39" s="346" t="str">
        <f aca="true">OFFSET(ORÇAMENTO!R$15,ROW(F39)-ROW(F$15),0)</f>
        <v>(abra o arquivo 'Referência 09-2025.xlsm)</v>
      </c>
      <c r="G39" s="347" t="str">
        <f aca="true">IF($D39&lt;&gt;"Serviço","",OFFSET(ORÇAMENTO!S$15,ROW(G39)-ROW(G$15),0))</f>
        <v>-</v>
      </c>
      <c r="H39" s="207" t="n">
        <f aca="true">IF($D39&lt;&gt;"Serviço",0,IF(ACOMPANHAMENTO="BM",ROUND(OFFSET(ORÇAMENTO!AJ$15,ROW(H39)-ROW(H$15),0),15-13*ORÇAMENTO!$AF$7),SUMPRODUCT(($Q$1:$AA$1=1)*ROUND($Q39:$AA39,15-13*ORÇAMENTO!$AF$7))))</f>
        <v>346.8</v>
      </c>
      <c r="I39" s="348"/>
      <c r="J39" s="349" t="str">
        <f aca="false" t="array" ref="J39:J39">IF(B39&lt;&gt;"S","",IF(AND(ACOMPANHAMENTO="PLE",AUTOEVENTO="Manual",OR(H39&gt;0,ORÇAMENTO!AC39="QUANT."),OR(K39="",M39=0,N39="")),"►",IF(AND(ACOMPANHAMENTO="PLE",ORÇAMENTO!AC39="QUANT."),"►►",IF(AND(COUNTIF($P$11:$AA$11,"▼")=0,H39&gt;0,I39=""),"◄",""))))</f>
        <v>◄</v>
      </c>
      <c r="K39" s="350"/>
      <c r="L39" s="351" t="s">
        <v>807</v>
      </c>
      <c r="M39" s="352" t="n">
        <f aca="true">IF($D39&lt;&gt;"Serviço","",
          IF(AUTOEVENTO="manual",$A39,
                IF(ISERROR(MATCH($A39,$A$15:OFFSET($A39,-1,0),0)),MAX($M$15:OFFSET(M39,-1,0))+1,
                      INDEX($M$15:OFFSET(M39,-1,0),MATCH($A39,$A$15:OFFSET($A39,-1,0),0)))))</f>
        <v>3</v>
      </c>
      <c r="N39" s="353" t="str">
        <f aca="true">IF($D39&lt;&gt;"Serviço","",
         IF(AUTOEVENTO="Manual",
                IF($A39=0,"&lt;-- defina o número do agrupador",
                       OFFSET(EVENTOS!$D$15,$A39-$A$15,0)),
                OFFSET($F$15,$A39,0)))</f>
        <v>REFORMA DO TELHADO - PARTE B</v>
      </c>
      <c r="O39" s="354"/>
      <c r="Q39" s="354"/>
      <c r="R39" s="355"/>
      <c r="S39" s="355"/>
      <c r="T39" s="355"/>
      <c r="U39" s="355"/>
      <c r="V39" s="355"/>
      <c r="W39" s="355"/>
      <c r="X39" s="355"/>
      <c r="Y39" s="355"/>
      <c r="Z39" s="356"/>
      <c r="AB39" s="357" t="n">
        <f aca="true">IF(AND($D39="Serviço",AB$12&lt;&gt;0,$H39&gt;0,OR(AUTOEVENTO&lt;&gt;"manual",$M39&lt;&gt;$A$15)),
        IF(Import.TipoArredondamento&lt;&gt;"TransfereGOV",
              ROUND(OFFSET($P39,0,AB$13),15-13*ORÇAMENTO!$AF$7)/$H39*OFFSET(ORÇAMENTO!$X$15,ROW(AB39)-ROW(AB$15),0),
              ROUND(ROUND(OFFSET($P39,0,AB$13),15-13*ORÇAMENTO!$AF$7)*OFFSET(ORÇAMENTO!$W$15,ROW(AB39)-ROW(AB$15),0),15-13*ORÇAMENTO!$AF$11)),
         0)</f>
        <v>0</v>
      </c>
      <c r="AC39" s="357" t="n">
        <f aca="true">IF(AND($D39="Serviço",AC$12&lt;&gt;0,$H39&gt;0,OR(AUTOEVENTO&lt;&gt;"manual",$M39&lt;&gt;$A$15)),
        IF(Import.TipoArredondamento&lt;&gt;"TransfereGOV",
              ROUND(OFFSET($P39,0,AC$13),15-13*ORÇAMENTO!$AF$7)/$H39*OFFSET(ORÇAMENTO!$X$15,ROW(AC39)-ROW(AC$15),0),
              ROUND(ROUND(OFFSET($P39,0,AC$13),15-13*ORÇAMENTO!$AF$7)*OFFSET(ORÇAMENTO!$W$15,ROW(AC39)-ROW(AC$15),0),15-13*ORÇAMENTO!$AF$11)),
         0)</f>
        <v>0</v>
      </c>
      <c r="AD39" s="357" t="n">
        <f aca="true">IF(AND($D39="Serviço",AD$12&lt;&gt;0,$H39&gt;0,OR(AUTOEVENTO&lt;&gt;"manual",$M39&lt;&gt;$A$15)),
        IF(Import.TipoArredondamento&lt;&gt;"TransfereGOV",
              ROUND(OFFSET($P39,0,AD$13),15-13*ORÇAMENTO!$AF$7)/$H39*OFFSET(ORÇAMENTO!$X$15,ROW(AD39)-ROW(AD$15),0),
              ROUND(ROUND(OFFSET($P39,0,AD$13),15-13*ORÇAMENTO!$AF$7)*OFFSET(ORÇAMENTO!$W$15,ROW(AD39)-ROW(AD$15),0),15-13*ORÇAMENTO!$AF$11)),
         0)</f>
        <v>0</v>
      </c>
      <c r="AE39" s="357" t="n">
        <f aca="true">IF(AND($D39="Serviço",AE$12&lt;&gt;0,$H39&gt;0,OR(AUTOEVENTO&lt;&gt;"manual",$M39&lt;&gt;$A$15)),
        IF(Import.TipoArredondamento&lt;&gt;"TransfereGOV",
              ROUND(OFFSET($P39,0,AE$13),15-13*ORÇAMENTO!$AF$7)/$H39*OFFSET(ORÇAMENTO!$X$15,ROW(AE39)-ROW(AE$15),0),
              ROUND(ROUND(OFFSET($P39,0,AE$13),15-13*ORÇAMENTO!$AF$7)*OFFSET(ORÇAMENTO!$W$15,ROW(AE39)-ROW(AE$15),0),15-13*ORÇAMENTO!$AF$11)),
         0)</f>
        <v>0</v>
      </c>
      <c r="AF39" s="357" t="n">
        <f aca="true">IF(AND($D39="Serviço",AF$12&lt;&gt;0,$H39&gt;0,OR(AUTOEVENTO&lt;&gt;"manual",$M39&lt;&gt;$A$15)),
        IF(Import.TipoArredondamento&lt;&gt;"TransfereGOV",
              ROUND(OFFSET($P39,0,AF$13),15-13*ORÇAMENTO!$AF$7)/$H39*OFFSET(ORÇAMENTO!$X$15,ROW(AF39)-ROW(AF$15),0),
              ROUND(ROUND(OFFSET($P39,0,AF$13),15-13*ORÇAMENTO!$AF$7)*OFFSET(ORÇAMENTO!$W$15,ROW(AF39)-ROW(AF$15),0),15-13*ORÇAMENTO!$AF$11)),
         0)</f>
        <v>0</v>
      </c>
      <c r="AG39" s="357" t="n">
        <f aca="true">IF(AND($D39="Serviço",AG$12&lt;&gt;0,$H39&gt;0,OR(AUTOEVENTO&lt;&gt;"manual",$M39&lt;&gt;$A$15)),
        IF(Import.TipoArredondamento&lt;&gt;"TransfereGOV",
              ROUND(OFFSET($P39,0,AG$13),15-13*ORÇAMENTO!$AF$7)/$H39*OFFSET(ORÇAMENTO!$X$15,ROW(AG39)-ROW(AG$15),0),
              ROUND(ROUND(OFFSET($P39,0,AG$13),15-13*ORÇAMENTO!$AF$7)*OFFSET(ORÇAMENTO!$W$15,ROW(AG39)-ROW(AG$15),0),15-13*ORÇAMENTO!$AF$11)),
         0)</f>
        <v>0</v>
      </c>
      <c r="AH39" s="357" t="n">
        <f aca="true">IF(AND($D39="Serviço",AH$12&lt;&gt;0,$H39&gt;0,OR(AUTOEVENTO&lt;&gt;"manual",$M39&lt;&gt;$A$15)),
        IF(Import.TipoArredondamento&lt;&gt;"TransfereGOV",
              ROUND(OFFSET($P39,0,AH$13),15-13*ORÇAMENTO!$AF$7)/$H39*OFFSET(ORÇAMENTO!$X$15,ROW(AH39)-ROW(AH$15),0),
              ROUND(ROUND(OFFSET($P39,0,AH$13),15-13*ORÇAMENTO!$AF$7)*OFFSET(ORÇAMENTO!$W$15,ROW(AH39)-ROW(AH$15),0),15-13*ORÇAMENTO!$AF$11)),
         0)</f>
        <v>0</v>
      </c>
      <c r="AI39" s="357" t="n">
        <f aca="true">IF(AND($D39="Serviço",AI$12&lt;&gt;0,$H39&gt;0,OR(AUTOEVENTO&lt;&gt;"manual",$M39&lt;&gt;$A$15)),
        IF(Import.TipoArredondamento&lt;&gt;"TransfereGOV",
              ROUND(OFFSET($P39,0,AI$13),15-13*ORÇAMENTO!$AF$7)/$H39*OFFSET(ORÇAMENTO!$X$15,ROW(AI39)-ROW(AI$15),0),
              ROUND(ROUND(OFFSET($P39,0,AI$13),15-13*ORÇAMENTO!$AF$7)*OFFSET(ORÇAMENTO!$W$15,ROW(AI39)-ROW(AI$15),0),15-13*ORÇAMENTO!$AF$11)),
         0)</f>
        <v>0</v>
      </c>
      <c r="AJ39" s="357" t="n">
        <f aca="true">IF(AND($D39="Serviço",AJ$12&lt;&gt;0,$H39&gt;0,OR(AUTOEVENTO&lt;&gt;"manual",$M39&lt;&gt;$A$15)),
        IF(Import.TipoArredondamento&lt;&gt;"TransfereGOV",
              ROUND(OFFSET($P39,0,AJ$13),15-13*ORÇAMENTO!$AF$7)/$H39*OFFSET(ORÇAMENTO!$X$15,ROW(AJ39)-ROW(AJ$15),0),
              ROUND(ROUND(OFFSET($P39,0,AJ$13),15-13*ORÇAMENTO!$AF$7)*OFFSET(ORÇAMENTO!$W$15,ROW(AJ39)-ROW(AJ$15),0),15-13*ORÇAMENTO!$AF$11)),
         0)</f>
        <v>0</v>
      </c>
      <c r="AK39" s="357" t="n">
        <f aca="true">IF(AND($D39="Serviço",AK$12&lt;&gt;0,$H39&gt;0,OR(AUTOEVENTO&lt;&gt;"manual",$M39&lt;&gt;$A$15)),
        IF(Import.TipoArredondamento&lt;&gt;"TransfereGOV",
              ROUND(OFFSET($P39,0,AK$13),15-13*ORÇAMENTO!$AF$7)/$H39*OFFSET(ORÇAMENTO!$X$15,ROW(AK39)-ROW(AK$15),0),
              ROUND(ROUND(OFFSET($P39,0,AK$13),15-13*ORÇAMENTO!$AF$7)*OFFSET(ORÇAMENTO!$W$15,ROW(AK39)-ROW(AK$15),0),15-13*ORÇAMENTO!$AF$11)),
         0)</f>
        <v>0</v>
      </c>
      <c r="AM39" s="358" t="n">
        <f aca="true">IF(OR($D39&lt;&gt;"Serviço",AND(AUTOEVENTO="Manual",$M39=$A$15)),0,
         IF(OFFSET(CRONOPLE!$F$15,$M39-$A$15,AM$13)="",10^12,OFFSET(CRONOPLE!$F$15,$M39-$A$15,AM$13)))</f>
        <v>1000000000000</v>
      </c>
      <c r="AN39" s="358" t="n">
        <f aca="true">IF(OR($D39&lt;&gt;"Serviço",AND(AUTOEVENTO="Manual",$M39=$A$15)),0,
         IF(OFFSET(CRONOPLE!$F$15,$M39-$A$15,AN$13)="",10^12,OFFSET(CRONOPLE!$F$15,$M39-$A$15,AN$13)))</f>
        <v>1000000000000</v>
      </c>
      <c r="AO39" s="358" t="n">
        <f aca="true">IF(OR($D39&lt;&gt;"Serviço",AND(AUTOEVENTO="Manual",$M39=$A$15)),0,
         IF(OFFSET(CRONOPLE!$F$15,$M39-$A$15,AO$13)="",10^12,OFFSET(CRONOPLE!$F$15,$M39-$A$15,AO$13)))</f>
        <v>1000000000000</v>
      </c>
      <c r="AP39" s="358" t="n">
        <f aca="true">IF(OR($D39&lt;&gt;"Serviço",AND(AUTOEVENTO="Manual",$M39=$A$15)),0,
         IF(OFFSET(CRONOPLE!$F$15,$M39-$A$15,AP$13)="",10^12,OFFSET(CRONOPLE!$F$15,$M39-$A$15,AP$13)))</f>
        <v>1000000000000</v>
      </c>
      <c r="AQ39" s="358" t="n">
        <f aca="true">IF(OR($D39&lt;&gt;"Serviço",AND(AUTOEVENTO="Manual",$M39=$A$15)),0,
         IF(OFFSET(CRONOPLE!$F$15,$M39-$A$15,AQ$13)="",10^12,OFFSET(CRONOPLE!$F$15,$M39-$A$15,AQ$13)))</f>
        <v>1000000000000</v>
      </c>
      <c r="AR39" s="358" t="n">
        <f aca="true">IF(OR($D39&lt;&gt;"Serviço",AND(AUTOEVENTO="Manual",$M39=$A$15)),0,
         IF(OFFSET(CRONOPLE!$F$15,$M39-$A$15,AR$13)="",10^12,OFFSET(CRONOPLE!$F$15,$M39-$A$15,AR$13)))</f>
        <v>1000000000000</v>
      </c>
      <c r="AS39" s="358" t="n">
        <f aca="true">IF(OR($D39&lt;&gt;"Serviço",AND(AUTOEVENTO="Manual",$M39=$A$15)),0,
         IF(OFFSET(CRONOPLE!$F$15,$M39-$A$15,AS$13)="",10^12,OFFSET(CRONOPLE!$F$15,$M39-$A$15,AS$13)))</f>
        <v>1000000000000</v>
      </c>
      <c r="AT39" s="358" t="n">
        <f aca="true">IF(OR($D39&lt;&gt;"Serviço",AND(AUTOEVENTO="Manual",$M39=$A$15)),0,
         IF(OFFSET(CRONOPLE!$F$15,$M39-$A$15,AT$13)="",10^12,OFFSET(CRONOPLE!$F$15,$M39-$A$15,AT$13)))</f>
        <v>1000000000000</v>
      </c>
      <c r="AU39" s="358" t="n">
        <f aca="true">IF(OR($D39&lt;&gt;"Serviço",AND(AUTOEVENTO="Manual",$M39=$A$15)),0,
         IF(OFFSET(CRONOPLE!$F$15,$M39-$A$15,AU$13)="",10^12,OFFSET(CRONOPLE!$F$15,$M39-$A$15,AU$13)))</f>
        <v>1000000000000</v>
      </c>
      <c r="AV39" s="358" t="n">
        <f aca="true">IF(OR($D39&lt;&gt;"Serviço",AND(AUTOEVENTO="Manual",$M39=$A$15)),0,
         IF(OFFSET(CRONOPLE!$F$15,$M39-$A$15,AV$13)="",10^12,OFFSET(CRONOPLE!$F$15,$M39-$A$15,AV$13)))</f>
        <v>1000000000000</v>
      </c>
      <c r="AX39" s="359" t="n">
        <f aca="true">IF(OR($D39&lt;&gt;"Serviço",AND(AUTOEVENTO="Manual",$M39=$A$15),$M39&gt;(ROW(PLE.lastrow)-ROW(PLE.firstrow))),0,
           IF(OFFSET(PLE!$G$15,$M39-$A$15,AX$13)="",10^12,OFFSET(PLE!$G$15,$M39-$A$15,AX$13)))</f>
        <v>1000000000000</v>
      </c>
      <c r="AY39" s="359" t="n">
        <f aca="true">IF(OR($D39&lt;&gt;"Serviço",AND(AUTOEVENTO="Manual",$M39=$A$15),$M39&gt;(ROW(PLE.lastrow)-ROW(PLE.firstrow))),0,
           IF(OFFSET(PLE!$G$15,$M39-$A$15,AY$13)="",10^12,OFFSET(PLE!$G$15,$M39-$A$15,AY$13)))</f>
        <v>1000000000000</v>
      </c>
      <c r="AZ39" s="359" t="n">
        <f aca="true">IF(OR($D39&lt;&gt;"Serviço",AND(AUTOEVENTO="Manual",$M39=$A$15),$M39&gt;(ROW(PLE.lastrow)-ROW(PLE.firstrow))),0,
           IF(OFFSET(PLE!$G$15,$M39-$A$15,AZ$13)="",10^12,OFFSET(PLE!$G$15,$M39-$A$15,AZ$13)))</f>
        <v>1000000000000</v>
      </c>
      <c r="BA39" s="359" t="n">
        <f aca="true">IF(OR($D39&lt;&gt;"Serviço",AND(AUTOEVENTO="Manual",$M39=$A$15),$M39&gt;(ROW(PLE.lastrow)-ROW(PLE.firstrow))),0,
           IF(OFFSET(PLE!$G$15,$M39-$A$15,BA$13)="",10^12,OFFSET(PLE!$G$15,$M39-$A$15,BA$13)))</f>
        <v>1000000000000</v>
      </c>
      <c r="BB39" s="359" t="n">
        <f aca="true">IF(OR($D39&lt;&gt;"Serviço",AND(AUTOEVENTO="Manual",$M39=$A$15),$M39&gt;(ROW(PLE.lastrow)-ROW(PLE.firstrow))),0,
           IF(OFFSET(PLE!$G$15,$M39-$A$15,BB$13)="",10^12,OFFSET(PLE!$G$15,$M39-$A$15,BB$13)))</f>
        <v>1000000000000</v>
      </c>
      <c r="BC39" s="359" t="n">
        <f aca="true">IF(OR($D39&lt;&gt;"Serviço",AND(AUTOEVENTO="Manual",$M39=$A$15),$M39&gt;(ROW(PLE.lastrow)-ROW(PLE.firstrow))),0,
           IF(OFFSET(PLE!$G$15,$M39-$A$15,BC$13)="",10^12,OFFSET(PLE!$G$15,$M39-$A$15,BC$13)))</f>
        <v>1000000000000</v>
      </c>
      <c r="BD39" s="359" t="n">
        <f aca="true">IF(OR($D39&lt;&gt;"Serviço",AND(AUTOEVENTO="Manual",$M39=$A$15),$M39&gt;(ROW(PLE.lastrow)-ROW(PLE.firstrow))),0,
           IF(OFFSET(PLE!$G$15,$M39-$A$15,BD$13)="",10^12,OFFSET(PLE!$G$15,$M39-$A$15,BD$13)))</f>
        <v>1000000000000</v>
      </c>
      <c r="BE39" s="359" t="n">
        <f aca="true">IF(OR($D39&lt;&gt;"Serviço",AND(AUTOEVENTO="Manual",$M39=$A$15),$M39&gt;(ROW(PLE.lastrow)-ROW(PLE.firstrow))),0,
           IF(OFFSET(PLE!$G$15,$M39-$A$15,BE$13)="",10^12,OFFSET(PLE!$G$15,$M39-$A$15,BE$13)))</f>
        <v>1000000000000</v>
      </c>
      <c r="BF39" s="359" t="n">
        <f aca="true">IF(OR($D39&lt;&gt;"Serviço",AND(AUTOEVENTO="Manual",$M39=$A$15),$M39&gt;(ROW(PLE.lastrow)-ROW(PLE.firstrow))),0,
           IF(OFFSET(PLE!$G$15,$M39-$A$15,BF$13)="",10^12,OFFSET(PLE!$G$15,$M39-$A$15,BF$13)))</f>
        <v>1000000000000</v>
      </c>
      <c r="BG39" s="359" t="n">
        <f aca="true">IF(OR($D39&lt;&gt;"Serviço",AND(AUTOEVENTO="Manual",$M39=$A$15),$M39&gt;(ROW(PLE.lastrow)-ROW(PLE.firstrow))),0,
           IF(OFFSET(PLE!$G$15,$M39-$A$15,BG$13)="",10^12,OFFSET(PLE!$G$15,$M39-$A$15,BG$13)))</f>
        <v>1000000000000</v>
      </c>
    </row>
    <row r="40" customFormat="false" ht="4.5" hidden="false" customHeight="true" outlineLevel="0" collapsed="false">
      <c r="B40" s="49" t="n">
        <f aca="true">OFFSET(ORÇAMENTO!C$15,ROW(B40)-ROW(B$15),0)</f>
        <v>-1</v>
      </c>
      <c r="C40" s="49" t="str">
        <f aca="true">OFFSET(ORÇAMENTO!L$15,ROW(C40)-ROW(C$15),0)</f>
        <v>F</v>
      </c>
      <c r="D40" s="371" t="s">
        <v>717</v>
      </c>
      <c r="E40" s="242"/>
      <c r="F40" s="245"/>
      <c r="G40" s="245"/>
      <c r="H40" s="245"/>
      <c r="I40" s="243"/>
      <c r="K40" s="372"/>
      <c r="L40" s="351" t="s">
        <v>807</v>
      </c>
      <c r="M40" s="373"/>
      <c r="N40" s="374"/>
      <c r="O40" s="375"/>
      <c r="Q40" s="242"/>
      <c r="R40" s="245"/>
      <c r="S40" s="245"/>
      <c r="T40" s="245"/>
      <c r="U40" s="245"/>
      <c r="V40" s="245"/>
      <c r="W40" s="245"/>
      <c r="X40" s="245"/>
      <c r="Y40" s="245"/>
      <c r="Z40" s="243"/>
      <c r="AB40" s="376"/>
      <c r="AC40" s="377"/>
      <c r="AD40" s="377"/>
      <c r="AE40" s="377"/>
      <c r="AF40" s="377"/>
      <c r="AG40" s="377"/>
      <c r="AH40" s="377"/>
      <c r="AI40" s="377"/>
      <c r="AJ40" s="377"/>
      <c r="AK40" s="378"/>
      <c r="AM40" s="376"/>
      <c r="AN40" s="377"/>
      <c r="AO40" s="377"/>
      <c r="AP40" s="377"/>
      <c r="AQ40" s="377"/>
      <c r="AR40" s="377"/>
      <c r="AS40" s="377"/>
      <c r="AT40" s="377"/>
      <c r="AU40" s="377"/>
      <c r="AV40" s="378"/>
      <c r="AX40" s="376"/>
      <c r="AY40" s="377"/>
      <c r="AZ40" s="377"/>
      <c r="BA40" s="377"/>
      <c r="BB40" s="377"/>
      <c r="BC40" s="377"/>
      <c r="BD40" s="377"/>
      <c r="BE40" s="377"/>
      <c r="BF40" s="377"/>
      <c r="BG40" s="378"/>
    </row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5" hidden="false" customHeight="true" outlineLevel="0" collapsed="false">
      <c r="F44" s="301" t="str">
        <f aca="false">Import.Município</f>
        <v>CAÇÃPAVA DO SUL</v>
      </c>
      <c r="I44" s="256"/>
      <c r="J44" s="256"/>
      <c r="K44" s="256"/>
      <c r="L44" s="256"/>
      <c r="M44" s="379"/>
      <c r="N44" s="47"/>
      <c r="T44" s="256"/>
      <c r="U44" s="256"/>
      <c r="V44" s="47"/>
      <c r="W44" s="47"/>
      <c r="X44" s="47"/>
      <c r="Y44" s="47"/>
    </row>
    <row r="45" customFormat="false" ht="12.75" hidden="false" customHeight="true" outlineLevel="0" collapsed="false">
      <c r="F45" s="57" t="s">
        <v>709</v>
      </c>
      <c r="I45" s="257" t="s">
        <v>712</v>
      </c>
      <c r="J45" s="257"/>
      <c r="K45" s="257"/>
      <c r="L45" s="257"/>
      <c r="T45" s="257" t="s">
        <v>712</v>
      </c>
      <c r="U45" s="257"/>
    </row>
    <row r="46" customFormat="false" ht="12.75" hidden="false" customHeight="true" outlineLevel="0" collapsed="false">
      <c r="I46" s="303" t="str">
        <f aca="true" t="array" ref="I46:I48">OFFSET(Import.RespOrçamento,0,-1) &amp; " " &amp; Import.RespOrçamento</f>
        <v>Nome: HELMESONA DE OLIVEIRA SANTANA</v>
      </c>
      <c r="K46" s="152"/>
      <c r="L46" s="152"/>
      <c r="T46" s="303" t="str">
        <f aca="true" t="array" ref="T46:T48">OFFSET(Import.RespOrçamento,0,-1) &amp; " " &amp; Import.RespOrçamento</f>
        <v>Nome: HELMESONA DE OLIVEIRA SANTANA</v>
      </c>
      <c r="U46" s="151"/>
    </row>
    <row r="47" customFormat="false" ht="12.75" hidden="false" customHeight="true" outlineLevel="0" collapsed="false">
      <c r="F47" s="304" t="n">
        <f aca="false">DADOS!$C$25</f>
        <v>46087</v>
      </c>
      <c r="I47" s="303" t="str">
        <v>CREA/CAU: RS152843</v>
      </c>
      <c r="K47" s="152"/>
      <c r="L47" s="152"/>
      <c r="T47" s="303" t="str">
        <v>CREA/CAU: RS152843</v>
      </c>
      <c r="U47" s="151"/>
    </row>
    <row r="48" customFormat="false" ht="12.75" hidden="false" customHeight="true" outlineLevel="0" collapsed="false">
      <c r="F48" s="259" t="s">
        <v>710</v>
      </c>
      <c r="I48" s="303" t="str">
        <v>ART/RRT: 8809670</v>
      </c>
      <c r="K48" s="152"/>
      <c r="L48" s="152"/>
      <c r="T48" s="303" t="str">
        <v>ART/RRT: 8809670</v>
      </c>
      <c r="U48" s="151"/>
    </row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  <row r="1004" customFormat="false" ht="12.75" hidden="false" customHeight="true" outlineLevel="0" collapsed="false"/>
    <row r="1005" customFormat="false" ht="12.75" hidden="false" customHeight="true" outlineLevel="0" collapsed="false"/>
    <row r="1006" customFormat="false" ht="12.75" hidden="false" customHeight="true" outlineLevel="0" collapsed="false"/>
    <row r="1007" customFormat="false" ht="12.75" hidden="false" customHeight="true" outlineLevel="0" collapsed="false"/>
    <row r="1008" customFormat="false" ht="12.75" hidden="false" customHeight="true" outlineLevel="0" collapsed="false"/>
    <row r="1009" customFormat="false" ht="12.75" hidden="false" customHeight="true" outlineLevel="0" collapsed="false"/>
    <row r="1010" customFormat="false" ht="12.75" hidden="false" customHeight="true" outlineLevel="0" collapsed="false"/>
    <row r="1011" customFormat="false" ht="12.75" hidden="false" customHeight="true" outlineLevel="0" collapsed="false"/>
    <row r="1012" customFormat="false" ht="12.75" hidden="false" customHeight="true" outlineLevel="0" collapsed="false"/>
    <row r="1013" customFormat="false" ht="12.75" hidden="false" customHeight="true" outlineLevel="0" collapsed="false"/>
    <row r="1014" customFormat="false" ht="12.75" hidden="false" customHeight="true" outlineLevel="0" collapsed="false"/>
    <row r="1015" customFormat="false" ht="12.75" hidden="false" customHeight="true" outlineLevel="0" collapsed="false"/>
    <row r="1016" customFormat="false" ht="12.75" hidden="false" customHeight="true" outlineLevel="0" collapsed="false"/>
    <row r="1017" customFormat="false" ht="12.75" hidden="false" customHeight="true" outlineLevel="0" collapsed="false"/>
    <row r="1018" customFormat="false" ht="12.75" hidden="false" customHeight="true" outlineLevel="0" collapsed="false"/>
    <row r="1019" customFormat="false" ht="12.75" hidden="false" customHeight="true" outlineLevel="0" collapsed="false"/>
    <row r="1020" customFormat="false" ht="12.75" hidden="false" customHeight="true" outlineLevel="0" collapsed="false"/>
    <row r="1021" customFormat="false" ht="12.75" hidden="false" customHeight="true" outlineLevel="0" collapsed="false"/>
    <row r="1022" customFormat="false" ht="12.75" hidden="false" customHeight="true" outlineLevel="0" collapsed="false"/>
    <row r="1023" customFormat="false" ht="12.75" hidden="false" customHeight="true" outlineLevel="0" collapsed="false"/>
    <row r="1024" customFormat="false" ht="12.75" hidden="false" customHeight="true" outlineLevel="0" collapsed="false"/>
    <row r="1025" customFormat="false" ht="12.75" hidden="false" customHeight="true" outlineLevel="0" collapsed="false"/>
    <row r="1026" customFormat="false" ht="12.75" hidden="false" customHeight="true" outlineLevel="0" collapsed="false"/>
    <row r="1027" customFormat="false" ht="12.75" hidden="false" customHeight="true" outlineLevel="0" collapsed="false"/>
    <row r="1028" customFormat="false" ht="12.75" hidden="false" customHeight="true" outlineLevel="0" collapsed="false"/>
    <row r="1029" customFormat="false" ht="12.75" hidden="false" customHeight="true" outlineLevel="0" collapsed="false"/>
    <row r="1030" customFormat="false" ht="12.75" hidden="false" customHeight="true" outlineLevel="0" collapsed="false"/>
    <row r="1031" customFormat="false" ht="12.75" hidden="false" customHeight="true" outlineLevel="0" collapsed="false"/>
    <row r="1032" customFormat="false" ht="12.75" hidden="false" customHeight="true" outlineLevel="0" collapsed="false"/>
    <row r="1033" customFormat="false" ht="12.75" hidden="false" customHeight="true" outlineLevel="0" collapsed="false"/>
    <row r="1034" customFormat="false" ht="12.75" hidden="false" customHeight="true" outlineLevel="0" collapsed="false"/>
    <row r="1035" customFormat="false" ht="12.75" hidden="false" customHeight="true" outlineLevel="0" collapsed="false"/>
    <row r="1036" customFormat="false" ht="12.75" hidden="false" customHeight="true" outlineLevel="0" collapsed="false"/>
    <row r="1037" customFormat="false" ht="12.75" hidden="false" customHeight="true" outlineLevel="0" collapsed="false"/>
    <row r="1038" customFormat="false" ht="12.75" hidden="false" customHeight="true" outlineLevel="0" collapsed="false"/>
    <row r="1039" customFormat="false" ht="12.75" hidden="false" customHeight="true" outlineLevel="0" collapsed="false"/>
    <row r="1040" customFormat="false" ht="12.75" hidden="false" customHeight="true" outlineLevel="0" collapsed="false"/>
    <row r="1041" customFormat="false" ht="12.75" hidden="false" customHeight="true" outlineLevel="0" collapsed="false"/>
    <row r="1042" customFormat="false" ht="12.75" hidden="false" customHeight="true" outlineLevel="0" collapsed="false"/>
    <row r="1043" customFormat="false" ht="12.75" hidden="false" customHeight="true" outlineLevel="0" collapsed="false"/>
    <row r="1044" customFormat="false" ht="12.75" hidden="false" customHeight="true" outlineLevel="0" collapsed="false"/>
    <row r="1045" customFormat="false" ht="12.75" hidden="false" customHeight="true" outlineLevel="0" collapsed="false"/>
    <row r="1046" customFormat="false" ht="12.75" hidden="false" customHeight="true" outlineLevel="0" collapsed="false"/>
    <row r="1047" customFormat="false" ht="12.75" hidden="false" customHeight="true" outlineLevel="0" collapsed="false"/>
    <row r="1048" customFormat="false" ht="12.75" hidden="false" customHeight="true" outlineLevel="0" collapsed="false"/>
    <row r="1049" customFormat="false" ht="12.75" hidden="false" customHeight="true" outlineLevel="0" collapsed="false"/>
    <row r="1050" customFormat="false" ht="12.75" hidden="false" customHeight="true" outlineLevel="0" collapsed="false"/>
    <row r="1051" customFormat="false" ht="12.75" hidden="false" customHeight="true" outlineLevel="0" collapsed="false"/>
    <row r="1052" customFormat="false" ht="12.75" hidden="false" customHeight="true" outlineLevel="0" collapsed="false"/>
    <row r="1053" customFormat="false" ht="12.75" hidden="false" customHeight="true" outlineLevel="0" collapsed="false"/>
    <row r="1054" customFormat="false" ht="12.75" hidden="false" customHeight="true" outlineLevel="0" collapsed="false"/>
    <row r="1055" customFormat="false" ht="12.75" hidden="false" customHeight="true" outlineLevel="0" collapsed="false"/>
    <row r="1056" customFormat="false" ht="12.75" hidden="false" customHeight="true" outlineLevel="0" collapsed="false"/>
    <row r="1057" customFormat="false" ht="12.75" hidden="false" customHeight="true" outlineLevel="0" collapsed="false"/>
    <row r="1058" customFormat="false" ht="12.75" hidden="false" customHeight="true" outlineLevel="0" collapsed="false"/>
    <row r="1059" customFormat="false" ht="12.75" hidden="false" customHeight="true" outlineLevel="0" collapsed="false"/>
    <row r="1060" customFormat="false" ht="12.75" hidden="false" customHeight="true" outlineLevel="0" collapsed="false"/>
    <row r="1061" customFormat="false" ht="12.75" hidden="false" customHeight="true" outlineLevel="0" collapsed="false"/>
    <row r="1062" customFormat="false" ht="12.75" hidden="false" customHeight="true" outlineLevel="0" collapsed="false"/>
    <row r="1063" customFormat="false" ht="12.75" hidden="false" customHeight="true" outlineLevel="0" collapsed="false"/>
    <row r="1064" customFormat="false" ht="12.75" hidden="false" customHeight="true" outlineLevel="0" collapsed="false"/>
    <row r="1065" customFormat="false" ht="12.75" hidden="false" customHeight="true" outlineLevel="0" collapsed="false"/>
    <row r="1066" customFormat="false" ht="12.75" hidden="false" customHeight="true" outlineLevel="0" collapsed="false"/>
    <row r="1067" customFormat="false" ht="12.75" hidden="false" customHeight="true" outlineLevel="0" collapsed="false"/>
    <row r="1068" customFormat="false" ht="12.75" hidden="false" customHeight="true" outlineLevel="0" collapsed="false"/>
    <row r="1069" customFormat="false" ht="12.75" hidden="false" customHeight="true" outlineLevel="0" collapsed="false"/>
    <row r="1070" customFormat="false" ht="12.75" hidden="false" customHeight="true" outlineLevel="0" collapsed="false"/>
    <row r="1071" customFormat="false" ht="12.75" hidden="false" customHeight="true" outlineLevel="0" collapsed="false"/>
    <row r="1072" customFormat="false" ht="12.75" hidden="false" customHeight="true" outlineLevel="0" collapsed="false"/>
    <row r="1073" customFormat="false" ht="12.75" hidden="false" customHeight="true" outlineLevel="0" collapsed="false"/>
    <row r="1074" customFormat="false" ht="12.75" hidden="false" customHeight="true" outlineLevel="0" collapsed="false"/>
    <row r="1075" customFormat="false" ht="12.75" hidden="false" customHeight="true" outlineLevel="0" collapsed="false"/>
    <row r="1076" customFormat="false" ht="12.75" hidden="false" customHeight="true" outlineLevel="0" collapsed="false"/>
    <row r="1077" customFormat="false" ht="12.75" hidden="false" customHeight="true" outlineLevel="0" collapsed="false"/>
    <row r="1078" customFormat="false" ht="12.75" hidden="false" customHeight="true" outlineLevel="0" collapsed="false"/>
    <row r="1079" customFormat="false" ht="12.75" hidden="false" customHeight="true" outlineLevel="0" collapsed="false"/>
    <row r="1080" customFormat="false" ht="12.75" hidden="false" customHeight="true" outlineLevel="0" collapsed="false"/>
    <row r="1081" customFormat="false" ht="12.75" hidden="false" customHeight="true" outlineLevel="0" collapsed="false"/>
    <row r="1082" customFormat="false" ht="12.75" hidden="false" customHeight="true" outlineLevel="0" collapsed="false"/>
    <row r="1083" customFormat="false" ht="12.75" hidden="false" customHeight="true" outlineLevel="0" collapsed="false"/>
    <row r="1084" customFormat="false" ht="12.75" hidden="false" customHeight="true" outlineLevel="0" collapsed="false"/>
    <row r="1085" customFormat="false" ht="12.75" hidden="false" customHeight="true" outlineLevel="0" collapsed="false"/>
    <row r="1086" customFormat="false" ht="12.75" hidden="false" customHeight="true" outlineLevel="0" collapsed="false"/>
    <row r="1087" customFormat="false" ht="12.75" hidden="false" customHeight="true" outlineLevel="0" collapsed="false"/>
    <row r="1088" customFormat="false" ht="12.75" hidden="false" customHeight="true" outlineLevel="0" collapsed="false"/>
    <row r="1089" customFormat="false" ht="12.75" hidden="false" customHeight="true" outlineLevel="0" collapsed="false"/>
    <row r="1090" customFormat="false" ht="12.75" hidden="false" customHeight="true" outlineLevel="0" collapsed="false"/>
    <row r="1091" customFormat="false" ht="12.75" hidden="false" customHeight="true" outlineLevel="0" collapsed="false"/>
    <row r="1092" customFormat="false" ht="12.75" hidden="false" customHeight="true" outlineLevel="0" collapsed="false"/>
    <row r="1093" customFormat="false" ht="12.75" hidden="false" customHeight="true" outlineLevel="0" collapsed="false"/>
    <row r="1094" customFormat="false" ht="12.75" hidden="false" customHeight="true" outlineLevel="0" collapsed="false"/>
    <row r="1095" customFormat="false" ht="12.75" hidden="false" customHeight="true" outlineLevel="0" collapsed="false"/>
    <row r="1096" customFormat="false" ht="12.75" hidden="false" customHeight="true" outlineLevel="0" collapsed="false"/>
    <row r="1097" customFormat="false" ht="12.75" hidden="false" customHeight="true" outlineLevel="0" collapsed="false"/>
    <row r="1098" customFormat="false" ht="12.75" hidden="false" customHeight="true" outlineLevel="0" collapsed="false"/>
    <row r="1099" customFormat="false" ht="12.75" hidden="false" customHeight="true" outlineLevel="0" collapsed="false"/>
    <row r="1100" customFormat="false" ht="12.75" hidden="false" customHeight="true" outlineLevel="0" collapsed="false"/>
    <row r="1101" customFormat="false" ht="12.75" hidden="false" customHeight="true" outlineLevel="0" collapsed="false"/>
    <row r="1102" customFormat="false" ht="12.75" hidden="false" customHeight="true" outlineLevel="0" collapsed="false"/>
    <row r="1103" customFormat="false" ht="12.75" hidden="false" customHeight="true" outlineLevel="0" collapsed="false"/>
    <row r="1104" customFormat="false" ht="12.75" hidden="false" customHeight="true" outlineLevel="0" collapsed="false"/>
    <row r="1105" customFormat="false" ht="12.75" hidden="false" customHeight="true" outlineLevel="0" collapsed="false"/>
    <row r="1106" customFormat="false" ht="12.75" hidden="false" customHeight="true" outlineLevel="0" collapsed="false"/>
    <row r="1107" customFormat="false" ht="12.75" hidden="false" customHeight="true" outlineLevel="0" collapsed="false"/>
    <row r="1108" customFormat="false" ht="12.75" hidden="false" customHeight="true" outlineLevel="0" collapsed="false"/>
    <row r="1109" customFormat="false" ht="12.75" hidden="false" customHeight="true" outlineLevel="0" collapsed="false"/>
    <row r="1110" customFormat="false" ht="12.75" hidden="false" customHeight="true" outlineLevel="0" collapsed="false"/>
    <row r="1111" customFormat="false" ht="12.75" hidden="false" customHeight="true" outlineLevel="0" collapsed="false"/>
    <row r="1112" customFormat="false" ht="12.75" hidden="false" customHeight="true" outlineLevel="0" collapsed="false"/>
    <row r="1113" customFormat="false" ht="12.75" hidden="false" customHeight="true" outlineLevel="0" collapsed="false"/>
    <row r="1114" customFormat="false" ht="12.75" hidden="false" customHeight="true" outlineLevel="0" collapsed="false"/>
    <row r="1115" customFormat="false" ht="12.75" hidden="false" customHeight="true" outlineLevel="0" collapsed="false"/>
    <row r="1116" customFormat="false" ht="12.75" hidden="false" customHeight="true" outlineLevel="0" collapsed="false"/>
    <row r="1117" customFormat="false" ht="12.75" hidden="false" customHeight="true" outlineLevel="0" collapsed="false"/>
    <row r="1118" customFormat="false" ht="12.75" hidden="false" customHeight="true" outlineLevel="0" collapsed="false"/>
    <row r="1119" customFormat="false" ht="12.75" hidden="false" customHeight="true" outlineLevel="0" collapsed="false"/>
    <row r="1120" customFormat="false" ht="12.75" hidden="false" customHeight="true" outlineLevel="0" collapsed="false"/>
    <row r="1121" customFormat="false" ht="12.75" hidden="false" customHeight="true" outlineLevel="0" collapsed="false"/>
    <row r="1122" customFormat="false" ht="12.75" hidden="false" customHeight="true" outlineLevel="0" collapsed="false"/>
    <row r="1123" customFormat="false" ht="12.75" hidden="false" customHeight="true" outlineLevel="0" collapsed="false"/>
    <row r="1124" customFormat="false" ht="12.75" hidden="false" customHeight="true" outlineLevel="0" collapsed="false"/>
    <row r="1125" customFormat="false" ht="12.75" hidden="false" customHeight="true" outlineLevel="0" collapsed="false"/>
    <row r="1126" customFormat="false" ht="12.75" hidden="false" customHeight="true" outlineLevel="0" collapsed="false"/>
    <row r="1127" customFormat="false" ht="12.75" hidden="false" customHeight="true" outlineLevel="0" collapsed="false"/>
    <row r="1128" customFormat="false" ht="12.75" hidden="false" customHeight="true" outlineLevel="0" collapsed="false"/>
    <row r="1129" customFormat="false" ht="12.75" hidden="false" customHeight="true" outlineLevel="0" collapsed="false"/>
    <row r="1130" customFormat="false" ht="12.75" hidden="false" customHeight="true" outlineLevel="0" collapsed="false"/>
    <row r="1131" customFormat="false" ht="12.75" hidden="false" customHeight="true" outlineLevel="0" collapsed="false"/>
    <row r="1132" customFormat="false" ht="12.75" hidden="false" customHeight="true" outlineLevel="0" collapsed="false"/>
    <row r="1133" customFormat="false" ht="12.75" hidden="false" customHeight="true" outlineLevel="0" collapsed="false"/>
    <row r="1134" customFormat="false" ht="12.75" hidden="false" customHeight="true" outlineLevel="0" collapsed="false"/>
    <row r="1135" customFormat="false" ht="12.75" hidden="false" customHeight="true" outlineLevel="0" collapsed="false"/>
    <row r="1136" customFormat="false" ht="12.75" hidden="false" customHeight="true" outlineLevel="0" collapsed="false"/>
    <row r="1137" customFormat="false" ht="12.75" hidden="false" customHeight="true" outlineLevel="0" collapsed="false"/>
    <row r="1138" customFormat="false" ht="12.75" hidden="false" customHeight="true" outlineLevel="0" collapsed="false"/>
    <row r="1139" customFormat="false" ht="12.75" hidden="false" customHeight="true" outlineLevel="0" collapsed="false"/>
    <row r="1140" customFormat="false" ht="12.75" hidden="false" customHeight="true" outlineLevel="0" collapsed="false"/>
    <row r="1141" customFormat="false" ht="12.75" hidden="false" customHeight="true" outlineLevel="0" collapsed="false"/>
    <row r="1142" customFormat="false" ht="12.75" hidden="false" customHeight="true" outlineLevel="0" collapsed="false"/>
    <row r="1143" customFormat="false" ht="12.75" hidden="false" customHeight="true" outlineLevel="0" collapsed="false"/>
    <row r="1144" customFormat="false" ht="12.75" hidden="false" customHeight="true" outlineLevel="0" collapsed="false"/>
    <row r="1145" customFormat="false" ht="12.75" hidden="false" customHeight="true" outlineLevel="0" collapsed="false"/>
    <row r="1146" customFormat="false" ht="12.75" hidden="false" customHeight="true" outlineLevel="0" collapsed="false"/>
    <row r="1147" customFormat="false" ht="12.75" hidden="false" customHeight="true" outlineLevel="0" collapsed="false"/>
    <row r="1148" customFormat="false" ht="12.75" hidden="false" customHeight="true" outlineLevel="0" collapsed="false"/>
    <row r="1149" customFormat="false" ht="12.75" hidden="false" customHeight="true" outlineLevel="0" collapsed="false"/>
    <row r="1150" customFormat="false" ht="12.75" hidden="false" customHeight="true" outlineLevel="0" collapsed="false"/>
    <row r="1151" customFormat="false" ht="12.75" hidden="false" customHeight="true" outlineLevel="0" collapsed="false"/>
    <row r="1152" customFormat="false" ht="12.75" hidden="false" customHeight="true" outlineLevel="0" collapsed="false"/>
    <row r="1153" customFormat="false" ht="12.75" hidden="false" customHeight="true" outlineLevel="0" collapsed="false"/>
    <row r="1154" customFormat="false" ht="12.75" hidden="false" customHeight="true" outlineLevel="0" collapsed="false"/>
    <row r="1155" customFormat="false" ht="12.75" hidden="false" customHeight="true" outlineLevel="0" collapsed="false"/>
    <row r="1156" customFormat="false" ht="12.75" hidden="false" customHeight="true" outlineLevel="0" collapsed="false"/>
    <row r="1157" customFormat="false" ht="12.75" hidden="false" customHeight="true" outlineLevel="0" collapsed="false"/>
    <row r="1158" customFormat="false" ht="12.75" hidden="false" customHeight="true" outlineLevel="0" collapsed="false"/>
    <row r="1159" customFormat="false" ht="12.75" hidden="false" customHeight="true" outlineLevel="0" collapsed="false"/>
    <row r="1160" customFormat="false" ht="12.75" hidden="false" customHeight="true" outlineLevel="0" collapsed="false"/>
    <row r="1161" customFormat="false" ht="12.75" hidden="false" customHeight="true" outlineLevel="0" collapsed="false"/>
    <row r="1162" customFormat="false" ht="12.75" hidden="false" customHeight="true" outlineLevel="0" collapsed="false"/>
    <row r="1163" customFormat="false" ht="12.75" hidden="false" customHeight="true" outlineLevel="0" collapsed="false"/>
    <row r="1164" customFormat="false" ht="12.75" hidden="false" customHeight="true" outlineLevel="0" collapsed="false"/>
    <row r="1165" customFormat="false" ht="12.75" hidden="false" customHeight="true" outlineLevel="0" collapsed="false"/>
    <row r="1166" customFormat="false" ht="12.75" hidden="false" customHeight="true" outlineLevel="0" collapsed="false"/>
    <row r="1167" customFormat="false" ht="12.75" hidden="false" customHeight="true" outlineLevel="0" collapsed="false"/>
    <row r="1168" customFormat="false" ht="12.75" hidden="false" customHeight="true" outlineLevel="0" collapsed="false"/>
    <row r="1169" customFormat="false" ht="12.75" hidden="false" customHeight="true" outlineLevel="0" collapsed="false"/>
    <row r="1170" customFormat="false" ht="12.75" hidden="false" customHeight="true" outlineLevel="0" collapsed="false"/>
    <row r="1171" customFormat="false" ht="12.75" hidden="false" customHeight="true" outlineLevel="0" collapsed="false"/>
    <row r="1172" customFormat="false" ht="12.75" hidden="false" customHeight="true" outlineLevel="0" collapsed="false"/>
    <row r="1173" customFormat="false" ht="12.75" hidden="false" customHeight="true" outlineLevel="0" collapsed="false"/>
    <row r="1174" customFormat="false" ht="12.75" hidden="false" customHeight="true" outlineLevel="0" collapsed="false"/>
    <row r="1175" customFormat="false" ht="12.75" hidden="false" customHeight="true" outlineLevel="0" collapsed="false"/>
    <row r="1176" customFormat="false" ht="12.75" hidden="false" customHeight="true" outlineLevel="0" collapsed="false"/>
    <row r="1177" customFormat="false" ht="12.75" hidden="false" customHeight="true" outlineLevel="0" collapsed="false"/>
    <row r="1178" customFormat="false" ht="12.75" hidden="false" customHeight="true" outlineLevel="0" collapsed="false"/>
    <row r="1179" customFormat="false" ht="12.75" hidden="false" customHeight="true" outlineLevel="0" collapsed="false"/>
    <row r="1180" customFormat="false" ht="12.75" hidden="false" customHeight="true" outlineLevel="0" collapsed="false"/>
    <row r="1181" customFormat="false" ht="12.75" hidden="false" customHeight="true" outlineLevel="0" collapsed="false"/>
    <row r="1182" customFormat="false" ht="12.75" hidden="false" customHeight="true" outlineLevel="0" collapsed="false"/>
    <row r="1183" customFormat="false" ht="12.75" hidden="false" customHeight="true" outlineLevel="0" collapsed="false"/>
    <row r="1184" customFormat="false" ht="12.75" hidden="false" customHeight="true" outlineLevel="0" collapsed="false"/>
    <row r="1185" customFormat="false" ht="12.75" hidden="false" customHeight="true" outlineLevel="0" collapsed="false"/>
    <row r="1186" customFormat="false" ht="12.75" hidden="false" customHeight="true" outlineLevel="0" collapsed="false"/>
    <row r="1187" customFormat="false" ht="12.75" hidden="false" customHeight="true" outlineLevel="0" collapsed="false"/>
    <row r="1188" customFormat="false" ht="12.75" hidden="false" customHeight="true" outlineLevel="0" collapsed="false"/>
    <row r="1189" customFormat="false" ht="12.75" hidden="false" customHeight="true" outlineLevel="0" collapsed="false"/>
    <row r="1190" customFormat="false" ht="12.75" hidden="false" customHeight="true" outlineLevel="0" collapsed="false"/>
    <row r="1191" customFormat="false" ht="12.75" hidden="false" customHeight="true" outlineLevel="0" collapsed="false"/>
    <row r="1192" customFormat="false" ht="12.75" hidden="false" customHeight="true" outlineLevel="0" collapsed="false"/>
    <row r="1193" customFormat="false" ht="12.75" hidden="false" customHeight="true" outlineLevel="0" collapsed="false"/>
    <row r="1194" customFormat="false" ht="12.75" hidden="false" customHeight="true" outlineLevel="0" collapsed="false"/>
    <row r="1195" customFormat="false" ht="12.75" hidden="false" customHeight="true" outlineLevel="0" collapsed="false"/>
    <row r="1196" customFormat="false" ht="12.75" hidden="false" customHeight="true" outlineLevel="0" collapsed="false"/>
    <row r="1197" customFormat="false" ht="12.75" hidden="false" customHeight="true" outlineLevel="0" collapsed="false"/>
    <row r="1198" customFormat="false" ht="12.75" hidden="false" customHeight="true" outlineLevel="0" collapsed="false"/>
    <row r="1199" customFormat="false" ht="12.75" hidden="false" customHeight="true" outlineLevel="0" collapsed="false"/>
    <row r="1200" customFormat="false" ht="12.75" hidden="false" customHeight="true" outlineLevel="0" collapsed="false"/>
    <row r="1201" customFormat="false" ht="12.75" hidden="false" customHeight="true" outlineLevel="0" collapsed="false"/>
    <row r="1202" customFormat="false" ht="12.75" hidden="false" customHeight="true" outlineLevel="0" collapsed="false"/>
    <row r="1203" customFormat="false" ht="12.75" hidden="false" customHeight="true" outlineLevel="0" collapsed="false"/>
    <row r="1204" customFormat="false" ht="12.75" hidden="false" customHeight="true" outlineLevel="0" collapsed="false"/>
    <row r="1205" customFormat="false" ht="12.75" hidden="false" customHeight="true" outlineLevel="0" collapsed="false"/>
    <row r="1206" customFormat="false" ht="12.75" hidden="false" customHeight="true" outlineLevel="0" collapsed="false"/>
    <row r="1207" customFormat="false" ht="12.75" hidden="false" customHeight="true" outlineLevel="0" collapsed="false"/>
    <row r="1208" customFormat="false" ht="12.75" hidden="false" customHeight="true" outlineLevel="0" collapsed="false"/>
    <row r="1209" customFormat="false" ht="12.75" hidden="false" customHeight="true" outlineLevel="0" collapsed="false"/>
    <row r="1210" customFormat="false" ht="12.75" hidden="false" customHeight="true" outlineLevel="0" collapsed="false"/>
    <row r="1211" customFormat="false" ht="12.75" hidden="false" customHeight="true" outlineLevel="0" collapsed="false"/>
    <row r="1212" customFormat="false" ht="12.75" hidden="false" customHeight="true" outlineLevel="0" collapsed="false"/>
    <row r="1213" customFormat="false" ht="12.75" hidden="false" customHeight="true" outlineLevel="0" collapsed="false"/>
    <row r="1214" customFormat="false" ht="12.75" hidden="false" customHeight="true" outlineLevel="0" collapsed="false"/>
    <row r="1215" customFormat="false" ht="12.75" hidden="false" customHeight="true" outlineLevel="0" collapsed="false"/>
    <row r="1216" customFormat="false" ht="12.75" hidden="false" customHeight="true" outlineLevel="0" collapsed="false"/>
    <row r="1217" customFormat="false" ht="12.75" hidden="false" customHeight="true" outlineLevel="0" collapsed="false"/>
    <row r="1218" customFormat="false" ht="12.75" hidden="false" customHeight="true" outlineLevel="0" collapsed="false"/>
    <row r="1219" customFormat="false" ht="12.75" hidden="false" customHeight="true" outlineLevel="0" collapsed="false"/>
    <row r="1220" customFormat="false" ht="12.75" hidden="false" customHeight="true" outlineLevel="0" collapsed="false"/>
    <row r="1221" customFormat="false" ht="12.75" hidden="false" customHeight="true" outlineLevel="0" collapsed="false"/>
    <row r="1222" customFormat="false" ht="12.75" hidden="false" customHeight="true" outlineLevel="0" collapsed="false"/>
    <row r="1223" customFormat="false" ht="12.75" hidden="false" customHeight="true" outlineLevel="0" collapsed="false"/>
    <row r="1224" customFormat="false" ht="12.75" hidden="false" customHeight="true" outlineLevel="0" collapsed="false"/>
    <row r="1225" customFormat="false" ht="12.75" hidden="false" customHeight="true" outlineLevel="0" collapsed="false"/>
    <row r="1226" customFormat="false" ht="12.75" hidden="false" customHeight="true" outlineLevel="0" collapsed="false"/>
    <row r="1227" customFormat="false" ht="12.75" hidden="false" customHeight="true" outlineLevel="0" collapsed="false"/>
    <row r="1228" customFormat="false" ht="12.75" hidden="false" customHeight="true" outlineLevel="0" collapsed="false"/>
    <row r="1229" customFormat="false" ht="12.75" hidden="false" customHeight="true" outlineLevel="0" collapsed="false"/>
    <row r="1230" customFormat="false" ht="12.75" hidden="false" customHeight="true" outlineLevel="0" collapsed="false"/>
    <row r="1231" customFormat="false" ht="12.75" hidden="false" customHeight="true" outlineLevel="0" collapsed="false"/>
    <row r="1232" customFormat="false" ht="12.75" hidden="false" customHeight="true" outlineLevel="0" collapsed="false"/>
    <row r="1233" customFormat="false" ht="12.75" hidden="false" customHeight="true" outlineLevel="0" collapsed="false"/>
    <row r="1234" customFormat="false" ht="12.75" hidden="false" customHeight="true" outlineLevel="0" collapsed="false"/>
    <row r="1235" customFormat="false" ht="12.75" hidden="false" customHeight="true" outlineLevel="0" collapsed="false"/>
    <row r="1236" customFormat="false" ht="12.75" hidden="false" customHeight="true" outlineLevel="0" collapsed="false"/>
    <row r="1237" customFormat="false" ht="12.75" hidden="false" customHeight="true" outlineLevel="0" collapsed="false"/>
    <row r="1238" customFormat="false" ht="12.75" hidden="false" customHeight="true" outlineLevel="0" collapsed="false"/>
    <row r="1239" customFormat="false" ht="12.75" hidden="false" customHeight="true" outlineLevel="0" collapsed="false"/>
    <row r="1240" customFormat="false" ht="12.75" hidden="false" customHeight="true" outlineLevel="0" collapsed="false"/>
    <row r="1241" customFormat="false" ht="12.75" hidden="false" customHeight="true" outlineLevel="0" collapsed="false"/>
    <row r="1242" customFormat="false" ht="12.75" hidden="false" customHeight="true" outlineLevel="0" collapsed="false"/>
    <row r="1243" customFormat="false" ht="12.75" hidden="false" customHeight="true" outlineLevel="0" collapsed="false"/>
    <row r="1244" customFormat="false" ht="12.75" hidden="false" customHeight="true" outlineLevel="0" collapsed="false"/>
    <row r="1245" customFormat="false" ht="12.75" hidden="false" customHeight="true" outlineLevel="0" collapsed="false"/>
    <row r="1246" customFormat="false" ht="12.75" hidden="false" customHeight="true" outlineLevel="0" collapsed="false"/>
    <row r="1247" customFormat="false" ht="12.75" hidden="false" customHeight="true" outlineLevel="0" collapsed="false"/>
    <row r="1248" customFormat="false" ht="12.75" hidden="false" customHeight="true" outlineLevel="0" collapsed="false"/>
    <row r="1249" customFormat="false" ht="12.75" hidden="false" customHeight="true" outlineLevel="0" collapsed="false"/>
    <row r="1250" customFormat="false" ht="12.75" hidden="false" customHeight="true" outlineLevel="0" collapsed="false"/>
    <row r="1251" customFormat="false" ht="12.75" hidden="false" customHeight="true" outlineLevel="0" collapsed="false"/>
    <row r="1252" customFormat="false" ht="12.75" hidden="false" customHeight="true" outlineLevel="0" collapsed="false"/>
    <row r="1253" customFormat="false" ht="12.75" hidden="false" customHeight="true" outlineLevel="0" collapsed="false"/>
    <row r="1254" customFormat="false" ht="12.75" hidden="false" customHeight="true" outlineLevel="0" collapsed="false"/>
    <row r="1255" customFormat="false" ht="12.75" hidden="false" customHeight="true" outlineLevel="0" collapsed="false"/>
    <row r="1256" customFormat="false" ht="12.75" hidden="false" customHeight="true" outlineLevel="0" collapsed="false"/>
    <row r="1257" customFormat="false" ht="12.75" hidden="false" customHeight="true" outlineLevel="0" collapsed="false"/>
    <row r="1258" customFormat="false" ht="12.75" hidden="false" customHeight="true" outlineLevel="0" collapsed="false"/>
    <row r="1259" customFormat="false" ht="12.75" hidden="false" customHeight="true" outlineLevel="0" collapsed="false"/>
    <row r="1260" customFormat="false" ht="12.75" hidden="false" customHeight="true" outlineLevel="0" collapsed="false"/>
    <row r="1261" customFormat="false" ht="12.75" hidden="false" customHeight="true" outlineLevel="0" collapsed="false"/>
    <row r="1262" customFormat="false" ht="12.75" hidden="false" customHeight="true" outlineLevel="0" collapsed="false"/>
    <row r="1263" customFormat="false" ht="12.75" hidden="false" customHeight="true" outlineLevel="0" collapsed="false"/>
    <row r="1264" customFormat="false" ht="12.75" hidden="false" customHeight="true" outlineLevel="0" collapsed="false"/>
    <row r="1265" customFormat="false" ht="12.75" hidden="false" customHeight="true" outlineLevel="0" collapsed="false"/>
    <row r="1266" customFormat="false" ht="12.75" hidden="false" customHeight="true" outlineLevel="0" collapsed="false"/>
    <row r="1267" customFormat="false" ht="12.75" hidden="false" customHeight="true" outlineLevel="0" collapsed="false"/>
    <row r="1268" customFormat="false" ht="12.75" hidden="false" customHeight="true" outlineLevel="0" collapsed="false"/>
    <row r="1269" customFormat="false" ht="12.75" hidden="false" customHeight="true" outlineLevel="0" collapsed="false"/>
    <row r="1270" customFormat="false" ht="12.75" hidden="false" customHeight="true" outlineLevel="0" collapsed="false"/>
    <row r="1271" customFormat="false" ht="12.75" hidden="false" customHeight="true" outlineLevel="0" collapsed="false"/>
    <row r="1272" customFormat="false" ht="12.75" hidden="false" customHeight="true" outlineLevel="0" collapsed="false"/>
    <row r="1273" customFormat="false" ht="12.75" hidden="false" customHeight="true" outlineLevel="0" collapsed="false"/>
    <row r="1274" customFormat="false" ht="12.75" hidden="false" customHeight="true" outlineLevel="0" collapsed="false"/>
    <row r="1275" customFormat="false" ht="12.75" hidden="false" customHeight="true" outlineLevel="0" collapsed="false"/>
    <row r="1276" customFormat="false" ht="12.75" hidden="false" customHeight="true" outlineLevel="0" collapsed="false"/>
    <row r="1277" customFormat="false" ht="12.75" hidden="false" customHeight="true" outlineLevel="0" collapsed="false"/>
    <row r="1278" customFormat="false" ht="12.75" hidden="false" customHeight="true" outlineLevel="0" collapsed="false"/>
    <row r="1279" customFormat="false" ht="12.75" hidden="false" customHeight="true" outlineLevel="0" collapsed="false"/>
    <row r="1280" customFormat="false" ht="12.75" hidden="false" customHeight="true" outlineLevel="0" collapsed="false"/>
    <row r="1281" customFormat="false" ht="12.75" hidden="false" customHeight="true" outlineLevel="0" collapsed="false"/>
    <row r="1282" customFormat="false" ht="12.75" hidden="false" customHeight="true" outlineLevel="0" collapsed="false"/>
    <row r="1283" customFormat="false" ht="12.75" hidden="false" customHeight="true" outlineLevel="0" collapsed="false"/>
    <row r="1284" customFormat="false" ht="12.75" hidden="false" customHeight="true" outlineLevel="0" collapsed="false"/>
    <row r="1285" customFormat="false" ht="12.75" hidden="false" customHeight="true" outlineLevel="0" collapsed="false"/>
    <row r="1286" customFormat="false" ht="12.75" hidden="false" customHeight="true" outlineLevel="0" collapsed="false"/>
    <row r="1287" customFormat="false" ht="12.75" hidden="false" customHeight="true" outlineLevel="0" collapsed="false"/>
    <row r="1288" customFormat="false" ht="12.75" hidden="false" customHeight="true" outlineLevel="0" collapsed="false"/>
    <row r="1289" customFormat="false" ht="12.75" hidden="false" customHeight="true" outlineLevel="0" collapsed="false"/>
    <row r="1290" customFormat="false" ht="12.75" hidden="false" customHeight="true" outlineLevel="0" collapsed="false"/>
    <row r="1291" customFormat="false" ht="12.75" hidden="false" customHeight="true" outlineLevel="0" collapsed="false"/>
    <row r="1292" customFormat="false" ht="12.75" hidden="false" customHeight="true" outlineLevel="0" collapsed="false"/>
    <row r="1293" customFormat="false" ht="12.75" hidden="false" customHeight="true" outlineLevel="0" collapsed="false"/>
    <row r="1294" customFormat="false" ht="12.75" hidden="false" customHeight="true" outlineLevel="0" collapsed="false"/>
    <row r="1295" customFormat="false" ht="12.75" hidden="false" customHeight="true" outlineLevel="0" collapsed="false"/>
    <row r="1296" customFormat="false" ht="12.75" hidden="false" customHeight="true" outlineLevel="0" collapsed="false"/>
    <row r="1297" customFormat="false" ht="12.75" hidden="false" customHeight="true" outlineLevel="0" collapsed="false"/>
    <row r="1298" customFormat="false" ht="12.75" hidden="false" customHeight="true" outlineLevel="0" collapsed="false"/>
    <row r="1299" customFormat="false" ht="12.75" hidden="false" customHeight="true" outlineLevel="0" collapsed="false"/>
    <row r="1300" customFormat="false" ht="12.75" hidden="false" customHeight="true" outlineLevel="0" collapsed="false"/>
    <row r="1301" customFormat="false" ht="12.75" hidden="false" customHeight="true" outlineLevel="0" collapsed="false"/>
    <row r="1302" customFormat="false" ht="12.75" hidden="false" customHeight="true" outlineLevel="0" collapsed="false"/>
    <row r="1303" customFormat="false" ht="12.75" hidden="false" customHeight="true" outlineLevel="0" collapsed="false"/>
    <row r="1304" customFormat="false" ht="12.75" hidden="false" customHeight="true" outlineLevel="0" collapsed="false"/>
    <row r="1305" customFormat="false" ht="12.75" hidden="false" customHeight="true" outlineLevel="0" collapsed="false"/>
    <row r="1306" customFormat="false" ht="12.75" hidden="false" customHeight="true" outlineLevel="0" collapsed="false"/>
    <row r="1307" customFormat="false" ht="12.75" hidden="false" customHeight="true" outlineLevel="0" collapsed="false"/>
    <row r="1308" customFormat="false" ht="12.75" hidden="false" customHeight="true" outlineLevel="0" collapsed="false"/>
    <row r="1309" customFormat="false" ht="12.75" hidden="false" customHeight="true" outlineLevel="0" collapsed="false"/>
    <row r="1310" customFormat="false" ht="12.75" hidden="false" customHeight="true" outlineLevel="0" collapsed="false"/>
    <row r="1311" customFormat="false" ht="12.75" hidden="false" customHeight="true" outlineLevel="0" collapsed="false"/>
    <row r="1312" customFormat="false" ht="12.75" hidden="false" customHeight="true" outlineLevel="0" collapsed="false"/>
    <row r="1313" customFormat="false" ht="12.75" hidden="false" customHeight="true" outlineLevel="0" collapsed="false"/>
    <row r="1314" customFormat="false" ht="12.75" hidden="false" customHeight="true" outlineLevel="0" collapsed="false"/>
    <row r="1315" customFormat="false" ht="12.75" hidden="false" customHeight="true" outlineLevel="0" collapsed="false"/>
    <row r="1316" customFormat="false" ht="12.75" hidden="false" customHeight="true" outlineLevel="0" collapsed="false"/>
    <row r="1317" customFormat="false" ht="12.75" hidden="false" customHeight="true" outlineLevel="0" collapsed="false"/>
    <row r="1318" customFormat="false" ht="12.75" hidden="false" customHeight="true" outlineLevel="0" collapsed="false"/>
    <row r="1319" customFormat="false" ht="12.75" hidden="false" customHeight="true" outlineLevel="0" collapsed="false"/>
    <row r="1320" customFormat="false" ht="12.75" hidden="false" customHeight="true" outlineLevel="0" collapsed="false"/>
    <row r="1321" customFormat="false" ht="12.75" hidden="false" customHeight="true" outlineLevel="0" collapsed="false"/>
    <row r="1322" customFormat="false" ht="12.75" hidden="false" customHeight="true" outlineLevel="0" collapsed="false"/>
    <row r="1323" customFormat="false" ht="12.75" hidden="false" customHeight="true" outlineLevel="0" collapsed="false"/>
    <row r="1324" customFormat="false" ht="12.75" hidden="false" customHeight="true" outlineLevel="0" collapsed="false"/>
    <row r="1325" customFormat="false" ht="12.75" hidden="false" customHeight="true" outlineLevel="0" collapsed="false"/>
    <row r="1326" customFormat="false" ht="12.75" hidden="false" customHeight="true" outlineLevel="0" collapsed="false"/>
    <row r="1327" customFormat="false" ht="12.75" hidden="false" customHeight="true" outlineLevel="0" collapsed="false"/>
    <row r="1328" customFormat="false" ht="12.75" hidden="false" customHeight="true" outlineLevel="0" collapsed="false"/>
    <row r="1329" customFormat="false" ht="12.75" hidden="false" customHeight="true" outlineLevel="0" collapsed="false"/>
    <row r="1330" customFormat="false" ht="12.75" hidden="false" customHeight="true" outlineLevel="0" collapsed="false"/>
    <row r="1331" customFormat="false" ht="12.75" hidden="false" customHeight="true" outlineLevel="0" collapsed="false"/>
    <row r="1332" customFormat="false" ht="12.75" hidden="false" customHeight="true" outlineLevel="0" collapsed="false"/>
    <row r="1333" customFormat="false" ht="12.75" hidden="false" customHeight="true" outlineLevel="0" collapsed="false"/>
    <row r="1334" customFormat="false" ht="12.75" hidden="false" customHeight="true" outlineLevel="0" collapsed="false"/>
    <row r="1335" customFormat="false" ht="12.75" hidden="false" customHeight="true" outlineLevel="0" collapsed="false"/>
    <row r="1336" customFormat="false" ht="12.75" hidden="false" customHeight="true" outlineLevel="0" collapsed="false"/>
    <row r="1337" customFormat="false" ht="12.75" hidden="false" customHeight="true" outlineLevel="0" collapsed="false"/>
    <row r="1338" customFormat="false" ht="12.75" hidden="false" customHeight="true" outlineLevel="0" collapsed="false"/>
    <row r="1339" customFormat="false" ht="12.75" hidden="false" customHeight="true" outlineLevel="0" collapsed="false"/>
    <row r="1340" customFormat="false" ht="12.75" hidden="false" customHeight="true" outlineLevel="0" collapsed="false"/>
    <row r="1341" customFormat="false" ht="12.75" hidden="false" customHeight="true" outlineLevel="0" collapsed="false"/>
    <row r="1342" customFormat="false" ht="12.75" hidden="false" customHeight="true" outlineLevel="0" collapsed="false"/>
    <row r="1343" customFormat="false" ht="12.75" hidden="false" customHeight="true" outlineLevel="0" collapsed="false"/>
    <row r="1344" customFormat="false" ht="12.75" hidden="false" customHeight="true" outlineLevel="0" collapsed="false"/>
    <row r="1345" customFormat="false" ht="12.75" hidden="false" customHeight="true" outlineLevel="0" collapsed="false"/>
    <row r="1346" customFormat="false" ht="12.75" hidden="false" customHeight="true" outlineLevel="0" collapsed="false"/>
    <row r="1347" customFormat="false" ht="12.75" hidden="false" customHeight="true" outlineLevel="0" collapsed="false"/>
    <row r="1348" customFormat="false" ht="12.75" hidden="false" customHeight="true" outlineLevel="0" collapsed="false"/>
    <row r="1349" customFormat="false" ht="12.75" hidden="false" customHeight="true" outlineLevel="0" collapsed="false"/>
    <row r="1350" customFormat="false" ht="12.75" hidden="false" customHeight="true" outlineLevel="0" collapsed="false"/>
    <row r="1351" customFormat="false" ht="12.75" hidden="false" customHeight="true" outlineLevel="0" collapsed="false"/>
    <row r="1352" customFormat="false" ht="12.75" hidden="false" customHeight="true" outlineLevel="0" collapsed="false"/>
    <row r="1353" customFormat="false" ht="12.75" hidden="false" customHeight="true" outlineLevel="0" collapsed="false"/>
    <row r="1354" customFormat="false" ht="12.75" hidden="false" customHeight="true" outlineLevel="0" collapsed="false"/>
    <row r="1355" customFormat="false" ht="12.75" hidden="false" customHeight="true" outlineLevel="0" collapsed="false"/>
    <row r="1356" customFormat="false" ht="12.75" hidden="false" customHeight="true" outlineLevel="0" collapsed="false"/>
    <row r="1357" customFormat="false" ht="12.75" hidden="false" customHeight="true" outlineLevel="0" collapsed="false"/>
    <row r="1358" customFormat="false" ht="12.75" hidden="false" customHeight="true" outlineLevel="0" collapsed="false"/>
    <row r="1359" customFormat="false" ht="12.75" hidden="false" customHeight="true" outlineLevel="0" collapsed="false"/>
    <row r="1360" customFormat="false" ht="12.75" hidden="false" customHeight="true" outlineLevel="0" collapsed="false"/>
    <row r="1361" customFormat="false" ht="12.75" hidden="false" customHeight="true" outlineLevel="0" collapsed="false"/>
    <row r="1362" customFormat="false" ht="12.75" hidden="false" customHeight="true" outlineLevel="0" collapsed="false"/>
    <row r="1363" customFormat="false" ht="12.75" hidden="false" customHeight="true" outlineLevel="0" collapsed="false"/>
    <row r="1364" customFormat="false" ht="12.75" hidden="false" customHeight="true" outlineLevel="0" collapsed="false"/>
    <row r="1365" customFormat="false" ht="12.75" hidden="false" customHeight="true" outlineLevel="0" collapsed="false"/>
    <row r="1366" customFormat="false" ht="12.75" hidden="false" customHeight="true" outlineLevel="0" collapsed="false"/>
    <row r="1367" customFormat="false" ht="12.75" hidden="false" customHeight="true" outlineLevel="0" collapsed="false"/>
    <row r="1368" customFormat="false" ht="12.75" hidden="false" customHeight="true" outlineLevel="0" collapsed="false"/>
    <row r="1369" customFormat="false" ht="12.75" hidden="false" customHeight="true" outlineLevel="0" collapsed="false"/>
    <row r="1370" customFormat="false" ht="12.75" hidden="false" customHeight="true" outlineLevel="0" collapsed="false"/>
    <row r="1371" customFormat="false" ht="12.75" hidden="false" customHeight="true" outlineLevel="0" collapsed="false"/>
    <row r="1372" customFormat="false" ht="12.75" hidden="false" customHeight="true" outlineLevel="0" collapsed="false"/>
    <row r="1373" customFormat="false" ht="12.75" hidden="false" customHeight="true" outlineLevel="0" collapsed="false"/>
    <row r="1374" customFormat="false" ht="12.75" hidden="false" customHeight="true" outlineLevel="0" collapsed="false"/>
    <row r="1375" customFormat="false" ht="12.75" hidden="false" customHeight="true" outlineLevel="0" collapsed="false"/>
    <row r="1376" customFormat="false" ht="12.75" hidden="false" customHeight="true" outlineLevel="0" collapsed="false"/>
    <row r="1377" customFormat="false" ht="12.75" hidden="false" customHeight="true" outlineLevel="0" collapsed="false"/>
    <row r="1378" customFormat="false" ht="12.75" hidden="false" customHeight="true" outlineLevel="0" collapsed="false"/>
    <row r="1379" customFormat="false" ht="12.75" hidden="false" customHeight="true" outlineLevel="0" collapsed="false"/>
    <row r="1380" customFormat="false" ht="12.75" hidden="false" customHeight="true" outlineLevel="0" collapsed="false"/>
    <row r="1381" customFormat="false" ht="12.75" hidden="false" customHeight="true" outlineLevel="0" collapsed="false"/>
    <row r="1382" customFormat="false" ht="12.75" hidden="false" customHeight="true" outlineLevel="0" collapsed="false"/>
    <row r="1383" customFormat="false" ht="12.75" hidden="false" customHeight="true" outlineLevel="0" collapsed="false"/>
    <row r="1384" customFormat="false" ht="12.75" hidden="false" customHeight="true" outlineLevel="0" collapsed="false"/>
    <row r="1385" customFormat="false" ht="12.75" hidden="false" customHeight="true" outlineLevel="0" collapsed="false"/>
    <row r="1386" customFormat="false" ht="12.75" hidden="false" customHeight="true" outlineLevel="0" collapsed="false"/>
    <row r="1387" customFormat="false" ht="12.75" hidden="false" customHeight="true" outlineLevel="0" collapsed="false"/>
    <row r="1388" customFormat="false" ht="12.75" hidden="false" customHeight="true" outlineLevel="0" collapsed="false"/>
    <row r="1389" customFormat="false" ht="12.75" hidden="false" customHeight="true" outlineLevel="0" collapsed="false"/>
    <row r="1390" customFormat="false" ht="12.75" hidden="false" customHeight="true" outlineLevel="0" collapsed="false"/>
    <row r="1391" customFormat="false" ht="12.75" hidden="false" customHeight="true" outlineLevel="0" collapsed="false"/>
    <row r="1392" customFormat="false" ht="12.75" hidden="false" customHeight="true" outlineLevel="0" collapsed="false"/>
    <row r="1393" customFormat="false" ht="12.75" hidden="false" customHeight="true" outlineLevel="0" collapsed="false"/>
    <row r="1394" customFormat="false" ht="12.75" hidden="false" customHeight="true" outlineLevel="0" collapsed="false"/>
    <row r="1395" customFormat="false" ht="12.75" hidden="false" customHeight="true" outlineLevel="0" collapsed="false"/>
    <row r="1396" customFormat="false" ht="12.75" hidden="false" customHeight="true" outlineLevel="0" collapsed="false"/>
    <row r="1397" customFormat="false" ht="12.75" hidden="false" customHeight="true" outlineLevel="0" collapsed="false"/>
    <row r="1398" customFormat="false" ht="12.75" hidden="false" customHeight="true" outlineLevel="0" collapsed="false"/>
    <row r="1399" customFormat="false" ht="12.75" hidden="false" customHeight="true" outlineLevel="0" collapsed="false"/>
    <row r="1400" customFormat="false" ht="12.75" hidden="false" customHeight="true" outlineLevel="0" collapsed="false"/>
    <row r="1401" customFormat="false" ht="12.75" hidden="false" customHeight="true" outlineLevel="0" collapsed="false"/>
    <row r="1402" customFormat="false" ht="12.75" hidden="false" customHeight="true" outlineLevel="0" collapsed="false"/>
    <row r="1403" customFormat="false" ht="12.75" hidden="false" customHeight="true" outlineLevel="0" collapsed="false"/>
    <row r="1404" customFormat="false" ht="12.75" hidden="false" customHeight="true" outlineLevel="0" collapsed="false"/>
    <row r="1405" customFormat="false" ht="12.75" hidden="false" customHeight="true" outlineLevel="0" collapsed="false"/>
    <row r="1406" customFormat="false" ht="12.75" hidden="false" customHeight="true" outlineLevel="0" collapsed="false"/>
    <row r="1407" customFormat="false" ht="12.75" hidden="false" customHeight="true" outlineLevel="0" collapsed="false"/>
    <row r="1408" customFormat="false" ht="12.75" hidden="false" customHeight="true" outlineLevel="0" collapsed="false"/>
    <row r="1409" customFormat="false" ht="12.75" hidden="false" customHeight="true" outlineLevel="0" collapsed="false"/>
    <row r="1410" customFormat="false" ht="12.75" hidden="false" customHeight="true" outlineLevel="0" collapsed="false"/>
    <row r="1411" customFormat="false" ht="12.75" hidden="false" customHeight="true" outlineLevel="0" collapsed="false"/>
    <row r="1412" customFormat="false" ht="12.75" hidden="false" customHeight="true" outlineLevel="0" collapsed="false"/>
    <row r="1413" customFormat="false" ht="12.75" hidden="false" customHeight="true" outlineLevel="0" collapsed="false"/>
    <row r="1414" customFormat="false" ht="12.75" hidden="false" customHeight="true" outlineLevel="0" collapsed="false"/>
    <row r="1415" customFormat="false" ht="12.75" hidden="false" customHeight="true" outlineLevel="0" collapsed="false"/>
    <row r="1416" customFormat="false" ht="12.75" hidden="false" customHeight="true" outlineLevel="0" collapsed="false"/>
    <row r="1417" customFormat="false" ht="12.75" hidden="false" customHeight="true" outlineLevel="0" collapsed="false"/>
    <row r="1418" customFormat="false" ht="12.75" hidden="false" customHeight="true" outlineLevel="0" collapsed="false"/>
    <row r="1419" customFormat="false" ht="12.75" hidden="false" customHeight="true" outlineLevel="0" collapsed="false"/>
    <row r="1420" customFormat="false" ht="12.75" hidden="false" customHeight="true" outlineLevel="0" collapsed="false"/>
    <row r="1421" customFormat="false" ht="12.75" hidden="false" customHeight="true" outlineLevel="0" collapsed="false"/>
    <row r="1422" customFormat="false" ht="12.75" hidden="false" customHeight="true" outlineLevel="0" collapsed="false"/>
    <row r="1423" customFormat="false" ht="12.75" hidden="false" customHeight="true" outlineLevel="0" collapsed="false"/>
    <row r="1424" customFormat="false" ht="12.75" hidden="false" customHeight="true" outlineLevel="0" collapsed="false"/>
    <row r="1425" customFormat="false" ht="12.75" hidden="false" customHeight="true" outlineLevel="0" collapsed="false"/>
    <row r="1426" customFormat="false" ht="12.75" hidden="false" customHeight="true" outlineLevel="0" collapsed="false"/>
    <row r="1427" customFormat="false" ht="12.75" hidden="false" customHeight="true" outlineLevel="0" collapsed="false"/>
    <row r="1428" customFormat="false" ht="12.75" hidden="false" customHeight="true" outlineLevel="0" collapsed="false"/>
    <row r="1429" customFormat="false" ht="12.75" hidden="false" customHeight="true" outlineLevel="0" collapsed="false"/>
    <row r="1430" customFormat="false" ht="12.75" hidden="false" customHeight="true" outlineLevel="0" collapsed="false"/>
    <row r="1431" customFormat="false" ht="12.75" hidden="false" customHeight="true" outlineLevel="0" collapsed="false"/>
    <row r="1432" customFormat="false" ht="12.75" hidden="false" customHeight="true" outlineLevel="0" collapsed="false"/>
    <row r="1433" customFormat="false" ht="12.75" hidden="false" customHeight="true" outlineLevel="0" collapsed="false"/>
    <row r="1434" customFormat="false" ht="12.75" hidden="false" customHeight="true" outlineLevel="0" collapsed="false"/>
    <row r="1435" customFormat="false" ht="12.75" hidden="false" customHeight="true" outlineLevel="0" collapsed="false"/>
    <row r="1436" customFormat="false" ht="12.75" hidden="false" customHeight="true" outlineLevel="0" collapsed="false"/>
    <row r="1437" customFormat="false" ht="12.75" hidden="false" customHeight="true" outlineLevel="0" collapsed="false"/>
    <row r="1438" customFormat="false" ht="12.75" hidden="false" customHeight="true" outlineLevel="0" collapsed="false"/>
    <row r="1439" customFormat="false" ht="12.75" hidden="false" customHeight="true" outlineLevel="0" collapsed="false"/>
    <row r="1440" customFormat="false" ht="12.75" hidden="false" customHeight="true" outlineLevel="0" collapsed="false"/>
    <row r="1441" customFormat="false" ht="12.75" hidden="false" customHeight="true" outlineLevel="0" collapsed="false"/>
    <row r="1442" customFormat="false" ht="12.75" hidden="false" customHeight="true" outlineLevel="0" collapsed="false"/>
    <row r="1443" customFormat="false" ht="12.75" hidden="false" customHeight="true" outlineLevel="0" collapsed="false"/>
    <row r="1444" customFormat="false" ht="12.75" hidden="false" customHeight="true" outlineLevel="0" collapsed="false"/>
    <row r="1445" customFormat="false" ht="12.75" hidden="false" customHeight="true" outlineLevel="0" collapsed="false"/>
    <row r="1446" customFormat="false" ht="12.75" hidden="false" customHeight="true" outlineLevel="0" collapsed="false"/>
    <row r="1447" customFormat="false" ht="12.75" hidden="false" customHeight="true" outlineLevel="0" collapsed="false"/>
    <row r="1448" customFormat="false" ht="12.75" hidden="false" customHeight="true" outlineLevel="0" collapsed="false"/>
    <row r="1449" customFormat="false" ht="12.75" hidden="false" customHeight="true" outlineLevel="0" collapsed="false"/>
    <row r="1450" customFormat="false" ht="12.75" hidden="false" customHeight="true" outlineLevel="0" collapsed="false"/>
    <row r="1451" customFormat="false" ht="12.75" hidden="false" customHeight="true" outlineLevel="0" collapsed="false"/>
    <row r="1452" customFormat="false" ht="12.75" hidden="false" customHeight="true" outlineLevel="0" collapsed="false"/>
    <row r="1453" customFormat="false" ht="12.75" hidden="false" customHeight="true" outlineLevel="0" collapsed="false"/>
    <row r="1454" customFormat="false" ht="12.75" hidden="false" customHeight="true" outlineLevel="0" collapsed="false"/>
    <row r="1455" customFormat="false" ht="12.75" hidden="false" customHeight="true" outlineLevel="0" collapsed="false"/>
    <row r="1456" customFormat="false" ht="12.75" hidden="false" customHeight="true" outlineLevel="0" collapsed="false"/>
    <row r="1457" customFormat="false" ht="12.75" hidden="false" customHeight="true" outlineLevel="0" collapsed="false"/>
    <row r="1458" customFormat="false" ht="12.75" hidden="false" customHeight="true" outlineLevel="0" collapsed="false"/>
    <row r="1459" customFormat="false" ht="12.75" hidden="false" customHeight="true" outlineLevel="0" collapsed="false"/>
    <row r="1460" customFormat="false" ht="12.75" hidden="false" customHeight="true" outlineLevel="0" collapsed="false"/>
    <row r="1461" customFormat="false" ht="12.75" hidden="false" customHeight="true" outlineLevel="0" collapsed="false"/>
    <row r="1462" customFormat="false" ht="12.75" hidden="false" customHeight="true" outlineLevel="0" collapsed="false"/>
    <row r="1463" customFormat="false" ht="12.75" hidden="false" customHeight="true" outlineLevel="0" collapsed="false"/>
    <row r="1464" customFormat="false" ht="12.75" hidden="false" customHeight="true" outlineLevel="0" collapsed="false"/>
    <row r="1465" customFormat="false" ht="12.75" hidden="false" customHeight="true" outlineLevel="0" collapsed="false"/>
    <row r="1466" customFormat="false" ht="12.75" hidden="false" customHeight="true" outlineLevel="0" collapsed="false"/>
    <row r="1467" customFormat="false" ht="12.75" hidden="false" customHeight="true" outlineLevel="0" collapsed="false"/>
    <row r="1468" customFormat="false" ht="12.75" hidden="false" customHeight="true" outlineLevel="0" collapsed="false"/>
    <row r="1469" customFormat="false" ht="12.75" hidden="false" customHeight="true" outlineLevel="0" collapsed="false"/>
    <row r="1470" customFormat="false" ht="12.75" hidden="false" customHeight="true" outlineLevel="0" collapsed="false"/>
    <row r="1471" customFormat="false" ht="12.75" hidden="false" customHeight="true" outlineLevel="0" collapsed="false"/>
    <row r="1472" customFormat="false" ht="12.75" hidden="false" customHeight="true" outlineLevel="0" collapsed="false"/>
    <row r="1473" customFormat="false" ht="12.75" hidden="false" customHeight="true" outlineLevel="0" collapsed="false"/>
    <row r="1474" customFormat="false" ht="12.75" hidden="false" customHeight="true" outlineLevel="0" collapsed="false"/>
    <row r="1475" customFormat="false" ht="12.75" hidden="false" customHeight="true" outlineLevel="0" collapsed="false"/>
    <row r="1476" customFormat="false" ht="12.75" hidden="false" customHeight="true" outlineLevel="0" collapsed="false"/>
    <row r="1477" customFormat="false" ht="12.75" hidden="false" customHeight="true" outlineLevel="0" collapsed="false"/>
    <row r="1478" customFormat="false" ht="12.75" hidden="false" customHeight="true" outlineLevel="0" collapsed="false"/>
    <row r="1479" customFormat="false" ht="12.75" hidden="false" customHeight="true" outlineLevel="0" collapsed="false"/>
    <row r="1480" customFormat="false" ht="12.75" hidden="false" customHeight="true" outlineLevel="0" collapsed="false"/>
    <row r="1481" customFormat="false" ht="12.75" hidden="false" customHeight="true" outlineLevel="0" collapsed="false"/>
    <row r="1482" customFormat="false" ht="12.75" hidden="false" customHeight="true" outlineLevel="0" collapsed="false"/>
    <row r="1483" customFormat="false" ht="12.75" hidden="false" customHeight="true" outlineLevel="0" collapsed="false"/>
    <row r="1484" customFormat="false" ht="12.75" hidden="false" customHeight="true" outlineLevel="0" collapsed="false"/>
    <row r="1485" customFormat="false" ht="12.75" hidden="false" customHeight="true" outlineLevel="0" collapsed="false"/>
    <row r="1486" customFormat="false" ht="12.75" hidden="false" customHeight="true" outlineLevel="0" collapsed="false"/>
    <row r="1487" customFormat="false" ht="12.75" hidden="false" customHeight="true" outlineLevel="0" collapsed="false"/>
    <row r="1488" customFormat="false" ht="12.75" hidden="false" customHeight="true" outlineLevel="0" collapsed="false"/>
    <row r="1489" customFormat="false" ht="12.75" hidden="false" customHeight="true" outlineLevel="0" collapsed="false"/>
    <row r="1490" customFormat="false" ht="12.75" hidden="false" customHeight="true" outlineLevel="0" collapsed="false"/>
    <row r="1491" customFormat="false" ht="12.75" hidden="false" customHeight="true" outlineLevel="0" collapsed="false"/>
    <row r="1492" customFormat="false" ht="12.75" hidden="false" customHeight="true" outlineLevel="0" collapsed="false"/>
    <row r="1493" customFormat="false" ht="12.75" hidden="false" customHeight="true" outlineLevel="0" collapsed="false"/>
    <row r="1494" customFormat="false" ht="12.75" hidden="false" customHeight="true" outlineLevel="0" collapsed="false"/>
    <row r="1495" customFormat="false" ht="12.75" hidden="false" customHeight="true" outlineLevel="0" collapsed="false"/>
    <row r="1496" customFormat="false" ht="12.75" hidden="false" customHeight="true" outlineLevel="0" collapsed="false"/>
    <row r="1497" customFormat="false" ht="12.75" hidden="false" customHeight="true" outlineLevel="0" collapsed="false"/>
    <row r="1498" customFormat="false" ht="12.75" hidden="false" customHeight="true" outlineLevel="0" collapsed="false"/>
    <row r="1499" customFormat="false" ht="12.75" hidden="false" customHeight="true" outlineLevel="0" collapsed="false"/>
    <row r="1500" customFormat="false" ht="12.75" hidden="false" customHeight="true" outlineLevel="0" collapsed="false"/>
    <row r="1501" customFormat="false" ht="12.75" hidden="false" customHeight="true" outlineLevel="0" collapsed="false"/>
    <row r="1502" customFormat="false" ht="12.75" hidden="false" customHeight="true" outlineLevel="0" collapsed="false"/>
    <row r="1503" customFormat="false" ht="12.75" hidden="false" customHeight="true" outlineLevel="0" collapsed="false"/>
    <row r="1504" customFormat="false" ht="12.75" hidden="false" customHeight="true" outlineLevel="0" collapsed="false"/>
    <row r="1505" customFormat="false" ht="12.75" hidden="false" customHeight="true" outlineLevel="0" collapsed="false"/>
    <row r="1506" customFormat="false" ht="12.75" hidden="false" customHeight="true" outlineLevel="0" collapsed="false"/>
    <row r="1507" customFormat="false" ht="12.75" hidden="false" customHeight="true" outlineLevel="0" collapsed="false"/>
    <row r="1508" customFormat="false" ht="12.75" hidden="false" customHeight="true" outlineLevel="0" collapsed="false"/>
    <row r="1509" customFormat="false" ht="12.75" hidden="false" customHeight="true" outlineLevel="0" collapsed="false"/>
    <row r="1510" customFormat="false" ht="12.75" hidden="false" customHeight="true" outlineLevel="0" collapsed="false"/>
    <row r="1511" customFormat="false" ht="12.75" hidden="false" customHeight="true" outlineLevel="0" collapsed="false"/>
    <row r="1512" customFormat="false" ht="12.75" hidden="false" customHeight="true" outlineLevel="0" collapsed="false"/>
    <row r="1513" customFormat="false" ht="12.75" hidden="false" customHeight="true" outlineLevel="0" collapsed="false"/>
    <row r="1514" customFormat="false" ht="12.75" hidden="false" customHeight="true" outlineLevel="0" collapsed="false"/>
    <row r="1515" customFormat="false" ht="12.75" hidden="false" customHeight="true" outlineLevel="0" collapsed="false"/>
    <row r="1516" customFormat="false" ht="12.75" hidden="false" customHeight="true" outlineLevel="0" collapsed="false"/>
    <row r="1517" customFormat="false" ht="12.75" hidden="false" customHeight="true" outlineLevel="0" collapsed="false"/>
    <row r="1518" customFormat="false" ht="12.75" hidden="false" customHeight="true" outlineLevel="0" collapsed="false"/>
    <row r="1519" customFormat="false" ht="12.75" hidden="false" customHeight="true" outlineLevel="0" collapsed="false"/>
    <row r="1520" customFormat="false" ht="12.75" hidden="false" customHeight="true" outlineLevel="0" collapsed="false"/>
    <row r="1521" customFormat="false" ht="12.75" hidden="false" customHeight="true" outlineLevel="0" collapsed="false"/>
    <row r="1522" customFormat="false" ht="12.75" hidden="false" customHeight="true" outlineLevel="0" collapsed="false"/>
    <row r="1523" customFormat="false" ht="12.75" hidden="false" customHeight="true" outlineLevel="0" collapsed="false"/>
    <row r="1524" customFormat="false" ht="12.75" hidden="false" customHeight="true" outlineLevel="0" collapsed="false"/>
    <row r="1525" customFormat="false" ht="12.75" hidden="false" customHeight="true" outlineLevel="0" collapsed="false"/>
    <row r="1526" customFormat="false" ht="12.75" hidden="false" customHeight="true" outlineLevel="0" collapsed="false"/>
    <row r="1527" customFormat="false" ht="12.75" hidden="false" customHeight="true" outlineLevel="0" collapsed="false"/>
    <row r="1528" customFormat="false" ht="12.75" hidden="false" customHeight="true" outlineLevel="0" collapsed="false"/>
    <row r="1529" customFormat="false" ht="12.75" hidden="false" customHeight="true" outlineLevel="0" collapsed="false"/>
    <row r="1530" customFormat="false" ht="12.75" hidden="false" customHeight="true" outlineLevel="0" collapsed="false"/>
    <row r="1531" customFormat="false" ht="12.75" hidden="false" customHeight="true" outlineLevel="0" collapsed="false"/>
    <row r="1532" customFormat="false" ht="12.75" hidden="false" customHeight="true" outlineLevel="0" collapsed="false"/>
    <row r="1533" customFormat="false" ht="12.75" hidden="false" customHeight="true" outlineLevel="0" collapsed="false"/>
    <row r="1534" customFormat="false" ht="12.75" hidden="false" customHeight="true" outlineLevel="0" collapsed="false"/>
    <row r="1535" customFormat="false" ht="12.75" hidden="false" customHeight="true" outlineLevel="0" collapsed="false"/>
    <row r="1536" customFormat="false" ht="12.75" hidden="false" customHeight="true" outlineLevel="0" collapsed="false"/>
    <row r="1537" customFormat="false" ht="12.75" hidden="false" customHeight="true" outlineLevel="0" collapsed="false"/>
    <row r="1538" customFormat="false" ht="12.75" hidden="false" customHeight="true" outlineLevel="0" collapsed="false"/>
    <row r="1539" customFormat="false" ht="12.75" hidden="false" customHeight="true" outlineLevel="0" collapsed="false"/>
    <row r="1540" customFormat="false" ht="12.75" hidden="false" customHeight="true" outlineLevel="0" collapsed="false"/>
    <row r="1541" customFormat="false" ht="12.75" hidden="false" customHeight="true" outlineLevel="0" collapsed="false"/>
    <row r="1542" customFormat="false" ht="12.75" hidden="false" customHeight="true" outlineLevel="0" collapsed="false"/>
    <row r="1543" customFormat="false" ht="12.75" hidden="false" customHeight="true" outlineLevel="0" collapsed="false"/>
    <row r="1544" customFormat="false" ht="12.75" hidden="false" customHeight="true" outlineLevel="0" collapsed="false"/>
    <row r="1545" customFormat="false" ht="12.75" hidden="false" customHeight="true" outlineLevel="0" collapsed="false"/>
    <row r="1546" customFormat="false" ht="12.75" hidden="false" customHeight="true" outlineLevel="0" collapsed="false"/>
    <row r="1547" customFormat="false" ht="12.75" hidden="false" customHeight="true" outlineLevel="0" collapsed="false"/>
    <row r="1548" customFormat="false" ht="12.75" hidden="false" customHeight="true" outlineLevel="0" collapsed="false"/>
    <row r="1549" customFormat="false" ht="12.75" hidden="false" customHeight="true" outlineLevel="0" collapsed="false"/>
    <row r="1550" customFormat="false" ht="12.75" hidden="false" customHeight="true" outlineLevel="0" collapsed="false"/>
    <row r="1551" customFormat="false" ht="12.75" hidden="false" customHeight="true" outlineLevel="0" collapsed="false"/>
    <row r="1552" customFormat="false" ht="12.75" hidden="false" customHeight="true" outlineLevel="0" collapsed="false"/>
    <row r="1553" customFormat="false" ht="12.75" hidden="false" customHeight="true" outlineLevel="0" collapsed="false"/>
    <row r="1554" customFormat="false" ht="12.75" hidden="false" customHeight="true" outlineLevel="0" collapsed="false"/>
    <row r="1555" customFormat="false" ht="12.75" hidden="false" customHeight="true" outlineLevel="0" collapsed="false"/>
    <row r="1556" customFormat="false" ht="12.75" hidden="false" customHeight="true" outlineLevel="0" collapsed="false"/>
    <row r="1557" customFormat="false" ht="12.75" hidden="false" customHeight="true" outlineLevel="0" collapsed="false"/>
    <row r="1558" customFormat="false" ht="12.75" hidden="false" customHeight="true" outlineLevel="0" collapsed="false"/>
    <row r="1559" customFormat="false" ht="12.75" hidden="false" customHeight="true" outlineLevel="0" collapsed="false"/>
    <row r="1560" customFormat="false" ht="12.75" hidden="false" customHeight="true" outlineLevel="0" collapsed="false"/>
    <row r="1561" customFormat="false" ht="12.75" hidden="false" customHeight="true" outlineLevel="0" collapsed="false"/>
    <row r="1562" customFormat="false" ht="12.75" hidden="false" customHeight="true" outlineLevel="0" collapsed="false"/>
    <row r="1563" customFormat="false" ht="12.75" hidden="false" customHeight="true" outlineLevel="0" collapsed="false"/>
    <row r="1564" customFormat="false" ht="12.75" hidden="false" customHeight="true" outlineLevel="0" collapsed="false"/>
    <row r="1565" customFormat="false" ht="12.75" hidden="false" customHeight="true" outlineLevel="0" collapsed="false"/>
    <row r="1566" customFormat="false" ht="12.75" hidden="false" customHeight="true" outlineLevel="0" collapsed="false"/>
    <row r="1567" customFormat="false" ht="12.75" hidden="false" customHeight="true" outlineLevel="0" collapsed="false"/>
    <row r="1568" customFormat="false" ht="12.75" hidden="false" customHeight="true" outlineLevel="0" collapsed="false"/>
    <row r="1569" customFormat="false" ht="12.75" hidden="false" customHeight="true" outlineLevel="0" collapsed="false"/>
    <row r="1570" customFormat="false" ht="12.75" hidden="false" customHeight="true" outlineLevel="0" collapsed="false"/>
    <row r="1571" customFormat="false" ht="12.75" hidden="false" customHeight="true" outlineLevel="0" collapsed="false"/>
    <row r="1572" customFormat="false" ht="12.75" hidden="false" customHeight="true" outlineLevel="0" collapsed="false"/>
    <row r="1573" customFormat="false" ht="12.75" hidden="false" customHeight="true" outlineLevel="0" collapsed="false"/>
    <row r="1574" customFormat="false" ht="12.75" hidden="false" customHeight="true" outlineLevel="0" collapsed="false"/>
    <row r="1575" customFormat="false" ht="12.75" hidden="false" customHeight="true" outlineLevel="0" collapsed="false"/>
    <row r="1576" customFormat="false" ht="12.75" hidden="false" customHeight="true" outlineLevel="0" collapsed="false"/>
    <row r="1577" customFormat="false" ht="12.75" hidden="false" customHeight="true" outlineLevel="0" collapsed="false"/>
    <row r="1578" customFormat="false" ht="12.75" hidden="false" customHeight="true" outlineLevel="0" collapsed="false"/>
    <row r="1579" customFormat="false" ht="12.75" hidden="false" customHeight="true" outlineLevel="0" collapsed="false"/>
    <row r="1580" customFormat="false" ht="12.75" hidden="false" customHeight="true" outlineLevel="0" collapsed="false"/>
    <row r="1581" customFormat="false" ht="12.75" hidden="false" customHeight="true" outlineLevel="0" collapsed="false"/>
    <row r="1582" customFormat="false" ht="12.75" hidden="false" customHeight="true" outlineLevel="0" collapsed="false"/>
    <row r="1583" customFormat="false" ht="12.75" hidden="false" customHeight="true" outlineLevel="0" collapsed="false"/>
    <row r="1584" customFormat="false" ht="12.75" hidden="false" customHeight="true" outlineLevel="0" collapsed="false"/>
    <row r="1585" customFormat="false" ht="12.75" hidden="false" customHeight="true" outlineLevel="0" collapsed="false"/>
    <row r="1586" customFormat="false" ht="12.75" hidden="false" customHeight="true" outlineLevel="0" collapsed="false"/>
    <row r="1587" customFormat="false" ht="12.75" hidden="false" customHeight="true" outlineLevel="0" collapsed="false"/>
    <row r="1588" customFormat="false" ht="12.75" hidden="false" customHeight="true" outlineLevel="0" collapsed="false"/>
    <row r="1589" customFormat="false" ht="12.75" hidden="false" customHeight="true" outlineLevel="0" collapsed="false"/>
    <row r="1590" customFormat="false" ht="12.75" hidden="false" customHeight="true" outlineLevel="0" collapsed="false"/>
    <row r="1591" customFormat="false" ht="12.75" hidden="false" customHeight="true" outlineLevel="0" collapsed="false"/>
    <row r="1592" customFormat="false" ht="12.75" hidden="false" customHeight="true" outlineLevel="0" collapsed="false"/>
    <row r="1593" customFormat="false" ht="12.75" hidden="false" customHeight="true" outlineLevel="0" collapsed="false"/>
    <row r="1594" customFormat="false" ht="12.75" hidden="false" customHeight="true" outlineLevel="0" collapsed="false"/>
    <row r="1595" customFormat="false" ht="12.75" hidden="false" customHeight="true" outlineLevel="0" collapsed="false"/>
    <row r="1596" customFormat="false" ht="12.75" hidden="false" customHeight="true" outlineLevel="0" collapsed="false"/>
    <row r="1597" customFormat="false" ht="12.75" hidden="false" customHeight="true" outlineLevel="0" collapsed="false"/>
    <row r="1598" customFormat="false" ht="12.75" hidden="false" customHeight="true" outlineLevel="0" collapsed="false"/>
    <row r="1599" customFormat="false" ht="12.75" hidden="false" customHeight="true" outlineLevel="0" collapsed="false"/>
    <row r="1600" customFormat="false" ht="12.75" hidden="false" customHeight="true" outlineLevel="0" collapsed="false"/>
    <row r="1601" customFormat="false" ht="12.75" hidden="false" customHeight="true" outlineLevel="0" collapsed="false"/>
    <row r="1602" customFormat="false" ht="12.75" hidden="false" customHeight="true" outlineLevel="0" collapsed="false"/>
    <row r="1603" customFormat="false" ht="12.75" hidden="false" customHeight="true" outlineLevel="0" collapsed="false"/>
    <row r="1604" customFormat="false" ht="12.75" hidden="false" customHeight="true" outlineLevel="0" collapsed="false"/>
    <row r="1605" customFormat="false" ht="12.75" hidden="false" customHeight="true" outlineLevel="0" collapsed="false"/>
    <row r="1606" customFormat="false" ht="12.75" hidden="false" customHeight="true" outlineLevel="0" collapsed="false"/>
    <row r="1607" customFormat="false" ht="12.75" hidden="false" customHeight="true" outlineLevel="0" collapsed="false"/>
    <row r="1608" customFormat="false" ht="12.75" hidden="false" customHeight="true" outlineLevel="0" collapsed="false"/>
    <row r="1609" customFormat="false" ht="12.75" hidden="false" customHeight="true" outlineLevel="0" collapsed="false"/>
    <row r="1610" customFormat="false" ht="12.75" hidden="false" customHeight="true" outlineLevel="0" collapsed="false"/>
    <row r="1611" customFormat="false" ht="12.75" hidden="false" customHeight="true" outlineLevel="0" collapsed="false"/>
    <row r="1612" customFormat="false" ht="12.75" hidden="false" customHeight="true" outlineLevel="0" collapsed="false"/>
    <row r="1613" customFormat="false" ht="12.75" hidden="false" customHeight="true" outlineLevel="0" collapsed="false"/>
    <row r="1614" customFormat="false" ht="12.75" hidden="false" customHeight="true" outlineLevel="0" collapsed="false"/>
    <row r="1615" customFormat="false" ht="12.75" hidden="false" customHeight="true" outlineLevel="0" collapsed="false"/>
    <row r="1616" customFormat="false" ht="12.75" hidden="false" customHeight="true" outlineLevel="0" collapsed="false"/>
    <row r="1617" customFormat="false" ht="12.75" hidden="false" customHeight="true" outlineLevel="0" collapsed="false"/>
    <row r="1618" customFormat="false" ht="12.75" hidden="false" customHeight="true" outlineLevel="0" collapsed="false"/>
    <row r="1619" customFormat="false" ht="12.75" hidden="false" customHeight="true" outlineLevel="0" collapsed="false"/>
    <row r="1620" customFormat="false" ht="12.75" hidden="false" customHeight="true" outlineLevel="0" collapsed="false"/>
    <row r="1621" customFormat="false" ht="12.75" hidden="false" customHeight="true" outlineLevel="0" collapsed="false"/>
    <row r="1622" customFormat="false" ht="12.75" hidden="false" customHeight="true" outlineLevel="0" collapsed="false"/>
    <row r="1623" customFormat="false" ht="12.75" hidden="false" customHeight="true" outlineLevel="0" collapsed="false"/>
    <row r="1624" customFormat="false" ht="12.75" hidden="false" customHeight="true" outlineLevel="0" collapsed="false"/>
    <row r="1625" customFormat="false" ht="12.75" hidden="false" customHeight="true" outlineLevel="0" collapsed="false"/>
    <row r="1626" customFormat="false" ht="12.75" hidden="false" customHeight="true" outlineLevel="0" collapsed="false"/>
    <row r="1627" customFormat="false" ht="12.75" hidden="false" customHeight="true" outlineLevel="0" collapsed="false"/>
    <row r="1628" customFormat="false" ht="12.75" hidden="false" customHeight="true" outlineLevel="0" collapsed="false"/>
    <row r="1629" customFormat="false" ht="12.75" hidden="false" customHeight="true" outlineLevel="0" collapsed="false"/>
    <row r="1630" customFormat="false" ht="12.75" hidden="false" customHeight="true" outlineLevel="0" collapsed="false"/>
    <row r="1631" customFormat="false" ht="12.75" hidden="false" customHeight="true" outlineLevel="0" collapsed="false"/>
    <row r="1632" customFormat="false" ht="12.75" hidden="false" customHeight="true" outlineLevel="0" collapsed="false"/>
    <row r="1633" customFormat="false" ht="12.75" hidden="false" customHeight="true" outlineLevel="0" collapsed="false"/>
    <row r="1634" customFormat="false" ht="12.75" hidden="false" customHeight="true" outlineLevel="0" collapsed="false"/>
    <row r="1635" customFormat="false" ht="12.75" hidden="false" customHeight="true" outlineLevel="0" collapsed="false"/>
    <row r="1636" customFormat="false" ht="12.75" hidden="false" customHeight="true" outlineLevel="0" collapsed="false"/>
    <row r="1637" customFormat="false" ht="12.75" hidden="false" customHeight="true" outlineLevel="0" collapsed="false"/>
    <row r="1638" customFormat="false" ht="12.75" hidden="false" customHeight="true" outlineLevel="0" collapsed="false"/>
    <row r="1639" customFormat="false" ht="12.75" hidden="false" customHeight="true" outlineLevel="0" collapsed="false"/>
    <row r="1640" customFormat="false" ht="12.75" hidden="false" customHeight="true" outlineLevel="0" collapsed="false"/>
    <row r="1641" customFormat="false" ht="12.75" hidden="false" customHeight="true" outlineLevel="0" collapsed="false"/>
    <row r="1642" customFormat="false" ht="12.75" hidden="false" customHeight="true" outlineLevel="0" collapsed="false"/>
    <row r="1643" customFormat="false" ht="12.75" hidden="false" customHeight="true" outlineLevel="0" collapsed="false"/>
    <row r="1644" customFormat="false" ht="12.75" hidden="false" customHeight="true" outlineLevel="0" collapsed="false"/>
    <row r="1645" customFormat="false" ht="12.75" hidden="false" customHeight="true" outlineLevel="0" collapsed="false"/>
    <row r="1646" customFormat="false" ht="12.75" hidden="false" customHeight="true" outlineLevel="0" collapsed="false"/>
    <row r="1647" customFormat="false" ht="12.75" hidden="false" customHeight="true" outlineLevel="0" collapsed="false"/>
    <row r="1648" customFormat="false" ht="12.75" hidden="false" customHeight="true" outlineLevel="0" collapsed="false"/>
    <row r="1649" customFormat="false" ht="12.75" hidden="false" customHeight="true" outlineLevel="0" collapsed="false"/>
    <row r="1650" customFormat="false" ht="12.75" hidden="false" customHeight="true" outlineLevel="0" collapsed="false"/>
    <row r="1651" customFormat="false" ht="12.75" hidden="false" customHeight="true" outlineLevel="0" collapsed="false"/>
    <row r="1652" customFormat="false" ht="12.75" hidden="false" customHeight="true" outlineLevel="0" collapsed="false"/>
    <row r="1653" customFormat="false" ht="12.75" hidden="false" customHeight="true" outlineLevel="0" collapsed="false"/>
    <row r="1654" customFormat="false" ht="12.75" hidden="false" customHeight="true" outlineLevel="0" collapsed="false"/>
    <row r="1655" customFormat="false" ht="12.75" hidden="false" customHeight="true" outlineLevel="0" collapsed="false"/>
    <row r="1656" customFormat="false" ht="12.75" hidden="false" customHeight="true" outlineLevel="0" collapsed="false"/>
    <row r="1657" customFormat="false" ht="12.75" hidden="false" customHeight="true" outlineLevel="0" collapsed="false"/>
    <row r="1658" customFormat="false" ht="12.75" hidden="false" customHeight="true" outlineLevel="0" collapsed="false"/>
    <row r="1659" customFormat="false" ht="12.75" hidden="false" customHeight="true" outlineLevel="0" collapsed="false"/>
    <row r="1660" customFormat="false" ht="12.75" hidden="false" customHeight="true" outlineLevel="0" collapsed="false"/>
    <row r="1661" customFormat="false" ht="12.75" hidden="false" customHeight="true" outlineLevel="0" collapsed="false"/>
    <row r="1662" customFormat="false" ht="12.75" hidden="false" customHeight="true" outlineLevel="0" collapsed="false"/>
    <row r="1663" customFormat="false" ht="12.75" hidden="false" customHeight="true" outlineLevel="0" collapsed="false"/>
    <row r="1664" customFormat="false" ht="12.75" hidden="false" customHeight="true" outlineLevel="0" collapsed="false"/>
    <row r="1665" customFormat="false" ht="12.75" hidden="false" customHeight="true" outlineLevel="0" collapsed="false"/>
    <row r="1666" customFormat="false" ht="12.75" hidden="false" customHeight="true" outlineLevel="0" collapsed="false"/>
    <row r="1667" customFormat="false" ht="12.75" hidden="false" customHeight="true" outlineLevel="0" collapsed="false"/>
    <row r="1668" customFormat="false" ht="12.75" hidden="false" customHeight="true" outlineLevel="0" collapsed="false"/>
    <row r="1669" customFormat="false" ht="12.75" hidden="false" customHeight="true" outlineLevel="0" collapsed="false"/>
    <row r="1670" customFormat="false" ht="12.75" hidden="false" customHeight="true" outlineLevel="0" collapsed="false"/>
    <row r="1671" customFormat="false" ht="12.75" hidden="false" customHeight="true" outlineLevel="0" collapsed="false"/>
    <row r="1672" customFormat="false" ht="12.75" hidden="false" customHeight="true" outlineLevel="0" collapsed="false"/>
    <row r="1673" customFormat="false" ht="12.75" hidden="false" customHeight="true" outlineLevel="0" collapsed="false"/>
    <row r="1674" customFormat="false" ht="12.75" hidden="false" customHeight="true" outlineLevel="0" collapsed="false"/>
    <row r="1675" customFormat="false" ht="12.75" hidden="false" customHeight="true" outlineLevel="0" collapsed="false"/>
    <row r="1676" customFormat="false" ht="12.75" hidden="false" customHeight="true" outlineLevel="0" collapsed="false"/>
    <row r="1677" customFormat="false" ht="12.75" hidden="false" customHeight="true" outlineLevel="0" collapsed="false"/>
    <row r="1678" customFormat="false" ht="12.75" hidden="false" customHeight="true" outlineLevel="0" collapsed="false"/>
    <row r="1679" customFormat="false" ht="12.75" hidden="false" customHeight="true" outlineLevel="0" collapsed="false"/>
    <row r="1680" customFormat="false" ht="12.75" hidden="false" customHeight="true" outlineLevel="0" collapsed="false"/>
    <row r="1681" customFormat="false" ht="12.75" hidden="false" customHeight="true" outlineLevel="0" collapsed="false"/>
    <row r="1682" customFormat="false" ht="12.75" hidden="false" customHeight="true" outlineLevel="0" collapsed="false"/>
    <row r="1683" customFormat="false" ht="12.75" hidden="false" customHeight="true" outlineLevel="0" collapsed="false"/>
    <row r="1684" customFormat="false" ht="12.75" hidden="false" customHeight="true" outlineLevel="0" collapsed="false"/>
    <row r="1685" customFormat="false" ht="12.75" hidden="false" customHeight="true" outlineLevel="0" collapsed="false"/>
    <row r="1686" customFormat="false" ht="12.75" hidden="false" customHeight="true" outlineLevel="0" collapsed="false"/>
    <row r="1687" customFormat="false" ht="12.75" hidden="false" customHeight="true" outlineLevel="0" collapsed="false"/>
    <row r="1688" customFormat="false" ht="12.75" hidden="false" customHeight="true" outlineLevel="0" collapsed="false"/>
    <row r="1689" customFormat="false" ht="12.75" hidden="false" customHeight="true" outlineLevel="0" collapsed="false"/>
    <row r="1690" customFormat="false" ht="12.75" hidden="false" customHeight="true" outlineLevel="0" collapsed="false"/>
    <row r="1691" customFormat="false" ht="12.75" hidden="false" customHeight="true" outlineLevel="0" collapsed="false"/>
    <row r="1692" customFormat="false" ht="12.75" hidden="false" customHeight="true" outlineLevel="0" collapsed="false"/>
    <row r="1693" customFormat="false" ht="12.75" hidden="false" customHeight="true" outlineLevel="0" collapsed="false"/>
    <row r="1694" customFormat="false" ht="12.75" hidden="false" customHeight="true" outlineLevel="0" collapsed="false"/>
    <row r="1695" customFormat="false" ht="12.75" hidden="false" customHeight="true" outlineLevel="0" collapsed="false"/>
    <row r="1696" customFormat="false" ht="12.75" hidden="false" customHeight="true" outlineLevel="0" collapsed="false"/>
    <row r="1697" customFormat="false" ht="12.75" hidden="false" customHeight="true" outlineLevel="0" collapsed="false"/>
    <row r="1698" customFormat="false" ht="12.75" hidden="false" customHeight="true" outlineLevel="0" collapsed="false"/>
    <row r="1699" customFormat="false" ht="12.75" hidden="false" customHeight="true" outlineLevel="0" collapsed="false"/>
    <row r="1700" customFormat="false" ht="12.75" hidden="false" customHeight="true" outlineLevel="0" collapsed="false"/>
    <row r="1701" customFormat="false" ht="12.75" hidden="false" customHeight="true" outlineLevel="0" collapsed="false"/>
    <row r="1702" customFormat="false" ht="12.75" hidden="false" customHeight="true" outlineLevel="0" collapsed="false"/>
    <row r="1703" customFormat="false" ht="12.75" hidden="false" customHeight="true" outlineLevel="0" collapsed="false"/>
    <row r="1704" customFormat="false" ht="12.75" hidden="false" customHeight="true" outlineLevel="0" collapsed="false"/>
    <row r="1705" customFormat="false" ht="12.75" hidden="false" customHeight="true" outlineLevel="0" collapsed="false"/>
    <row r="1706" customFormat="false" ht="12.75" hidden="false" customHeight="true" outlineLevel="0" collapsed="false"/>
    <row r="1707" customFormat="false" ht="12.75" hidden="false" customHeight="true" outlineLevel="0" collapsed="false"/>
    <row r="1708" customFormat="false" ht="12.75" hidden="false" customHeight="true" outlineLevel="0" collapsed="false"/>
    <row r="1709" customFormat="false" ht="12.75" hidden="false" customHeight="true" outlineLevel="0" collapsed="false"/>
    <row r="1710" customFormat="false" ht="12.75" hidden="false" customHeight="true" outlineLevel="0" collapsed="false"/>
    <row r="1711" customFormat="false" ht="12.75" hidden="false" customHeight="true" outlineLevel="0" collapsed="false"/>
    <row r="1712" customFormat="false" ht="12.75" hidden="false" customHeight="true" outlineLevel="0" collapsed="false"/>
    <row r="1713" customFormat="false" ht="12.75" hidden="false" customHeight="true" outlineLevel="0" collapsed="false"/>
    <row r="1714" customFormat="false" ht="12.75" hidden="false" customHeight="true" outlineLevel="0" collapsed="false"/>
    <row r="1715" customFormat="false" ht="12.75" hidden="false" customHeight="true" outlineLevel="0" collapsed="false"/>
    <row r="1716" customFormat="false" ht="12.75" hidden="false" customHeight="true" outlineLevel="0" collapsed="false"/>
    <row r="1717" customFormat="false" ht="12.75" hidden="false" customHeight="true" outlineLevel="0" collapsed="false"/>
    <row r="1718" customFormat="false" ht="12.75" hidden="false" customHeight="true" outlineLevel="0" collapsed="false"/>
    <row r="1719" customFormat="false" ht="12.75" hidden="false" customHeight="true" outlineLevel="0" collapsed="false"/>
    <row r="1720" customFormat="false" ht="12.75" hidden="false" customHeight="true" outlineLevel="0" collapsed="false"/>
    <row r="1721" customFormat="false" ht="12.75" hidden="false" customHeight="true" outlineLevel="0" collapsed="false"/>
    <row r="1722" customFormat="false" ht="12.75" hidden="false" customHeight="true" outlineLevel="0" collapsed="false"/>
    <row r="1723" customFormat="false" ht="12.75" hidden="false" customHeight="true" outlineLevel="0" collapsed="false"/>
    <row r="1724" customFormat="false" ht="12.75" hidden="false" customHeight="true" outlineLevel="0" collapsed="false"/>
    <row r="1725" customFormat="false" ht="12.75" hidden="false" customHeight="true" outlineLevel="0" collapsed="false"/>
    <row r="1726" customFormat="false" ht="12.75" hidden="false" customHeight="true" outlineLevel="0" collapsed="false"/>
    <row r="1727" customFormat="false" ht="12.75" hidden="false" customHeight="true" outlineLevel="0" collapsed="false"/>
    <row r="1728" customFormat="false" ht="12.75" hidden="false" customHeight="true" outlineLevel="0" collapsed="false"/>
    <row r="1729" customFormat="false" ht="12.75" hidden="false" customHeight="true" outlineLevel="0" collapsed="false"/>
    <row r="1730" customFormat="false" ht="12.75" hidden="false" customHeight="true" outlineLevel="0" collapsed="false"/>
    <row r="1731" customFormat="false" ht="12.75" hidden="false" customHeight="true" outlineLevel="0" collapsed="false"/>
    <row r="1732" customFormat="false" ht="12.75" hidden="false" customHeight="true" outlineLevel="0" collapsed="false"/>
    <row r="1733" customFormat="false" ht="12.75" hidden="false" customHeight="true" outlineLevel="0" collapsed="false"/>
    <row r="1734" customFormat="false" ht="12.75" hidden="false" customHeight="true" outlineLevel="0" collapsed="false"/>
    <row r="1735" customFormat="false" ht="12.75" hidden="false" customHeight="true" outlineLevel="0" collapsed="false"/>
    <row r="1736" customFormat="false" ht="12.75" hidden="false" customHeight="true" outlineLevel="0" collapsed="false"/>
    <row r="1737" customFormat="false" ht="12.75" hidden="false" customHeight="true" outlineLevel="0" collapsed="false"/>
    <row r="1738" customFormat="false" ht="12.75" hidden="false" customHeight="true" outlineLevel="0" collapsed="false"/>
    <row r="1739" customFormat="false" ht="12.75" hidden="false" customHeight="true" outlineLevel="0" collapsed="false"/>
    <row r="1740" customFormat="false" ht="12.75" hidden="false" customHeight="true" outlineLevel="0" collapsed="false"/>
    <row r="1741" customFormat="false" ht="12.75" hidden="false" customHeight="true" outlineLevel="0" collapsed="false"/>
    <row r="1742" customFormat="false" ht="12.75" hidden="false" customHeight="true" outlineLevel="0" collapsed="false"/>
    <row r="1743" customFormat="false" ht="12.75" hidden="false" customHeight="true" outlineLevel="0" collapsed="false"/>
    <row r="1744" customFormat="false" ht="12.75" hidden="false" customHeight="true" outlineLevel="0" collapsed="false"/>
    <row r="1745" customFormat="false" ht="12.75" hidden="false" customHeight="true" outlineLevel="0" collapsed="false"/>
    <row r="1746" customFormat="false" ht="12.75" hidden="false" customHeight="true" outlineLevel="0" collapsed="false"/>
    <row r="1747" customFormat="false" ht="12.75" hidden="false" customHeight="true" outlineLevel="0" collapsed="false"/>
    <row r="1748" customFormat="false" ht="12.75" hidden="false" customHeight="true" outlineLevel="0" collapsed="false"/>
    <row r="1749" customFormat="false" ht="12.75" hidden="false" customHeight="true" outlineLevel="0" collapsed="false"/>
    <row r="1750" customFormat="false" ht="12.75" hidden="false" customHeight="true" outlineLevel="0" collapsed="false"/>
    <row r="1751" customFormat="false" ht="12.75" hidden="false" customHeight="true" outlineLevel="0" collapsed="false"/>
    <row r="1752" customFormat="false" ht="12.75" hidden="false" customHeight="true" outlineLevel="0" collapsed="false"/>
    <row r="1753" customFormat="false" ht="12.75" hidden="false" customHeight="true" outlineLevel="0" collapsed="false"/>
    <row r="1754" customFormat="false" ht="12.75" hidden="false" customHeight="true" outlineLevel="0" collapsed="false"/>
    <row r="1755" customFormat="false" ht="12.75" hidden="false" customHeight="true" outlineLevel="0" collapsed="false"/>
    <row r="1756" customFormat="false" ht="12.75" hidden="false" customHeight="true" outlineLevel="0" collapsed="false"/>
    <row r="1757" customFormat="false" ht="12.75" hidden="false" customHeight="true" outlineLevel="0" collapsed="false"/>
    <row r="1758" customFormat="false" ht="12.75" hidden="false" customHeight="true" outlineLevel="0" collapsed="false"/>
    <row r="1759" customFormat="false" ht="12.75" hidden="false" customHeight="true" outlineLevel="0" collapsed="false"/>
    <row r="1760" customFormat="false" ht="12.75" hidden="false" customHeight="true" outlineLevel="0" collapsed="false"/>
    <row r="1761" customFormat="false" ht="12.75" hidden="false" customHeight="true" outlineLevel="0" collapsed="false"/>
    <row r="1762" customFormat="false" ht="12.75" hidden="false" customHeight="true" outlineLevel="0" collapsed="false"/>
    <row r="1763" customFormat="false" ht="12.75" hidden="false" customHeight="true" outlineLevel="0" collapsed="false"/>
    <row r="1764" customFormat="false" ht="12.75" hidden="false" customHeight="true" outlineLevel="0" collapsed="false"/>
    <row r="1765" customFormat="false" ht="12.75" hidden="false" customHeight="true" outlineLevel="0" collapsed="false"/>
    <row r="1766" customFormat="false" ht="12.75" hidden="false" customHeight="true" outlineLevel="0" collapsed="false"/>
    <row r="1767" customFormat="false" ht="12.75" hidden="false" customHeight="true" outlineLevel="0" collapsed="false"/>
    <row r="1768" customFormat="false" ht="12.75" hidden="false" customHeight="true" outlineLevel="0" collapsed="false"/>
    <row r="1769" customFormat="false" ht="12.75" hidden="false" customHeight="true" outlineLevel="0" collapsed="false"/>
    <row r="1770" customFormat="false" ht="12.75" hidden="false" customHeight="true" outlineLevel="0" collapsed="false"/>
    <row r="1771" customFormat="false" ht="12.75" hidden="false" customHeight="true" outlineLevel="0" collapsed="false"/>
    <row r="1772" customFormat="false" ht="12.75" hidden="false" customHeight="true" outlineLevel="0" collapsed="false"/>
    <row r="1773" customFormat="false" ht="12.75" hidden="false" customHeight="true" outlineLevel="0" collapsed="false"/>
    <row r="1774" customFormat="false" ht="12.75" hidden="false" customHeight="true" outlineLevel="0" collapsed="false"/>
    <row r="1775" customFormat="false" ht="12.75" hidden="false" customHeight="true" outlineLevel="0" collapsed="false"/>
    <row r="1776" customFormat="false" ht="12.75" hidden="false" customHeight="true" outlineLevel="0" collapsed="false"/>
    <row r="1777" customFormat="false" ht="12.75" hidden="false" customHeight="true" outlineLevel="0" collapsed="false"/>
    <row r="1778" customFormat="false" ht="12.75" hidden="false" customHeight="true" outlineLevel="0" collapsed="false"/>
    <row r="1779" customFormat="false" ht="12.75" hidden="false" customHeight="true" outlineLevel="0" collapsed="false"/>
    <row r="1780" customFormat="false" ht="12.75" hidden="false" customHeight="true" outlineLevel="0" collapsed="false"/>
    <row r="1781" customFormat="false" ht="12.75" hidden="false" customHeight="true" outlineLevel="0" collapsed="false"/>
    <row r="1782" customFormat="false" ht="12.75" hidden="false" customHeight="true" outlineLevel="0" collapsed="false"/>
    <row r="1783" customFormat="false" ht="12.75" hidden="false" customHeight="true" outlineLevel="0" collapsed="false"/>
    <row r="1784" customFormat="false" ht="12.75" hidden="false" customHeight="true" outlineLevel="0" collapsed="false"/>
    <row r="1785" customFormat="false" ht="12.75" hidden="false" customHeight="true" outlineLevel="0" collapsed="false"/>
    <row r="1786" customFormat="false" ht="12.75" hidden="false" customHeight="true" outlineLevel="0" collapsed="false"/>
    <row r="1787" customFormat="false" ht="12.75" hidden="false" customHeight="true" outlineLevel="0" collapsed="false"/>
    <row r="1788" customFormat="false" ht="12.75" hidden="false" customHeight="true" outlineLevel="0" collapsed="false"/>
    <row r="1789" customFormat="false" ht="12.75" hidden="false" customHeight="true" outlineLevel="0" collapsed="false"/>
    <row r="1790" customFormat="false" ht="12.75" hidden="false" customHeight="true" outlineLevel="0" collapsed="false"/>
    <row r="1791" customFormat="false" ht="12.75" hidden="false" customHeight="true" outlineLevel="0" collapsed="false"/>
    <row r="1792" customFormat="false" ht="12.75" hidden="false" customHeight="true" outlineLevel="0" collapsed="false"/>
    <row r="1793" customFormat="false" ht="12.75" hidden="false" customHeight="true" outlineLevel="0" collapsed="false"/>
    <row r="1794" customFormat="false" ht="12.75" hidden="false" customHeight="true" outlineLevel="0" collapsed="false"/>
    <row r="1795" customFormat="false" ht="12.75" hidden="false" customHeight="true" outlineLevel="0" collapsed="false"/>
    <row r="1796" customFormat="false" ht="12.75" hidden="false" customHeight="true" outlineLevel="0" collapsed="false"/>
    <row r="1797" customFormat="false" ht="12.75" hidden="false" customHeight="true" outlineLevel="0" collapsed="false"/>
    <row r="1798" customFormat="false" ht="12.75" hidden="false" customHeight="true" outlineLevel="0" collapsed="false"/>
    <row r="1799" customFormat="false" ht="12.75" hidden="false" customHeight="true" outlineLevel="0" collapsed="false"/>
    <row r="1800" customFormat="false" ht="12.75" hidden="false" customHeight="true" outlineLevel="0" collapsed="false"/>
    <row r="1801" customFormat="false" ht="12.75" hidden="false" customHeight="true" outlineLevel="0" collapsed="false"/>
    <row r="1802" customFormat="false" ht="12.75" hidden="false" customHeight="true" outlineLevel="0" collapsed="false"/>
    <row r="1803" customFormat="false" ht="12.75" hidden="false" customHeight="true" outlineLevel="0" collapsed="false"/>
    <row r="1804" customFormat="false" ht="12.75" hidden="false" customHeight="true" outlineLevel="0" collapsed="false"/>
    <row r="1805" customFormat="false" ht="12.75" hidden="false" customHeight="true" outlineLevel="0" collapsed="false"/>
    <row r="1806" customFormat="false" ht="12.75" hidden="false" customHeight="true" outlineLevel="0" collapsed="false"/>
    <row r="1807" customFormat="false" ht="12.75" hidden="false" customHeight="true" outlineLevel="0" collapsed="false"/>
    <row r="1808" customFormat="false" ht="12.75" hidden="false" customHeight="true" outlineLevel="0" collapsed="false"/>
    <row r="1809" customFormat="false" ht="12.75" hidden="false" customHeight="true" outlineLevel="0" collapsed="false"/>
    <row r="1810" customFormat="false" ht="12.75" hidden="false" customHeight="true" outlineLevel="0" collapsed="false"/>
    <row r="1811" customFormat="false" ht="12.75" hidden="false" customHeight="true" outlineLevel="0" collapsed="false"/>
    <row r="1812" customFormat="false" ht="12.75" hidden="false" customHeight="true" outlineLevel="0" collapsed="false"/>
    <row r="1813" customFormat="false" ht="12.75" hidden="false" customHeight="true" outlineLevel="0" collapsed="false"/>
    <row r="1814" customFormat="false" ht="12.75" hidden="false" customHeight="true" outlineLevel="0" collapsed="false"/>
    <row r="1815" customFormat="false" ht="12.75" hidden="false" customHeight="true" outlineLevel="0" collapsed="false"/>
    <row r="1816" customFormat="false" ht="12.75" hidden="false" customHeight="true" outlineLevel="0" collapsed="false"/>
    <row r="1817" customFormat="false" ht="12.75" hidden="false" customHeight="true" outlineLevel="0" collapsed="false"/>
    <row r="1818" customFormat="false" ht="12.75" hidden="false" customHeight="true" outlineLevel="0" collapsed="false"/>
    <row r="1819" customFormat="false" ht="12.75" hidden="false" customHeight="true" outlineLevel="0" collapsed="false"/>
    <row r="1820" customFormat="false" ht="12.75" hidden="false" customHeight="true" outlineLevel="0" collapsed="false"/>
    <row r="1821" customFormat="false" ht="12.75" hidden="false" customHeight="true" outlineLevel="0" collapsed="false"/>
    <row r="1822" customFormat="false" ht="12.75" hidden="false" customHeight="true" outlineLevel="0" collapsed="false"/>
    <row r="1823" customFormat="false" ht="12.75" hidden="false" customHeight="true" outlineLevel="0" collapsed="false"/>
    <row r="1824" customFormat="false" ht="12.75" hidden="false" customHeight="true" outlineLevel="0" collapsed="false"/>
    <row r="1825" customFormat="false" ht="12.75" hidden="false" customHeight="true" outlineLevel="0" collapsed="false"/>
    <row r="1826" customFormat="false" ht="12.75" hidden="false" customHeight="true" outlineLevel="0" collapsed="false"/>
    <row r="1827" customFormat="false" ht="12.75" hidden="false" customHeight="true" outlineLevel="0" collapsed="false"/>
    <row r="1828" customFormat="false" ht="12.75" hidden="false" customHeight="true" outlineLevel="0" collapsed="false"/>
    <row r="1829" customFormat="false" ht="12.75" hidden="false" customHeight="true" outlineLevel="0" collapsed="false"/>
    <row r="1830" customFormat="false" ht="12.75" hidden="false" customHeight="true" outlineLevel="0" collapsed="false"/>
    <row r="1831" customFormat="false" ht="12.75" hidden="false" customHeight="true" outlineLevel="0" collapsed="false"/>
    <row r="1832" customFormat="false" ht="12.75" hidden="false" customHeight="true" outlineLevel="0" collapsed="false"/>
    <row r="1833" customFormat="false" ht="12.75" hidden="false" customHeight="true" outlineLevel="0" collapsed="false"/>
    <row r="1834" customFormat="false" ht="12.75" hidden="false" customHeight="true" outlineLevel="0" collapsed="false"/>
    <row r="1835" customFormat="false" ht="12.75" hidden="false" customHeight="true" outlineLevel="0" collapsed="false"/>
    <row r="1836" customFormat="false" ht="12.75" hidden="false" customHeight="true" outlineLevel="0" collapsed="false"/>
    <row r="1837" customFormat="false" ht="12.75" hidden="false" customHeight="true" outlineLevel="0" collapsed="false"/>
    <row r="1838" customFormat="false" ht="12.75" hidden="false" customHeight="true" outlineLevel="0" collapsed="false"/>
    <row r="1839" customFormat="false" ht="12.75" hidden="false" customHeight="true" outlineLevel="0" collapsed="false"/>
    <row r="1840" customFormat="false" ht="12.75" hidden="false" customHeight="true" outlineLevel="0" collapsed="false"/>
    <row r="1841" customFormat="false" ht="12.75" hidden="false" customHeight="true" outlineLevel="0" collapsed="false"/>
    <row r="1842" customFormat="false" ht="12.75" hidden="false" customHeight="true" outlineLevel="0" collapsed="false"/>
    <row r="1843" customFormat="false" ht="12.75" hidden="false" customHeight="true" outlineLevel="0" collapsed="false"/>
    <row r="1844" customFormat="false" ht="12.75" hidden="false" customHeight="true" outlineLevel="0" collapsed="false"/>
    <row r="1845" customFormat="false" ht="12.75" hidden="false" customHeight="true" outlineLevel="0" collapsed="false"/>
    <row r="1846" customFormat="false" ht="12.75" hidden="false" customHeight="true" outlineLevel="0" collapsed="false"/>
    <row r="1847" customFormat="false" ht="12.75" hidden="false" customHeight="true" outlineLevel="0" collapsed="false"/>
    <row r="1848" customFormat="false" ht="12.75" hidden="false" customHeight="true" outlineLevel="0" collapsed="false"/>
    <row r="1849" customFormat="false" ht="12.75" hidden="false" customHeight="true" outlineLevel="0" collapsed="false"/>
    <row r="1850" customFormat="false" ht="12.75" hidden="false" customHeight="true" outlineLevel="0" collapsed="false"/>
    <row r="1851" customFormat="false" ht="12.75" hidden="false" customHeight="true" outlineLevel="0" collapsed="false"/>
    <row r="1852" customFormat="false" ht="12.75" hidden="false" customHeight="true" outlineLevel="0" collapsed="false"/>
    <row r="1853" customFormat="false" ht="12.75" hidden="false" customHeight="true" outlineLevel="0" collapsed="false"/>
    <row r="1854" customFormat="false" ht="12.75" hidden="false" customHeight="true" outlineLevel="0" collapsed="false"/>
    <row r="1855" customFormat="false" ht="12.75" hidden="false" customHeight="true" outlineLevel="0" collapsed="false"/>
    <row r="1856" customFormat="false" ht="12.75" hidden="false" customHeight="true" outlineLevel="0" collapsed="false"/>
    <row r="1857" customFormat="false" ht="12.75" hidden="false" customHeight="true" outlineLevel="0" collapsed="false"/>
    <row r="1858" customFormat="false" ht="12.75" hidden="false" customHeight="true" outlineLevel="0" collapsed="false"/>
    <row r="1859" customFormat="false" ht="12.75" hidden="false" customHeight="true" outlineLevel="0" collapsed="false"/>
    <row r="1860" customFormat="false" ht="12.75" hidden="false" customHeight="true" outlineLevel="0" collapsed="false"/>
    <row r="1861" customFormat="false" ht="12.75" hidden="false" customHeight="true" outlineLevel="0" collapsed="false"/>
    <row r="1862" customFormat="false" ht="12.75" hidden="false" customHeight="true" outlineLevel="0" collapsed="false"/>
    <row r="1863" customFormat="false" ht="12.75" hidden="false" customHeight="true" outlineLevel="0" collapsed="false"/>
    <row r="1864" customFormat="false" ht="12.75" hidden="false" customHeight="true" outlineLevel="0" collapsed="false"/>
    <row r="1865" customFormat="false" ht="12.75" hidden="false" customHeight="true" outlineLevel="0" collapsed="false"/>
    <row r="1866" customFormat="false" ht="12.75" hidden="false" customHeight="true" outlineLevel="0" collapsed="false"/>
    <row r="1867" customFormat="false" ht="12.75" hidden="false" customHeight="true" outlineLevel="0" collapsed="false"/>
    <row r="1868" customFormat="false" ht="12.75" hidden="false" customHeight="true" outlineLevel="0" collapsed="false"/>
    <row r="1869" customFormat="false" ht="12.75" hidden="false" customHeight="true" outlineLevel="0" collapsed="false"/>
    <row r="1870" customFormat="false" ht="12.75" hidden="false" customHeight="true" outlineLevel="0" collapsed="false"/>
    <row r="1871" customFormat="false" ht="12.75" hidden="false" customHeight="true" outlineLevel="0" collapsed="false"/>
    <row r="1872" customFormat="false" ht="12.75" hidden="false" customHeight="true" outlineLevel="0" collapsed="false"/>
    <row r="1873" customFormat="false" ht="12.75" hidden="false" customHeight="true" outlineLevel="0" collapsed="false"/>
    <row r="1874" customFormat="false" ht="12.75" hidden="false" customHeight="true" outlineLevel="0" collapsed="false"/>
    <row r="1875" customFormat="false" ht="12.75" hidden="false" customHeight="true" outlineLevel="0" collapsed="false"/>
    <row r="1876" customFormat="false" ht="12.75" hidden="false" customHeight="true" outlineLevel="0" collapsed="false"/>
    <row r="1877" customFormat="false" ht="12.75" hidden="false" customHeight="true" outlineLevel="0" collapsed="false"/>
    <row r="1878" customFormat="false" ht="12.75" hidden="false" customHeight="true" outlineLevel="0" collapsed="false"/>
    <row r="1879" customFormat="false" ht="12.75" hidden="false" customHeight="true" outlineLevel="0" collapsed="false"/>
    <row r="1880" customFormat="false" ht="12.75" hidden="false" customHeight="true" outlineLevel="0" collapsed="false"/>
    <row r="1881" customFormat="false" ht="12.75" hidden="false" customHeight="true" outlineLevel="0" collapsed="false"/>
    <row r="1882" customFormat="false" ht="12.75" hidden="false" customHeight="true" outlineLevel="0" collapsed="false"/>
    <row r="1883" customFormat="false" ht="12.75" hidden="false" customHeight="true" outlineLevel="0" collapsed="false"/>
    <row r="1884" customFormat="false" ht="12.75" hidden="false" customHeight="true" outlineLevel="0" collapsed="false"/>
    <row r="1885" customFormat="false" ht="12.75" hidden="false" customHeight="true" outlineLevel="0" collapsed="false"/>
    <row r="1886" customFormat="false" ht="12.75" hidden="false" customHeight="true" outlineLevel="0" collapsed="false"/>
    <row r="1887" customFormat="false" ht="12.75" hidden="false" customHeight="true" outlineLevel="0" collapsed="false"/>
    <row r="1888" customFormat="false" ht="12.75" hidden="false" customHeight="true" outlineLevel="0" collapsed="false"/>
    <row r="1889" customFormat="false" ht="12.75" hidden="false" customHeight="true" outlineLevel="0" collapsed="false"/>
    <row r="1890" customFormat="false" ht="12.75" hidden="false" customHeight="true" outlineLevel="0" collapsed="false"/>
    <row r="1891" customFormat="false" ht="12.75" hidden="false" customHeight="true" outlineLevel="0" collapsed="false"/>
    <row r="1892" customFormat="false" ht="12.75" hidden="false" customHeight="true" outlineLevel="0" collapsed="false"/>
    <row r="1893" customFormat="false" ht="12.75" hidden="false" customHeight="true" outlineLevel="0" collapsed="false"/>
    <row r="1894" customFormat="false" ht="12.75" hidden="false" customHeight="true" outlineLevel="0" collapsed="false"/>
    <row r="1895" customFormat="false" ht="12.75" hidden="false" customHeight="true" outlineLevel="0" collapsed="false"/>
    <row r="1896" customFormat="false" ht="12.75" hidden="false" customHeight="true" outlineLevel="0" collapsed="false"/>
    <row r="1897" customFormat="false" ht="12.75" hidden="false" customHeight="true" outlineLevel="0" collapsed="false"/>
    <row r="1898" customFormat="false" ht="12.75" hidden="false" customHeight="true" outlineLevel="0" collapsed="false"/>
    <row r="1899" customFormat="false" ht="12.75" hidden="false" customHeight="true" outlineLevel="0" collapsed="false"/>
    <row r="1900" customFormat="false" ht="12.75" hidden="false" customHeight="true" outlineLevel="0" collapsed="false"/>
    <row r="1901" customFormat="false" ht="12.75" hidden="false" customHeight="true" outlineLevel="0" collapsed="false"/>
    <row r="1902" customFormat="false" ht="12.75" hidden="false" customHeight="true" outlineLevel="0" collapsed="false"/>
    <row r="1903" customFormat="false" ht="12.75" hidden="false" customHeight="true" outlineLevel="0" collapsed="false"/>
    <row r="1904" customFormat="false" ht="12.75" hidden="false" customHeight="true" outlineLevel="0" collapsed="false"/>
    <row r="1905" customFormat="false" ht="12.75" hidden="false" customHeight="true" outlineLevel="0" collapsed="false"/>
    <row r="1906" customFormat="false" ht="12.75" hidden="false" customHeight="true" outlineLevel="0" collapsed="false"/>
    <row r="1907" customFormat="false" ht="12.75" hidden="false" customHeight="true" outlineLevel="0" collapsed="false"/>
    <row r="1908" customFormat="false" ht="12.75" hidden="false" customHeight="true" outlineLevel="0" collapsed="false"/>
    <row r="1909" customFormat="false" ht="12.75" hidden="false" customHeight="true" outlineLevel="0" collapsed="false"/>
    <row r="1910" customFormat="false" ht="12.75" hidden="false" customHeight="true" outlineLevel="0" collapsed="false"/>
    <row r="1911" customFormat="false" ht="12.75" hidden="false" customHeight="true" outlineLevel="0" collapsed="false"/>
    <row r="1912" customFormat="false" ht="12.75" hidden="false" customHeight="true" outlineLevel="0" collapsed="false"/>
    <row r="1913" customFormat="false" ht="12.75" hidden="false" customHeight="true" outlineLevel="0" collapsed="false"/>
    <row r="1914" customFormat="false" ht="12.75" hidden="false" customHeight="true" outlineLevel="0" collapsed="false"/>
    <row r="1915" customFormat="false" ht="12.75" hidden="false" customHeight="true" outlineLevel="0" collapsed="false"/>
    <row r="1916" customFormat="false" ht="12.75" hidden="false" customHeight="true" outlineLevel="0" collapsed="false"/>
    <row r="1917" customFormat="false" ht="12.75" hidden="false" customHeight="true" outlineLevel="0" collapsed="false"/>
    <row r="1918" customFormat="false" ht="12.75" hidden="false" customHeight="true" outlineLevel="0" collapsed="false"/>
    <row r="1919" customFormat="false" ht="12.75" hidden="false" customHeight="true" outlineLevel="0" collapsed="false"/>
    <row r="1920" customFormat="false" ht="12.75" hidden="false" customHeight="true" outlineLevel="0" collapsed="false"/>
    <row r="1921" customFormat="false" ht="12.75" hidden="false" customHeight="true" outlineLevel="0" collapsed="false"/>
    <row r="1922" customFormat="false" ht="12.75" hidden="false" customHeight="true" outlineLevel="0" collapsed="false"/>
    <row r="1923" customFormat="false" ht="12.75" hidden="false" customHeight="true" outlineLevel="0" collapsed="false"/>
    <row r="1924" customFormat="false" ht="12.75" hidden="false" customHeight="true" outlineLevel="0" collapsed="false"/>
    <row r="1925" customFormat="false" ht="12.75" hidden="false" customHeight="true" outlineLevel="0" collapsed="false"/>
    <row r="1926" customFormat="false" ht="12.75" hidden="false" customHeight="true" outlineLevel="0" collapsed="false"/>
    <row r="1927" customFormat="false" ht="12.75" hidden="false" customHeight="true" outlineLevel="0" collapsed="false"/>
    <row r="1928" customFormat="false" ht="12.75" hidden="false" customHeight="true" outlineLevel="0" collapsed="false"/>
    <row r="1929" customFormat="false" ht="12.75" hidden="false" customHeight="true" outlineLevel="0" collapsed="false"/>
    <row r="1930" customFormat="false" ht="12.75" hidden="false" customHeight="true" outlineLevel="0" collapsed="false"/>
    <row r="1931" customFormat="false" ht="12.75" hidden="false" customHeight="true" outlineLevel="0" collapsed="false"/>
    <row r="1932" customFormat="false" ht="12.75" hidden="false" customHeight="true" outlineLevel="0" collapsed="false"/>
    <row r="1933" customFormat="false" ht="12.75" hidden="false" customHeight="true" outlineLevel="0" collapsed="false"/>
    <row r="1934" customFormat="false" ht="12.75" hidden="false" customHeight="true" outlineLevel="0" collapsed="false"/>
    <row r="1935" customFormat="false" ht="12.75" hidden="false" customHeight="true" outlineLevel="0" collapsed="false"/>
    <row r="1936" customFormat="false" ht="12.75" hidden="false" customHeight="true" outlineLevel="0" collapsed="false"/>
    <row r="1937" customFormat="false" ht="12.75" hidden="false" customHeight="true" outlineLevel="0" collapsed="false"/>
    <row r="1938" customFormat="false" ht="12.75" hidden="false" customHeight="true" outlineLevel="0" collapsed="false"/>
    <row r="1939" customFormat="false" ht="12.75" hidden="false" customHeight="true" outlineLevel="0" collapsed="false"/>
    <row r="1940" customFormat="false" ht="12.75" hidden="false" customHeight="true" outlineLevel="0" collapsed="false"/>
    <row r="1941" customFormat="false" ht="12.75" hidden="false" customHeight="true" outlineLevel="0" collapsed="false"/>
    <row r="1942" customFormat="false" ht="12.75" hidden="false" customHeight="true" outlineLevel="0" collapsed="false"/>
    <row r="1943" customFormat="false" ht="12.75" hidden="false" customHeight="true" outlineLevel="0" collapsed="false"/>
    <row r="1944" customFormat="false" ht="12.75" hidden="false" customHeight="true" outlineLevel="0" collapsed="false"/>
    <row r="1945" customFormat="false" ht="12.75" hidden="false" customHeight="true" outlineLevel="0" collapsed="false"/>
    <row r="1946" customFormat="false" ht="12.75" hidden="false" customHeight="true" outlineLevel="0" collapsed="false"/>
    <row r="1947" customFormat="false" ht="12.75" hidden="false" customHeight="true" outlineLevel="0" collapsed="false"/>
    <row r="1948" customFormat="false" ht="12.75" hidden="false" customHeight="true" outlineLevel="0" collapsed="false"/>
    <row r="1949" customFormat="false" ht="12.75" hidden="false" customHeight="true" outlineLevel="0" collapsed="false"/>
    <row r="1950" customFormat="false" ht="12.75" hidden="false" customHeight="true" outlineLevel="0" collapsed="false"/>
    <row r="1951" customFormat="false" ht="12.75" hidden="false" customHeight="true" outlineLevel="0" collapsed="false"/>
    <row r="1952" customFormat="false" ht="12.75" hidden="false" customHeight="true" outlineLevel="0" collapsed="false"/>
    <row r="1953" customFormat="false" ht="12.75" hidden="false" customHeight="true" outlineLevel="0" collapsed="false"/>
    <row r="1954" customFormat="false" ht="12.75" hidden="false" customHeight="true" outlineLevel="0" collapsed="false"/>
    <row r="1955" customFormat="false" ht="12.75" hidden="false" customHeight="true" outlineLevel="0" collapsed="false"/>
    <row r="1956" customFormat="false" ht="12.75" hidden="false" customHeight="true" outlineLevel="0" collapsed="false"/>
    <row r="1957" customFormat="false" ht="12.75" hidden="false" customHeight="true" outlineLevel="0" collapsed="false"/>
    <row r="1958" customFormat="false" ht="12.75" hidden="false" customHeight="true" outlineLevel="0" collapsed="false"/>
    <row r="1959" customFormat="false" ht="12.75" hidden="false" customHeight="true" outlineLevel="0" collapsed="false"/>
    <row r="1960" customFormat="false" ht="12.75" hidden="false" customHeight="true" outlineLevel="0" collapsed="false"/>
    <row r="1961" customFormat="false" ht="12.75" hidden="false" customHeight="true" outlineLevel="0" collapsed="false"/>
    <row r="1962" customFormat="false" ht="12.75" hidden="false" customHeight="true" outlineLevel="0" collapsed="false"/>
    <row r="1963" customFormat="false" ht="12.75" hidden="false" customHeight="true" outlineLevel="0" collapsed="false"/>
    <row r="1964" customFormat="false" ht="12.75" hidden="false" customHeight="true" outlineLevel="0" collapsed="false"/>
    <row r="1965" customFormat="false" ht="12.75" hidden="false" customHeight="true" outlineLevel="0" collapsed="false"/>
    <row r="1966" customFormat="false" ht="12.75" hidden="false" customHeight="true" outlineLevel="0" collapsed="false"/>
    <row r="1967" customFormat="false" ht="12.75" hidden="false" customHeight="true" outlineLevel="0" collapsed="false"/>
    <row r="1968" customFormat="false" ht="12.75" hidden="false" customHeight="true" outlineLevel="0" collapsed="false"/>
    <row r="1969" customFormat="false" ht="12.75" hidden="false" customHeight="true" outlineLevel="0" collapsed="false"/>
    <row r="1970" customFormat="false" ht="12.75" hidden="false" customHeight="true" outlineLevel="0" collapsed="false"/>
    <row r="1971" customFormat="false" ht="12.75" hidden="false" customHeight="true" outlineLevel="0" collapsed="false"/>
    <row r="1972" customFormat="false" ht="12.75" hidden="false" customHeight="true" outlineLevel="0" collapsed="false"/>
    <row r="1973" customFormat="false" ht="12.75" hidden="false" customHeight="true" outlineLevel="0" collapsed="false"/>
    <row r="1974" customFormat="false" ht="12.75" hidden="false" customHeight="true" outlineLevel="0" collapsed="false"/>
    <row r="1975" customFormat="false" ht="12.75" hidden="false" customHeight="true" outlineLevel="0" collapsed="false"/>
    <row r="1976" customFormat="false" ht="12.75" hidden="false" customHeight="true" outlineLevel="0" collapsed="false"/>
    <row r="1977" customFormat="false" ht="12.75" hidden="false" customHeight="true" outlineLevel="0" collapsed="false"/>
    <row r="1978" customFormat="false" ht="12.75" hidden="false" customHeight="true" outlineLevel="0" collapsed="false"/>
    <row r="1979" customFormat="false" ht="12.75" hidden="false" customHeight="true" outlineLevel="0" collapsed="false"/>
    <row r="1980" customFormat="false" ht="12.75" hidden="false" customHeight="true" outlineLevel="0" collapsed="false"/>
    <row r="1981" customFormat="false" ht="12.75" hidden="false" customHeight="true" outlineLevel="0" collapsed="false"/>
    <row r="1982" customFormat="false" ht="12.75" hidden="false" customHeight="true" outlineLevel="0" collapsed="false"/>
    <row r="1983" customFormat="false" ht="12.75" hidden="false" customHeight="true" outlineLevel="0" collapsed="false"/>
    <row r="1984" customFormat="false" ht="12.75" hidden="false" customHeight="true" outlineLevel="0" collapsed="false"/>
    <row r="1985" customFormat="false" ht="12.75" hidden="false" customHeight="true" outlineLevel="0" collapsed="false"/>
    <row r="1986" customFormat="false" ht="12.75" hidden="false" customHeight="true" outlineLevel="0" collapsed="false"/>
    <row r="1987" customFormat="false" ht="12.75" hidden="false" customHeight="true" outlineLevel="0" collapsed="false"/>
    <row r="1988" customFormat="false" ht="12.75" hidden="false" customHeight="true" outlineLevel="0" collapsed="false"/>
    <row r="1989" customFormat="false" ht="12.75" hidden="false" customHeight="true" outlineLevel="0" collapsed="false"/>
    <row r="1990" customFormat="false" ht="12.75" hidden="false" customHeight="true" outlineLevel="0" collapsed="false"/>
    <row r="1991" customFormat="false" ht="12.75" hidden="false" customHeight="true" outlineLevel="0" collapsed="false"/>
    <row r="1992" customFormat="false" ht="12.75" hidden="false" customHeight="true" outlineLevel="0" collapsed="false"/>
    <row r="1993" customFormat="false" ht="12.75" hidden="false" customHeight="true" outlineLevel="0" collapsed="false"/>
    <row r="1994" customFormat="false" ht="12.75" hidden="false" customHeight="true" outlineLevel="0" collapsed="false"/>
    <row r="1995" customFormat="false" ht="12.75" hidden="false" customHeight="true" outlineLevel="0" collapsed="false"/>
    <row r="1996" customFormat="false" ht="12.75" hidden="false" customHeight="true" outlineLevel="0" collapsed="false"/>
    <row r="1997" customFormat="false" ht="12.75" hidden="false" customHeight="true" outlineLevel="0" collapsed="false"/>
    <row r="1998" customFormat="false" ht="12.75" hidden="false" customHeight="true" outlineLevel="0" collapsed="false"/>
    <row r="1999" customFormat="false" ht="12.75" hidden="false" customHeight="true" outlineLevel="0" collapsed="false"/>
    <row r="2000" customFormat="false" ht="12.75" hidden="false" customHeight="true" outlineLevel="0" collapsed="false"/>
    <row r="2001" customFormat="false" ht="12.75" hidden="false" customHeight="true" outlineLevel="0" collapsed="false"/>
    <row r="2002" customFormat="false" ht="12.75" hidden="false" customHeight="true" outlineLevel="0" collapsed="false"/>
    <row r="2003" customFormat="false" ht="12.75" hidden="false" customHeight="true" outlineLevel="0" collapsed="false"/>
    <row r="2004" customFormat="false" ht="12.75" hidden="false" customHeight="true" outlineLevel="0" collapsed="false"/>
    <row r="2005" customFormat="false" ht="12.75" hidden="false" customHeight="true" outlineLevel="0" collapsed="false"/>
    <row r="2006" customFormat="false" ht="12.75" hidden="false" customHeight="true" outlineLevel="0" collapsed="false"/>
    <row r="2007" customFormat="false" ht="12.75" hidden="false" customHeight="true" outlineLevel="0" collapsed="false"/>
    <row r="2008" customFormat="false" ht="12.75" hidden="false" customHeight="true" outlineLevel="0" collapsed="false"/>
    <row r="2009" customFormat="false" ht="12.75" hidden="false" customHeight="true" outlineLevel="0" collapsed="false"/>
    <row r="2010" customFormat="false" ht="12.75" hidden="false" customHeight="true" outlineLevel="0" collapsed="false"/>
    <row r="2011" customFormat="false" ht="12.75" hidden="false" customHeight="true" outlineLevel="0" collapsed="false"/>
    <row r="2012" customFormat="false" ht="12.75" hidden="false" customHeight="true" outlineLevel="0" collapsed="false"/>
    <row r="2013" customFormat="false" ht="12.75" hidden="false" customHeight="true" outlineLevel="0" collapsed="false"/>
    <row r="2014" customFormat="false" ht="12.75" hidden="false" customHeight="true" outlineLevel="0" collapsed="false"/>
    <row r="2015" customFormat="false" ht="12.75" hidden="false" customHeight="true" outlineLevel="0" collapsed="false"/>
    <row r="2016" customFormat="false" ht="12.75" hidden="false" customHeight="true" outlineLevel="0" collapsed="false"/>
    <row r="2017" customFormat="false" ht="12.75" hidden="false" customHeight="true" outlineLevel="0" collapsed="false"/>
    <row r="2018" customFormat="false" ht="12.75" hidden="false" customHeight="true" outlineLevel="0" collapsed="false"/>
    <row r="2019" customFormat="false" ht="12.75" hidden="false" customHeight="true" outlineLevel="0" collapsed="false"/>
    <row r="2020" customFormat="false" ht="12.75" hidden="false" customHeight="true" outlineLevel="0" collapsed="false"/>
    <row r="2021" customFormat="false" ht="12.75" hidden="false" customHeight="true" outlineLevel="0" collapsed="false"/>
    <row r="2022" customFormat="false" ht="12.75" hidden="false" customHeight="true" outlineLevel="0" collapsed="false"/>
    <row r="2023" customFormat="false" ht="12.75" hidden="false" customHeight="true" outlineLevel="0" collapsed="false"/>
    <row r="2024" customFormat="false" ht="12.75" hidden="false" customHeight="true" outlineLevel="0" collapsed="false"/>
    <row r="2025" customFormat="false" ht="12.75" hidden="false" customHeight="true" outlineLevel="0" collapsed="false"/>
    <row r="2026" customFormat="false" ht="12.75" hidden="false" customHeight="true" outlineLevel="0" collapsed="false"/>
    <row r="2027" customFormat="false" ht="12.75" hidden="false" customHeight="true" outlineLevel="0" collapsed="false"/>
    <row r="2028" customFormat="false" ht="12.75" hidden="false" customHeight="true" outlineLevel="0" collapsed="false"/>
    <row r="2029" customFormat="false" ht="12.75" hidden="false" customHeight="true" outlineLevel="0" collapsed="false"/>
    <row r="2030" customFormat="false" ht="12.75" hidden="false" customHeight="true" outlineLevel="0" collapsed="false"/>
    <row r="2031" customFormat="false" ht="12.75" hidden="false" customHeight="true" outlineLevel="0" collapsed="false"/>
    <row r="2032" customFormat="false" ht="12.75" hidden="false" customHeight="true" outlineLevel="0" collapsed="false"/>
    <row r="2033" customFormat="false" ht="12.75" hidden="false" customHeight="true" outlineLevel="0" collapsed="false"/>
    <row r="2034" customFormat="false" ht="12.75" hidden="false" customHeight="true" outlineLevel="0" collapsed="false"/>
    <row r="2035" customFormat="false" ht="12.75" hidden="false" customHeight="true" outlineLevel="0" collapsed="false"/>
    <row r="2036" customFormat="false" ht="12.75" hidden="false" customHeight="true" outlineLevel="0" collapsed="false"/>
    <row r="2037" customFormat="false" ht="12.75" hidden="false" customHeight="true" outlineLevel="0" collapsed="false"/>
    <row r="2038" customFormat="false" ht="12.75" hidden="false" customHeight="true" outlineLevel="0" collapsed="false"/>
    <row r="2039" customFormat="false" ht="12.75" hidden="false" customHeight="true" outlineLevel="0" collapsed="false"/>
    <row r="2040" customFormat="false" ht="12.75" hidden="false" customHeight="true" outlineLevel="0" collapsed="false"/>
    <row r="2041" customFormat="false" ht="12.75" hidden="false" customHeight="true" outlineLevel="0" collapsed="false"/>
    <row r="2042" customFormat="false" ht="12.75" hidden="false" customHeight="true" outlineLevel="0" collapsed="false"/>
    <row r="2043" customFormat="false" ht="12.75" hidden="false" customHeight="true" outlineLevel="0" collapsed="false"/>
    <row r="2044" customFormat="false" ht="12.75" hidden="false" customHeight="true" outlineLevel="0" collapsed="false"/>
    <row r="2045" customFormat="false" ht="12.75" hidden="false" customHeight="true" outlineLevel="0" collapsed="false"/>
    <row r="2046" customFormat="false" ht="12.75" hidden="false" customHeight="true" outlineLevel="0" collapsed="false"/>
    <row r="2047" customFormat="false" ht="12.75" hidden="false" customHeight="true" outlineLevel="0" collapsed="false"/>
    <row r="2048" customFormat="false" ht="12.75" hidden="false" customHeight="true" outlineLevel="0" collapsed="false"/>
    <row r="2049" customFormat="false" ht="12.75" hidden="false" customHeight="true" outlineLevel="0" collapsed="false"/>
    <row r="2050" customFormat="false" ht="12.75" hidden="false" customHeight="true" outlineLevel="0" collapsed="false"/>
    <row r="2051" customFormat="false" ht="12.75" hidden="false" customHeight="true" outlineLevel="0" collapsed="false"/>
    <row r="2052" customFormat="false" ht="12.75" hidden="false" customHeight="true" outlineLevel="0" collapsed="false"/>
    <row r="2053" customFormat="false" ht="12.75" hidden="false" customHeight="true" outlineLevel="0" collapsed="false"/>
    <row r="2054" customFormat="false" ht="12.75" hidden="false" customHeight="true" outlineLevel="0" collapsed="false"/>
    <row r="2055" customFormat="false" ht="12.75" hidden="false" customHeight="true" outlineLevel="0" collapsed="false"/>
    <row r="2056" customFormat="false" ht="12.75" hidden="false" customHeight="true" outlineLevel="0" collapsed="false"/>
    <row r="2057" customFormat="false" ht="12.75" hidden="false" customHeight="true" outlineLevel="0" collapsed="false"/>
    <row r="2058" customFormat="false" ht="12.75" hidden="false" customHeight="true" outlineLevel="0" collapsed="false"/>
    <row r="2059" customFormat="false" ht="12.75" hidden="false" customHeight="true" outlineLevel="0" collapsed="false"/>
    <row r="2060" customFormat="false" ht="12.75" hidden="false" customHeight="true" outlineLevel="0" collapsed="false"/>
    <row r="2061" customFormat="false" ht="12.75" hidden="false" customHeight="true" outlineLevel="0" collapsed="false"/>
    <row r="2062" customFormat="false" ht="12.75" hidden="false" customHeight="true" outlineLevel="0" collapsed="false"/>
    <row r="2063" customFormat="false" ht="12.75" hidden="false" customHeight="true" outlineLevel="0" collapsed="false"/>
    <row r="2064" customFormat="false" ht="12.75" hidden="false" customHeight="true" outlineLevel="0" collapsed="false"/>
    <row r="2065" customFormat="false" ht="12.75" hidden="false" customHeight="true" outlineLevel="0" collapsed="false"/>
    <row r="2066" customFormat="false" ht="12.75" hidden="false" customHeight="true" outlineLevel="0" collapsed="false"/>
    <row r="2067" customFormat="false" ht="12.75" hidden="false" customHeight="true" outlineLevel="0" collapsed="false"/>
    <row r="2068" customFormat="false" ht="12.75" hidden="false" customHeight="true" outlineLevel="0" collapsed="false"/>
    <row r="2069" customFormat="false" ht="12.75" hidden="false" customHeight="true" outlineLevel="0" collapsed="false"/>
    <row r="2070" customFormat="false" ht="12.75" hidden="false" customHeight="true" outlineLevel="0" collapsed="false"/>
    <row r="2071" customFormat="false" ht="12.75" hidden="false" customHeight="true" outlineLevel="0" collapsed="false"/>
    <row r="2072" customFormat="false" ht="12.75" hidden="false" customHeight="true" outlineLevel="0" collapsed="false"/>
    <row r="2073" customFormat="false" ht="12.75" hidden="false" customHeight="true" outlineLevel="0" collapsed="false"/>
    <row r="2074" customFormat="false" ht="12.75" hidden="false" customHeight="true" outlineLevel="0" collapsed="false"/>
    <row r="2075" customFormat="false" ht="12.75" hidden="false" customHeight="true" outlineLevel="0" collapsed="false"/>
    <row r="2076" customFormat="false" ht="12.75" hidden="false" customHeight="true" outlineLevel="0" collapsed="false"/>
    <row r="2077" customFormat="false" ht="12.75" hidden="false" customHeight="true" outlineLevel="0" collapsed="false"/>
    <row r="2078" customFormat="false" ht="12.75" hidden="false" customHeight="true" outlineLevel="0" collapsed="false"/>
    <row r="2079" customFormat="false" ht="12.75" hidden="false" customHeight="true" outlineLevel="0" collapsed="false"/>
    <row r="2080" customFormat="false" ht="12.75" hidden="false" customHeight="true" outlineLevel="0" collapsed="false"/>
    <row r="2081" customFormat="false" ht="12.75" hidden="false" customHeight="true" outlineLevel="0" collapsed="false"/>
    <row r="2082" customFormat="false" ht="12.75" hidden="false" customHeight="true" outlineLevel="0" collapsed="false"/>
    <row r="2083" customFormat="false" ht="12.75" hidden="false" customHeight="true" outlineLevel="0" collapsed="false"/>
    <row r="2084" customFormat="false" ht="12.75" hidden="false" customHeight="true" outlineLevel="0" collapsed="false"/>
    <row r="2085" customFormat="false" ht="12.75" hidden="false" customHeight="true" outlineLevel="0" collapsed="false"/>
    <row r="2086" customFormat="false" ht="12.75" hidden="false" customHeight="true" outlineLevel="0" collapsed="false"/>
    <row r="2087" customFormat="false" ht="12.75" hidden="false" customHeight="true" outlineLevel="0" collapsed="false"/>
    <row r="2088" customFormat="false" ht="12.75" hidden="false" customHeight="true" outlineLevel="0" collapsed="false"/>
    <row r="2089" customFormat="false" ht="12.75" hidden="false" customHeight="true" outlineLevel="0" collapsed="false"/>
    <row r="2090" customFormat="false" ht="12.75" hidden="false" customHeight="true" outlineLevel="0" collapsed="false"/>
    <row r="2091" customFormat="false" ht="12.75" hidden="false" customHeight="true" outlineLevel="0" collapsed="false"/>
    <row r="2092" customFormat="false" ht="12.75" hidden="false" customHeight="true" outlineLevel="0" collapsed="false"/>
    <row r="2093" customFormat="false" ht="12.75" hidden="false" customHeight="true" outlineLevel="0" collapsed="false"/>
    <row r="2094" customFormat="false" ht="12.75" hidden="false" customHeight="true" outlineLevel="0" collapsed="false"/>
    <row r="2095" customFormat="false" ht="12.75" hidden="false" customHeight="true" outlineLevel="0" collapsed="false"/>
    <row r="2096" customFormat="false" ht="12.75" hidden="false" customHeight="true" outlineLevel="0" collapsed="false"/>
    <row r="2097" customFormat="false" ht="12.75" hidden="false" customHeight="true" outlineLevel="0" collapsed="false"/>
    <row r="2098" customFormat="false" ht="12.75" hidden="false" customHeight="true" outlineLevel="0" collapsed="false"/>
    <row r="2099" customFormat="false" ht="12.75" hidden="false" customHeight="true" outlineLevel="0" collapsed="false"/>
    <row r="2100" customFormat="false" ht="12.75" hidden="false" customHeight="true" outlineLevel="0" collapsed="false"/>
    <row r="2101" customFormat="false" ht="12.75" hidden="false" customHeight="true" outlineLevel="0" collapsed="false"/>
    <row r="2102" customFormat="false" ht="12.75" hidden="false" customHeight="true" outlineLevel="0" collapsed="false"/>
    <row r="2103" customFormat="false" ht="12.75" hidden="false" customHeight="true" outlineLevel="0" collapsed="false"/>
    <row r="2104" customFormat="false" ht="12.75" hidden="false" customHeight="true" outlineLevel="0" collapsed="false"/>
    <row r="2105" customFormat="false" ht="12.75" hidden="false" customHeight="true" outlineLevel="0" collapsed="false"/>
    <row r="2106" customFormat="false" ht="12.75" hidden="false" customHeight="true" outlineLevel="0" collapsed="false"/>
    <row r="2107" customFormat="false" ht="12.75" hidden="false" customHeight="true" outlineLevel="0" collapsed="false"/>
    <row r="2108" customFormat="false" ht="12.75" hidden="false" customHeight="true" outlineLevel="0" collapsed="false"/>
    <row r="2109" customFormat="false" ht="12.75" hidden="false" customHeight="true" outlineLevel="0" collapsed="false"/>
    <row r="2110" customFormat="false" ht="12.75" hidden="false" customHeight="true" outlineLevel="0" collapsed="false"/>
    <row r="2111" customFormat="false" ht="12.75" hidden="false" customHeight="true" outlineLevel="0" collapsed="false"/>
    <row r="2112" customFormat="false" ht="12.75" hidden="false" customHeight="true" outlineLevel="0" collapsed="false"/>
    <row r="2113" customFormat="false" ht="12.75" hidden="false" customHeight="true" outlineLevel="0" collapsed="false"/>
    <row r="2114" customFormat="false" ht="12.75" hidden="false" customHeight="true" outlineLevel="0" collapsed="false"/>
    <row r="2115" customFormat="false" ht="12.75" hidden="false" customHeight="true" outlineLevel="0" collapsed="false"/>
    <row r="2116" customFormat="false" ht="12.75" hidden="false" customHeight="true" outlineLevel="0" collapsed="false"/>
    <row r="2117" customFormat="false" ht="12.75" hidden="false" customHeight="true" outlineLevel="0" collapsed="false"/>
    <row r="2118" customFormat="false" ht="12.75" hidden="false" customHeight="true" outlineLevel="0" collapsed="false"/>
    <row r="2119" customFormat="false" ht="12.75" hidden="false" customHeight="true" outlineLevel="0" collapsed="false"/>
    <row r="2120" customFormat="false" ht="12.75" hidden="false" customHeight="true" outlineLevel="0" collapsed="false"/>
    <row r="2121" customFormat="false" ht="12.75" hidden="false" customHeight="true" outlineLevel="0" collapsed="false"/>
    <row r="2122" customFormat="false" ht="12.75" hidden="false" customHeight="true" outlineLevel="0" collapsed="false"/>
    <row r="2123" customFormat="false" ht="12.75" hidden="false" customHeight="true" outlineLevel="0" collapsed="false"/>
    <row r="2124" customFormat="false" ht="12.75" hidden="false" customHeight="true" outlineLevel="0" collapsed="false"/>
    <row r="2125" customFormat="false" ht="12.75" hidden="false" customHeight="true" outlineLevel="0" collapsed="false"/>
    <row r="2126" customFormat="false" ht="12.75" hidden="false" customHeight="true" outlineLevel="0" collapsed="false"/>
    <row r="2127" customFormat="false" ht="12.75" hidden="false" customHeight="true" outlineLevel="0" collapsed="false"/>
    <row r="2128" customFormat="false" ht="12.75" hidden="false" customHeight="true" outlineLevel="0" collapsed="false"/>
    <row r="2129" customFormat="false" ht="12.75" hidden="false" customHeight="true" outlineLevel="0" collapsed="false"/>
    <row r="2130" customFormat="false" ht="12.75" hidden="false" customHeight="true" outlineLevel="0" collapsed="false"/>
    <row r="2131" customFormat="false" ht="12.75" hidden="false" customHeight="true" outlineLevel="0" collapsed="false"/>
    <row r="2132" customFormat="false" ht="12.75" hidden="false" customHeight="true" outlineLevel="0" collapsed="false"/>
    <row r="2133" customFormat="false" ht="12.75" hidden="false" customHeight="true" outlineLevel="0" collapsed="false"/>
    <row r="2134" customFormat="false" ht="12.75" hidden="false" customHeight="true" outlineLevel="0" collapsed="false"/>
    <row r="2135" customFormat="false" ht="12.75" hidden="false" customHeight="true" outlineLevel="0" collapsed="false"/>
    <row r="2136" customFormat="false" ht="12.75" hidden="false" customHeight="true" outlineLevel="0" collapsed="false"/>
    <row r="2137" customFormat="false" ht="12.75" hidden="false" customHeight="true" outlineLevel="0" collapsed="false"/>
    <row r="2138" customFormat="false" ht="12.75" hidden="false" customHeight="true" outlineLevel="0" collapsed="false"/>
    <row r="2139" customFormat="false" ht="12.75" hidden="false" customHeight="true" outlineLevel="0" collapsed="false"/>
    <row r="2140" customFormat="false" ht="12.75" hidden="false" customHeight="true" outlineLevel="0" collapsed="false"/>
    <row r="2141" customFormat="false" ht="12.75" hidden="false" customHeight="true" outlineLevel="0" collapsed="false"/>
    <row r="2142" customFormat="false" ht="12.75" hidden="false" customHeight="true" outlineLevel="0" collapsed="false"/>
    <row r="2143" customFormat="false" ht="12.75" hidden="false" customHeight="true" outlineLevel="0" collapsed="false"/>
    <row r="2144" customFormat="false" ht="12.75" hidden="false" customHeight="true" outlineLevel="0" collapsed="false"/>
    <row r="2145" customFormat="false" ht="12.75" hidden="false" customHeight="true" outlineLevel="0" collapsed="false"/>
    <row r="2146" customFormat="false" ht="12.75" hidden="false" customHeight="true" outlineLevel="0" collapsed="false"/>
    <row r="2147" customFormat="false" ht="12.75" hidden="false" customHeight="true" outlineLevel="0" collapsed="false"/>
    <row r="2148" customFormat="false" ht="12.75" hidden="false" customHeight="true" outlineLevel="0" collapsed="false"/>
    <row r="2149" customFormat="false" ht="12.75" hidden="false" customHeight="true" outlineLevel="0" collapsed="false"/>
    <row r="2150" customFormat="false" ht="12.75" hidden="false" customHeight="true" outlineLevel="0" collapsed="false"/>
    <row r="2151" customFormat="false" ht="12.75" hidden="false" customHeight="true" outlineLevel="0" collapsed="false"/>
    <row r="2152" customFormat="false" ht="12.75" hidden="false" customHeight="true" outlineLevel="0" collapsed="false"/>
    <row r="2153" customFormat="false" ht="12.75" hidden="false" customHeight="true" outlineLevel="0" collapsed="false"/>
    <row r="2154" customFormat="false" ht="12.75" hidden="false" customHeight="true" outlineLevel="0" collapsed="false"/>
    <row r="2155" customFormat="false" ht="12.75" hidden="false" customHeight="true" outlineLevel="0" collapsed="false"/>
    <row r="2156" customFormat="false" ht="12.75" hidden="false" customHeight="true" outlineLevel="0" collapsed="false"/>
    <row r="2157" customFormat="false" ht="12.75" hidden="false" customHeight="true" outlineLevel="0" collapsed="false"/>
    <row r="2158" customFormat="false" ht="12.75" hidden="false" customHeight="true" outlineLevel="0" collapsed="false"/>
    <row r="2159" customFormat="false" ht="12.75" hidden="false" customHeight="true" outlineLevel="0" collapsed="false"/>
    <row r="2160" customFormat="false" ht="12.75" hidden="false" customHeight="true" outlineLevel="0" collapsed="false"/>
    <row r="2161" customFormat="false" ht="12.75" hidden="false" customHeight="true" outlineLevel="0" collapsed="false"/>
    <row r="2162" customFormat="false" ht="12.75" hidden="false" customHeight="true" outlineLevel="0" collapsed="false"/>
    <row r="2163" customFormat="false" ht="12.75" hidden="false" customHeight="true" outlineLevel="0" collapsed="false"/>
    <row r="2164" customFormat="false" ht="12.75" hidden="false" customHeight="true" outlineLevel="0" collapsed="false"/>
    <row r="2165" customFormat="false" ht="12.75" hidden="false" customHeight="true" outlineLevel="0" collapsed="false"/>
    <row r="2166" customFormat="false" ht="12.75" hidden="false" customHeight="true" outlineLevel="0" collapsed="false"/>
    <row r="2167" customFormat="false" ht="12.75" hidden="false" customHeight="true" outlineLevel="0" collapsed="false"/>
    <row r="2168" customFormat="false" ht="12.75" hidden="false" customHeight="true" outlineLevel="0" collapsed="false"/>
    <row r="2169" customFormat="false" ht="12.75" hidden="false" customHeight="true" outlineLevel="0" collapsed="false"/>
    <row r="2170" customFormat="false" ht="12.75" hidden="false" customHeight="true" outlineLevel="0" collapsed="false"/>
    <row r="2171" customFormat="false" ht="12.75" hidden="false" customHeight="true" outlineLevel="0" collapsed="false"/>
    <row r="2172" customFormat="false" ht="12.75" hidden="false" customHeight="true" outlineLevel="0" collapsed="false"/>
    <row r="2173" customFormat="false" ht="12.75" hidden="false" customHeight="true" outlineLevel="0" collapsed="false"/>
    <row r="2174" customFormat="false" ht="12.75" hidden="false" customHeight="true" outlineLevel="0" collapsed="false"/>
    <row r="2175" customFormat="false" ht="12.75" hidden="false" customHeight="true" outlineLevel="0" collapsed="false"/>
    <row r="2176" customFormat="false" ht="12.75" hidden="false" customHeight="true" outlineLevel="0" collapsed="false"/>
    <row r="2177" customFormat="false" ht="12.75" hidden="false" customHeight="true" outlineLevel="0" collapsed="false"/>
    <row r="2178" customFormat="false" ht="12.75" hidden="false" customHeight="true" outlineLevel="0" collapsed="false"/>
    <row r="2179" customFormat="false" ht="12.75" hidden="false" customHeight="true" outlineLevel="0" collapsed="false"/>
    <row r="2180" customFormat="false" ht="12.75" hidden="false" customHeight="true" outlineLevel="0" collapsed="false"/>
    <row r="2181" customFormat="false" ht="12.75" hidden="false" customHeight="true" outlineLevel="0" collapsed="false"/>
    <row r="2182" customFormat="false" ht="12.75" hidden="false" customHeight="true" outlineLevel="0" collapsed="false"/>
    <row r="2183" customFormat="false" ht="12.75" hidden="false" customHeight="true" outlineLevel="0" collapsed="false"/>
    <row r="2184" customFormat="false" ht="12.75" hidden="false" customHeight="true" outlineLevel="0" collapsed="false"/>
    <row r="2185" customFormat="false" ht="12.75" hidden="false" customHeight="true" outlineLevel="0" collapsed="false"/>
    <row r="2186" customFormat="false" ht="12.75" hidden="false" customHeight="true" outlineLevel="0" collapsed="false"/>
    <row r="2187" customFormat="false" ht="12.75" hidden="false" customHeight="true" outlineLevel="0" collapsed="false"/>
    <row r="2188" customFormat="false" ht="12.75" hidden="false" customHeight="true" outlineLevel="0" collapsed="false"/>
    <row r="2189" customFormat="false" ht="12.75" hidden="false" customHeight="true" outlineLevel="0" collapsed="false"/>
    <row r="2190" customFormat="false" ht="12.75" hidden="false" customHeight="true" outlineLevel="0" collapsed="false"/>
    <row r="2191" customFormat="false" ht="12.75" hidden="false" customHeight="true" outlineLevel="0" collapsed="false"/>
    <row r="2192" customFormat="false" ht="12.75" hidden="false" customHeight="true" outlineLevel="0" collapsed="false"/>
    <row r="2193" customFormat="false" ht="12.75" hidden="false" customHeight="true" outlineLevel="0" collapsed="false"/>
    <row r="2194" customFormat="false" ht="12.75" hidden="false" customHeight="true" outlineLevel="0" collapsed="false"/>
    <row r="2195" customFormat="false" ht="12.75" hidden="false" customHeight="true" outlineLevel="0" collapsed="false"/>
    <row r="2196" customFormat="false" ht="12.75" hidden="false" customHeight="true" outlineLevel="0" collapsed="false"/>
    <row r="2197" customFormat="false" ht="12.75" hidden="false" customHeight="true" outlineLevel="0" collapsed="false"/>
    <row r="2198" customFormat="false" ht="12.75" hidden="false" customHeight="true" outlineLevel="0" collapsed="false"/>
    <row r="2199" customFormat="false" ht="12.75" hidden="false" customHeight="true" outlineLevel="0" collapsed="false"/>
    <row r="2200" customFormat="false" ht="12.75" hidden="false" customHeight="true" outlineLevel="0" collapsed="false"/>
    <row r="2201" customFormat="false" ht="12.75" hidden="false" customHeight="true" outlineLevel="0" collapsed="false"/>
    <row r="2202" customFormat="false" ht="12.75" hidden="false" customHeight="true" outlineLevel="0" collapsed="false"/>
    <row r="2203" customFormat="false" ht="12.75" hidden="false" customHeight="true" outlineLevel="0" collapsed="false"/>
    <row r="2204" customFormat="false" ht="12.75" hidden="false" customHeight="true" outlineLevel="0" collapsed="false"/>
    <row r="2205" customFormat="false" ht="12.75" hidden="false" customHeight="true" outlineLevel="0" collapsed="false"/>
    <row r="2206" customFormat="false" ht="12.75" hidden="false" customHeight="true" outlineLevel="0" collapsed="false"/>
    <row r="2207" customFormat="false" ht="12.75" hidden="false" customHeight="true" outlineLevel="0" collapsed="false"/>
    <row r="2208" customFormat="false" ht="12.75" hidden="false" customHeight="true" outlineLevel="0" collapsed="false"/>
    <row r="2209" customFormat="false" ht="12.75" hidden="false" customHeight="true" outlineLevel="0" collapsed="false"/>
    <row r="2210" customFormat="false" ht="12.75" hidden="false" customHeight="true" outlineLevel="0" collapsed="false"/>
    <row r="2211" customFormat="false" ht="12.75" hidden="false" customHeight="true" outlineLevel="0" collapsed="false"/>
    <row r="2212" customFormat="false" ht="12.75" hidden="false" customHeight="true" outlineLevel="0" collapsed="false"/>
    <row r="2213" customFormat="false" ht="12.75" hidden="false" customHeight="true" outlineLevel="0" collapsed="false"/>
    <row r="2214" customFormat="false" ht="12.75" hidden="false" customHeight="true" outlineLevel="0" collapsed="false"/>
    <row r="2215" customFormat="false" ht="12.75" hidden="false" customHeight="true" outlineLevel="0" collapsed="false"/>
    <row r="2216" customFormat="false" ht="12.75" hidden="false" customHeight="true" outlineLevel="0" collapsed="false"/>
    <row r="2217" customFormat="false" ht="12.75" hidden="false" customHeight="true" outlineLevel="0" collapsed="false"/>
    <row r="2218" customFormat="false" ht="12.75" hidden="false" customHeight="true" outlineLevel="0" collapsed="false"/>
    <row r="2219" customFormat="false" ht="12.75" hidden="false" customHeight="true" outlineLevel="0" collapsed="false"/>
    <row r="2220" customFormat="false" ht="12.75" hidden="false" customHeight="true" outlineLevel="0" collapsed="false"/>
    <row r="2221" customFormat="false" ht="12.75" hidden="false" customHeight="true" outlineLevel="0" collapsed="false"/>
    <row r="2222" customFormat="false" ht="12.75" hidden="false" customHeight="true" outlineLevel="0" collapsed="false"/>
    <row r="2223" customFormat="false" ht="12.75" hidden="false" customHeight="true" outlineLevel="0" collapsed="false"/>
    <row r="2224" customFormat="false" ht="12.75" hidden="false" customHeight="true" outlineLevel="0" collapsed="false"/>
    <row r="2225" customFormat="false" ht="12.75" hidden="false" customHeight="true" outlineLevel="0" collapsed="false"/>
    <row r="2226" customFormat="false" ht="12.75" hidden="false" customHeight="true" outlineLevel="0" collapsed="false"/>
    <row r="2227" customFormat="false" ht="12.75" hidden="false" customHeight="true" outlineLevel="0" collapsed="false"/>
    <row r="2228" customFormat="false" ht="12.75" hidden="false" customHeight="true" outlineLevel="0" collapsed="false"/>
    <row r="2229" customFormat="false" ht="12.75" hidden="false" customHeight="true" outlineLevel="0" collapsed="false"/>
    <row r="2230" customFormat="false" ht="12.75" hidden="false" customHeight="true" outlineLevel="0" collapsed="false"/>
    <row r="2231" customFormat="false" ht="12.75" hidden="false" customHeight="true" outlineLevel="0" collapsed="false"/>
    <row r="2232" customFormat="false" ht="12.75" hidden="false" customHeight="true" outlineLevel="0" collapsed="false"/>
    <row r="2233" customFormat="false" ht="12.75" hidden="false" customHeight="true" outlineLevel="0" collapsed="false"/>
    <row r="2234" customFormat="false" ht="12.75" hidden="false" customHeight="true" outlineLevel="0" collapsed="false"/>
    <row r="2235" customFormat="false" ht="12.75" hidden="false" customHeight="true" outlineLevel="0" collapsed="false"/>
    <row r="2236" customFormat="false" ht="12.75" hidden="false" customHeight="true" outlineLevel="0" collapsed="false"/>
    <row r="2237" customFormat="false" ht="12.75" hidden="false" customHeight="true" outlineLevel="0" collapsed="false"/>
    <row r="2238" customFormat="false" ht="12.75" hidden="false" customHeight="true" outlineLevel="0" collapsed="false"/>
    <row r="2239" customFormat="false" ht="12.75" hidden="false" customHeight="true" outlineLevel="0" collapsed="false"/>
    <row r="2240" customFormat="false" ht="12.75" hidden="false" customHeight="true" outlineLevel="0" collapsed="false"/>
    <row r="2241" customFormat="false" ht="12.75" hidden="false" customHeight="true" outlineLevel="0" collapsed="false"/>
    <row r="2242" customFormat="false" ht="12.75" hidden="false" customHeight="true" outlineLevel="0" collapsed="false"/>
    <row r="2243" customFormat="false" ht="12.75" hidden="false" customHeight="true" outlineLevel="0" collapsed="false"/>
    <row r="2244" customFormat="false" ht="12.75" hidden="false" customHeight="true" outlineLevel="0" collapsed="false"/>
    <row r="2245" customFormat="false" ht="12.75" hidden="false" customHeight="true" outlineLevel="0" collapsed="false"/>
    <row r="2246" customFormat="false" ht="12.75" hidden="false" customHeight="true" outlineLevel="0" collapsed="false"/>
    <row r="2247" customFormat="false" ht="12.75" hidden="false" customHeight="true" outlineLevel="0" collapsed="false"/>
    <row r="2248" customFormat="false" ht="12.75" hidden="false" customHeight="true" outlineLevel="0" collapsed="false"/>
    <row r="2249" customFormat="false" ht="12.75" hidden="false" customHeight="true" outlineLevel="0" collapsed="false"/>
    <row r="2250" customFormat="false" ht="12.75" hidden="false" customHeight="true" outlineLevel="0" collapsed="false"/>
    <row r="2251" customFormat="false" ht="12.75" hidden="false" customHeight="true" outlineLevel="0" collapsed="false"/>
    <row r="2252" customFormat="false" ht="12.75" hidden="false" customHeight="true" outlineLevel="0" collapsed="false"/>
    <row r="2253" customFormat="false" ht="12.75" hidden="false" customHeight="true" outlineLevel="0" collapsed="false"/>
    <row r="2254" customFormat="false" ht="12.75" hidden="false" customHeight="true" outlineLevel="0" collapsed="false"/>
    <row r="2255" customFormat="false" ht="12.75" hidden="false" customHeight="true" outlineLevel="0" collapsed="false"/>
    <row r="2256" customFormat="false" ht="12.75" hidden="false" customHeight="true" outlineLevel="0" collapsed="false"/>
    <row r="2257" customFormat="false" ht="12.75" hidden="false" customHeight="true" outlineLevel="0" collapsed="false"/>
    <row r="2258" customFormat="false" ht="12.75" hidden="false" customHeight="true" outlineLevel="0" collapsed="false"/>
    <row r="2259" customFormat="false" ht="12.75" hidden="false" customHeight="true" outlineLevel="0" collapsed="false"/>
    <row r="2260" customFormat="false" ht="12.75" hidden="false" customHeight="true" outlineLevel="0" collapsed="false"/>
    <row r="2261" customFormat="false" ht="12.75" hidden="false" customHeight="true" outlineLevel="0" collapsed="false"/>
    <row r="2262" customFormat="false" ht="12.75" hidden="false" customHeight="true" outlineLevel="0" collapsed="false"/>
    <row r="2263" customFormat="false" ht="12.75" hidden="false" customHeight="true" outlineLevel="0" collapsed="false"/>
    <row r="2264" customFormat="false" ht="12.75" hidden="false" customHeight="true" outlineLevel="0" collapsed="false"/>
    <row r="2265" customFormat="false" ht="12.75" hidden="false" customHeight="true" outlineLevel="0" collapsed="false"/>
    <row r="2266" customFormat="false" ht="12.75" hidden="false" customHeight="true" outlineLevel="0" collapsed="false"/>
    <row r="2267" customFormat="false" ht="12.75" hidden="false" customHeight="true" outlineLevel="0" collapsed="false"/>
    <row r="2268" customFormat="false" ht="12.75" hidden="false" customHeight="true" outlineLevel="0" collapsed="false"/>
    <row r="2269" customFormat="false" ht="12.75" hidden="false" customHeight="true" outlineLevel="0" collapsed="false"/>
    <row r="2270" customFormat="false" ht="12.75" hidden="false" customHeight="true" outlineLevel="0" collapsed="false"/>
    <row r="2271" customFormat="false" ht="12.75" hidden="false" customHeight="true" outlineLevel="0" collapsed="false"/>
    <row r="2272" customFormat="false" ht="12.75" hidden="false" customHeight="true" outlineLevel="0" collapsed="false"/>
    <row r="2273" customFormat="false" ht="12.75" hidden="false" customHeight="true" outlineLevel="0" collapsed="false"/>
    <row r="2274" customFormat="false" ht="12.75" hidden="false" customHeight="true" outlineLevel="0" collapsed="false"/>
    <row r="2275" customFormat="false" ht="12.75" hidden="false" customHeight="true" outlineLevel="0" collapsed="false"/>
    <row r="2276" customFormat="false" ht="12.75" hidden="false" customHeight="true" outlineLevel="0" collapsed="false"/>
    <row r="2277" customFormat="false" ht="12.75" hidden="false" customHeight="true" outlineLevel="0" collapsed="false"/>
    <row r="2278" customFormat="false" ht="12.75" hidden="false" customHeight="true" outlineLevel="0" collapsed="false"/>
    <row r="2279" customFormat="false" ht="12.75" hidden="false" customHeight="true" outlineLevel="0" collapsed="false"/>
    <row r="2280" customFormat="false" ht="12.75" hidden="false" customHeight="true" outlineLevel="0" collapsed="false"/>
    <row r="2281" customFormat="false" ht="12.75" hidden="false" customHeight="true" outlineLevel="0" collapsed="false"/>
    <row r="2282" customFormat="false" ht="12.75" hidden="false" customHeight="true" outlineLevel="0" collapsed="false"/>
    <row r="2283" customFormat="false" ht="12.75" hidden="false" customHeight="true" outlineLevel="0" collapsed="false"/>
    <row r="2284" customFormat="false" ht="12.75" hidden="false" customHeight="true" outlineLevel="0" collapsed="false"/>
    <row r="2285" customFormat="false" ht="12.75" hidden="false" customHeight="true" outlineLevel="0" collapsed="false"/>
    <row r="2286" customFormat="false" ht="12.75" hidden="false" customHeight="true" outlineLevel="0" collapsed="false"/>
    <row r="2287" customFormat="false" ht="12.75" hidden="false" customHeight="true" outlineLevel="0" collapsed="false"/>
    <row r="2288" customFormat="false" ht="12.75" hidden="false" customHeight="true" outlineLevel="0" collapsed="false"/>
    <row r="2289" customFormat="false" ht="12.75" hidden="false" customHeight="true" outlineLevel="0" collapsed="false"/>
    <row r="2290" customFormat="false" ht="12.75" hidden="false" customHeight="true" outlineLevel="0" collapsed="false"/>
    <row r="2291" customFormat="false" ht="12.75" hidden="false" customHeight="true" outlineLevel="0" collapsed="false"/>
    <row r="2292" customFormat="false" ht="12.75" hidden="false" customHeight="true" outlineLevel="0" collapsed="false"/>
    <row r="2293" customFormat="false" ht="12.75" hidden="false" customHeight="true" outlineLevel="0" collapsed="false"/>
    <row r="2294" customFormat="false" ht="12.75" hidden="false" customHeight="true" outlineLevel="0" collapsed="false"/>
    <row r="2295" customFormat="false" ht="12.75" hidden="false" customHeight="true" outlineLevel="0" collapsed="false"/>
    <row r="2296" customFormat="false" ht="12.75" hidden="false" customHeight="true" outlineLevel="0" collapsed="false"/>
    <row r="2297" customFormat="false" ht="12.75" hidden="false" customHeight="true" outlineLevel="0" collapsed="false"/>
    <row r="2298" customFormat="false" ht="12.75" hidden="false" customHeight="true" outlineLevel="0" collapsed="false"/>
    <row r="2299" customFormat="false" ht="12.75" hidden="false" customHeight="true" outlineLevel="0" collapsed="false"/>
    <row r="2300" customFormat="false" ht="12.75" hidden="false" customHeight="true" outlineLevel="0" collapsed="false"/>
    <row r="2301" customFormat="false" ht="12.75" hidden="false" customHeight="true" outlineLevel="0" collapsed="false"/>
    <row r="2302" customFormat="false" ht="12.75" hidden="false" customHeight="true" outlineLevel="0" collapsed="false"/>
    <row r="2303" customFormat="false" ht="12.75" hidden="false" customHeight="true" outlineLevel="0" collapsed="false"/>
    <row r="2304" customFormat="false" ht="12.75" hidden="false" customHeight="true" outlineLevel="0" collapsed="false"/>
    <row r="2305" customFormat="false" ht="12.75" hidden="false" customHeight="true" outlineLevel="0" collapsed="false"/>
    <row r="2306" customFormat="false" ht="12.75" hidden="false" customHeight="true" outlineLevel="0" collapsed="false"/>
    <row r="2307" customFormat="false" ht="12.75" hidden="false" customHeight="true" outlineLevel="0" collapsed="false"/>
    <row r="2308" customFormat="false" ht="12.75" hidden="false" customHeight="true" outlineLevel="0" collapsed="false"/>
    <row r="2309" customFormat="false" ht="12.75" hidden="false" customHeight="true" outlineLevel="0" collapsed="false"/>
    <row r="2310" customFormat="false" ht="12.75" hidden="false" customHeight="true" outlineLevel="0" collapsed="false"/>
    <row r="2311" customFormat="false" ht="12.75" hidden="false" customHeight="true" outlineLevel="0" collapsed="false"/>
    <row r="2312" customFormat="false" ht="12.75" hidden="false" customHeight="true" outlineLevel="0" collapsed="false"/>
    <row r="2313" customFormat="false" ht="12.75" hidden="false" customHeight="true" outlineLevel="0" collapsed="false"/>
    <row r="2314" customFormat="false" ht="12.75" hidden="false" customHeight="true" outlineLevel="0" collapsed="false"/>
    <row r="2315" customFormat="false" ht="12.75" hidden="false" customHeight="true" outlineLevel="0" collapsed="false"/>
    <row r="2316" customFormat="false" ht="12.75" hidden="false" customHeight="true" outlineLevel="0" collapsed="false"/>
    <row r="2317" customFormat="false" ht="12.75" hidden="false" customHeight="true" outlineLevel="0" collapsed="false"/>
    <row r="2318" customFormat="false" ht="12.75" hidden="false" customHeight="true" outlineLevel="0" collapsed="false"/>
    <row r="2319" customFormat="false" ht="12.75" hidden="false" customHeight="true" outlineLevel="0" collapsed="false"/>
    <row r="2320" customFormat="false" ht="12.75" hidden="false" customHeight="true" outlineLevel="0" collapsed="false"/>
    <row r="2321" customFormat="false" ht="12.75" hidden="false" customHeight="true" outlineLevel="0" collapsed="false"/>
    <row r="2322" customFormat="false" ht="12.75" hidden="false" customHeight="true" outlineLevel="0" collapsed="false"/>
    <row r="2323" customFormat="false" ht="12.75" hidden="false" customHeight="true" outlineLevel="0" collapsed="false"/>
    <row r="2324" customFormat="false" ht="12.75" hidden="false" customHeight="true" outlineLevel="0" collapsed="false"/>
    <row r="2325" customFormat="false" ht="12.75" hidden="false" customHeight="true" outlineLevel="0" collapsed="false"/>
    <row r="2326" customFormat="false" ht="12.75" hidden="false" customHeight="true" outlineLevel="0" collapsed="false"/>
    <row r="2327" customFormat="false" ht="12.75" hidden="false" customHeight="true" outlineLevel="0" collapsed="false"/>
    <row r="2328" customFormat="false" ht="12.75" hidden="false" customHeight="true" outlineLevel="0" collapsed="false"/>
    <row r="2329" customFormat="false" ht="12.75" hidden="false" customHeight="true" outlineLevel="0" collapsed="false"/>
    <row r="2330" customFormat="false" ht="12.75" hidden="false" customHeight="true" outlineLevel="0" collapsed="false"/>
    <row r="2331" customFormat="false" ht="12.75" hidden="false" customHeight="true" outlineLevel="0" collapsed="false"/>
    <row r="2332" customFormat="false" ht="12.75" hidden="false" customHeight="true" outlineLevel="0" collapsed="false"/>
    <row r="2333" customFormat="false" ht="12.75" hidden="false" customHeight="true" outlineLevel="0" collapsed="false"/>
    <row r="2334" customFormat="false" ht="12.75" hidden="false" customHeight="true" outlineLevel="0" collapsed="false"/>
    <row r="2335" customFormat="false" ht="12.75" hidden="false" customHeight="true" outlineLevel="0" collapsed="false"/>
    <row r="2336" customFormat="false" ht="12.75" hidden="false" customHeight="true" outlineLevel="0" collapsed="false"/>
    <row r="2337" customFormat="false" ht="12.75" hidden="false" customHeight="true" outlineLevel="0" collapsed="false"/>
    <row r="2338" customFormat="false" ht="12.75" hidden="false" customHeight="true" outlineLevel="0" collapsed="false"/>
    <row r="2339" customFormat="false" ht="12.75" hidden="false" customHeight="true" outlineLevel="0" collapsed="false"/>
    <row r="2340" customFormat="false" ht="12.75" hidden="false" customHeight="true" outlineLevel="0" collapsed="false"/>
    <row r="2341" customFormat="false" ht="12.75" hidden="false" customHeight="true" outlineLevel="0" collapsed="false"/>
    <row r="2342" customFormat="false" ht="12.75" hidden="false" customHeight="true" outlineLevel="0" collapsed="false"/>
    <row r="2343" customFormat="false" ht="12.75" hidden="false" customHeight="true" outlineLevel="0" collapsed="false"/>
    <row r="2344" customFormat="false" ht="12.75" hidden="false" customHeight="true" outlineLevel="0" collapsed="false"/>
    <row r="2345" customFormat="false" ht="12.75" hidden="false" customHeight="true" outlineLevel="0" collapsed="false"/>
    <row r="2346" customFormat="false" ht="12.75" hidden="false" customHeight="true" outlineLevel="0" collapsed="false"/>
    <row r="2347" customFormat="false" ht="12.75" hidden="false" customHeight="true" outlineLevel="0" collapsed="false"/>
    <row r="2348" customFormat="false" ht="12.75" hidden="false" customHeight="true" outlineLevel="0" collapsed="false"/>
    <row r="2349" customFormat="false" ht="12.75" hidden="false" customHeight="true" outlineLevel="0" collapsed="false"/>
    <row r="2350" customFormat="false" ht="12.75" hidden="false" customHeight="true" outlineLevel="0" collapsed="false"/>
    <row r="2351" customFormat="false" ht="12.75" hidden="false" customHeight="true" outlineLevel="0" collapsed="false"/>
    <row r="2352" customFormat="false" ht="12.75" hidden="false" customHeight="true" outlineLevel="0" collapsed="false"/>
    <row r="2353" customFormat="false" ht="12.75" hidden="false" customHeight="true" outlineLevel="0" collapsed="false"/>
    <row r="2354" customFormat="false" ht="12.75" hidden="false" customHeight="true" outlineLevel="0" collapsed="false"/>
    <row r="2355" customFormat="false" ht="12.75" hidden="false" customHeight="true" outlineLevel="0" collapsed="false"/>
    <row r="2356" customFormat="false" ht="12.75" hidden="false" customHeight="true" outlineLevel="0" collapsed="false"/>
    <row r="2357" customFormat="false" ht="12.75" hidden="false" customHeight="true" outlineLevel="0" collapsed="false"/>
    <row r="2358" customFormat="false" ht="12.75" hidden="false" customHeight="true" outlineLevel="0" collapsed="false"/>
    <row r="2359" customFormat="false" ht="12.75" hidden="false" customHeight="true" outlineLevel="0" collapsed="false"/>
    <row r="2360" customFormat="false" ht="12.75" hidden="false" customHeight="true" outlineLevel="0" collapsed="false"/>
    <row r="2361" customFormat="false" ht="12.75" hidden="false" customHeight="true" outlineLevel="0" collapsed="false"/>
    <row r="2362" customFormat="false" ht="12.75" hidden="false" customHeight="true" outlineLevel="0" collapsed="false"/>
    <row r="2363" customFormat="false" ht="12.75" hidden="false" customHeight="true" outlineLevel="0" collapsed="false"/>
    <row r="2364" customFormat="false" ht="12.75" hidden="false" customHeight="true" outlineLevel="0" collapsed="false"/>
    <row r="2365" customFormat="false" ht="12.75" hidden="false" customHeight="true" outlineLevel="0" collapsed="false"/>
    <row r="2366" customFormat="false" ht="12.75" hidden="false" customHeight="true" outlineLevel="0" collapsed="false"/>
    <row r="2367" customFormat="false" ht="12.75" hidden="false" customHeight="true" outlineLevel="0" collapsed="false"/>
    <row r="2368" customFormat="false" ht="12.75" hidden="false" customHeight="true" outlineLevel="0" collapsed="false"/>
    <row r="2369" customFormat="false" ht="12.75" hidden="false" customHeight="true" outlineLevel="0" collapsed="false"/>
    <row r="2370" customFormat="false" ht="12.75" hidden="false" customHeight="true" outlineLevel="0" collapsed="false"/>
    <row r="2371" customFormat="false" ht="12.75" hidden="false" customHeight="true" outlineLevel="0" collapsed="false"/>
    <row r="2372" customFormat="false" ht="12.75" hidden="false" customHeight="true" outlineLevel="0" collapsed="false"/>
    <row r="2373" customFormat="false" ht="12.75" hidden="false" customHeight="true" outlineLevel="0" collapsed="false"/>
    <row r="2374" customFormat="false" ht="12.75" hidden="false" customHeight="true" outlineLevel="0" collapsed="false"/>
    <row r="2375" customFormat="false" ht="12.75" hidden="false" customHeight="true" outlineLevel="0" collapsed="false"/>
    <row r="2376" customFormat="false" ht="12.75" hidden="false" customHeight="true" outlineLevel="0" collapsed="false"/>
    <row r="2377" customFormat="false" ht="12.75" hidden="false" customHeight="true" outlineLevel="0" collapsed="false"/>
    <row r="2378" customFormat="false" ht="12.75" hidden="false" customHeight="true" outlineLevel="0" collapsed="false"/>
    <row r="2379" customFormat="false" ht="12.75" hidden="false" customHeight="true" outlineLevel="0" collapsed="false"/>
    <row r="2380" customFormat="false" ht="12.75" hidden="false" customHeight="true" outlineLevel="0" collapsed="false"/>
    <row r="2381" customFormat="false" ht="12.75" hidden="false" customHeight="true" outlineLevel="0" collapsed="false"/>
    <row r="2382" customFormat="false" ht="12.75" hidden="false" customHeight="true" outlineLevel="0" collapsed="false"/>
    <row r="2383" customFormat="false" ht="12.75" hidden="false" customHeight="true" outlineLevel="0" collapsed="false"/>
    <row r="2384" customFormat="false" ht="12.75" hidden="false" customHeight="true" outlineLevel="0" collapsed="false"/>
    <row r="2385" customFormat="false" ht="12.75" hidden="false" customHeight="true" outlineLevel="0" collapsed="false"/>
    <row r="2386" customFormat="false" ht="12.75" hidden="false" customHeight="true" outlineLevel="0" collapsed="false"/>
    <row r="2387" customFormat="false" ht="12.75" hidden="false" customHeight="true" outlineLevel="0" collapsed="false"/>
    <row r="2388" customFormat="false" ht="12.75" hidden="false" customHeight="true" outlineLevel="0" collapsed="false"/>
    <row r="2389" customFormat="false" ht="12.75" hidden="false" customHeight="true" outlineLevel="0" collapsed="false"/>
    <row r="2390" customFormat="false" ht="12.75" hidden="false" customHeight="true" outlineLevel="0" collapsed="false"/>
    <row r="2391" customFormat="false" ht="12.75" hidden="false" customHeight="true" outlineLevel="0" collapsed="false"/>
    <row r="2392" customFormat="false" ht="12.75" hidden="false" customHeight="true" outlineLevel="0" collapsed="false"/>
    <row r="2393" customFormat="false" ht="12.75" hidden="false" customHeight="true" outlineLevel="0" collapsed="false"/>
    <row r="2394" customFormat="false" ht="12.75" hidden="false" customHeight="true" outlineLevel="0" collapsed="false"/>
    <row r="2395" customFormat="false" ht="12.75" hidden="false" customHeight="true" outlineLevel="0" collapsed="false"/>
    <row r="2396" customFormat="false" ht="12.75" hidden="false" customHeight="true" outlineLevel="0" collapsed="false"/>
    <row r="2397" customFormat="false" ht="12.75" hidden="false" customHeight="true" outlineLevel="0" collapsed="false"/>
    <row r="2398" customFormat="false" ht="12.75" hidden="false" customHeight="true" outlineLevel="0" collapsed="false"/>
    <row r="2399" customFormat="false" ht="12.75" hidden="false" customHeight="true" outlineLevel="0" collapsed="false"/>
    <row r="2400" customFormat="false" ht="12.75" hidden="false" customHeight="true" outlineLevel="0" collapsed="false"/>
    <row r="2401" customFormat="false" ht="12.75" hidden="false" customHeight="true" outlineLevel="0" collapsed="false"/>
    <row r="2402" customFormat="false" ht="12.75" hidden="false" customHeight="true" outlineLevel="0" collapsed="false"/>
    <row r="2403" customFormat="false" ht="12.75" hidden="false" customHeight="true" outlineLevel="0" collapsed="false"/>
    <row r="2404" customFormat="false" ht="12.75" hidden="false" customHeight="true" outlineLevel="0" collapsed="false"/>
    <row r="2405" customFormat="false" ht="12.75" hidden="false" customHeight="true" outlineLevel="0" collapsed="false"/>
    <row r="2406" customFormat="false" ht="12.75" hidden="false" customHeight="true" outlineLevel="0" collapsed="false"/>
    <row r="2407" customFormat="false" ht="12.75" hidden="false" customHeight="true" outlineLevel="0" collapsed="false"/>
    <row r="2408" customFormat="false" ht="12.75" hidden="false" customHeight="true" outlineLevel="0" collapsed="false"/>
    <row r="2409" customFormat="false" ht="12.75" hidden="false" customHeight="true" outlineLevel="0" collapsed="false"/>
    <row r="2410" customFormat="false" ht="12.75" hidden="false" customHeight="true" outlineLevel="0" collapsed="false"/>
    <row r="2411" customFormat="false" ht="12.75" hidden="false" customHeight="true" outlineLevel="0" collapsed="false"/>
    <row r="2412" customFormat="false" ht="12.75" hidden="false" customHeight="true" outlineLevel="0" collapsed="false"/>
    <row r="2413" customFormat="false" ht="12.75" hidden="false" customHeight="true" outlineLevel="0" collapsed="false"/>
    <row r="2414" customFormat="false" ht="12.75" hidden="false" customHeight="true" outlineLevel="0" collapsed="false"/>
    <row r="2415" customFormat="false" ht="12.75" hidden="false" customHeight="true" outlineLevel="0" collapsed="false"/>
    <row r="2416" customFormat="false" ht="12.75" hidden="false" customHeight="true" outlineLevel="0" collapsed="false"/>
    <row r="2417" customFormat="false" ht="12.75" hidden="false" customHeight="true" outlineLevel="0" collapsed="false"/>
    <row r="2418" customFormat="false" ht="12.75" hidden="false" customHeight="true" outlineLevel="0" collapsed="false"/>
    <row r="2419" customFormat="false" ht="12.75" hidden="false" customHeight="true" outlineLevel="0" collapsed="false"/>
    <row r="2420" customFormat="false" ht="12.75" hidden="false" customHeight="true" outlineLevel="0" collapsed="false"/>
    <row r="2421" customFormat="false" ht="12.75" hidden="false" customHeight="true" outlineLevel="0" collapsed="false"/>
    <row r="2422" customFormat="false" ht="12.75" hidden="false" customHeight="true" outlineLevel="0" collapsed="false"/>
    <row r="2423" customFormat="false" ht="12.75" hidden="false" customHeight="true" outlineLevel="0" collapsed="false"/>
    <row r="2424" customFormat="false" ht="12.75" hidden="false" customHeight="true" outlineLevel="0" collapsed="false"/>
    <row r="2425" customFormat="false" ht="12.75" hidden="false" customHeight="true" outlineLevel="0" collapsed="false"/>
    <row r="2426" customFormat="false" ht="12.75" hidden="false" customHeight="true" outlineLevel="0" collapsed="false"/>
    <row r="2427" customFormat="false" ht="12.75" hidden="false" customHeight="true" outlineLevel="0" collapsed="false"/>
    <row r="2428" customFormat="false" ht="12.75" hidden="false" customHeight="true" outlineLevel="0" collapsed="false"/>
    <row r="2429" customFormat="false" ht="12.75" hidden="false" customHeight="true" outlineLevel="0" collapsed="false"/>
    <row r="2430" customFormat="false" ht="12.75" hidden="false" customHeight="true" outlineLevel="0" collapsed="false"/>
    <row r="2431" customFormat="false" ht="12.75" hidden="false" customHeight="true" outlineLevel="0" collapsed="false"/>
    <row r="2432" customFormat="false" ht="12.75" hidden="false" customHeight="true" outlineLevel="0" collapsed="false"/>
    <row r="2433" customFormat="false" ht="12.75" hidden="false" customHeight="true" outlineLevel="0" collapsed="false"/>
    <row r="2434" customFormat="false" ht="12.75" hidden="false" customHeight="true" outlineLevel="0" collapsed="false"/>
    <row r="2435" customFormat="false" ht="12.75" hidden="false" customHeight="true" outlineLevel="0" collapsed="false"/>
    <row r="2436" customFormat="false" ht="12.75" hidden="false" customHeight="true" outlineLevel="0" collapsed="false"/>
    <row r="2437" customFormat="false" ht="12.75" hidden="false" customHeight="true" outlineLevel="0" collapsed="false"/>
    <row r="2438" customFormat="false" ht="12.75" hidden="false" customHeight="true" outlineLevel="0" collapsed="false"/>
    <row r="2439" customFormat="false" ht="12.75" hidden="false" customHeight="true" outlineLevel="0" collapsed="false"/>
    <row r="2440" customFormat="false" ht="12.75" hidden="false" customHeight="true" outlineLevel="0" collapsed="false"/>
    <row r="2441" customFormat="false" ht="12.75" hidden="false" customHeight="true" outlineLevel="0" collapsed="false"/>
    <row r="2442" customFormat="false" ht="12.75" hidden="false" customHeight="true" outlineLevel="0" collapsed="false"/>
    <row r="2443" customFormat="false" ht="12.75" hidden="false" customHeight="true" outlineLevel="0" collapsed="false"/>
    <row r="2444" customFormat="false" ht="12.75" hidden="false" customHeight="true" outlineLevel="0" collapsed="false"/>
    <row r="2445" customFormat="false" ht="12.75" hidden="false" customHeight="true" outlineLevel="0" collapsed="false"/>
    <row r="2446" customFormat="false" ht="12.75" hidden="false" customHeight="true" outlineLevel="0" collapsed="false"/>
    <row r="2447" customFormat="false" ht="12.75" hidden="false" customHeight="true" outlineLevel="0" collapsed="false"/>
    <row r="2448" customFormat="false" ht="12.75" hidden="false" customHeight="true" outlineLevel="0" collapsed="false"/>
    <row r="2449" customFormat="false" ht="12.75" hidden="false" customHeight="true" outlineLevel="0" collapsed="false"/>
    <row r="2450" customFormat="false" ht="12.75" hidden="false" customHeight="true" outlineLevel="0" collapsed="false"/>
    <row r="2451" customFormat="false" ht="12.75" hidden="false" customHeight="true" outlineLevel="0" collapsed="false"/>
    <row r="2452" customFormat="false" ht="12.75" hidden="false" customHeight="true" outlineLevel="0" collapsed="false"/>
    <row r="2453" customFormat="false" ht="12.75" hidden="false" customHeight="true" outlineLevel="0" collapsed="false"/>
    <row r="2454" customFormat="false" ht="12.75" hidden="false" customHeight="true" outlineLevel="0" collapsed="false"/>
    <row r="2455" customFormat="false" ht="12.75" hidden="false" customHeight="true" outlineLevel="0" collapsed="false"/>
    <row r="2456" customFormat="false" ht="12.75" hidden="false" customHeight="true" outlineLevel="0" collapsed="false"/>
    <row r="2457" customFormat="false" ht="12.75" hidden="false" customHeight="true" outlineLevel="0" collapsed="false"/>
    <row r="2458" customFormat="false" ht="12.75" hidden="false" customHeight="true" outlineLevel="0" collapsed="false"/>
    <row r="2459" customFormat="false" ht="12.75" hidden="false" customHeight="true" outlineLevel="0" collapsed="false"/>
    <row r="2460" customFormat="false" ht="12.75" hidden="false" customHeight="true" outlineLevel="0" collapsed="false"/>
    <row r="2461" customFormat="false" ht="12.75" hidden="false" customHeight="true" outlineLevel="0" collapsed="false"/>
    <row r="2462" customFormat="false" ht="12.75" hidden="false" customHeight="true" outlineLevel="0" collapsed="false"/>
    <row r="2463" customFormat="false" ht="12.75" hidden="false" customHeight="true" outlineLevel="0" collapsed="false"/>
    <row r="2464" customFormat="false" ht="12.75" hidden="false" customHeight="true" outlineLevel="0" collapsed="false"/>
    <row r="2465" customFormat="false" ht="12.75" hidden="false" customHeight="true" outlineLevel="0" collapsed="false"/>
    <row r="2466" customFormat="false" ht="12.75" hidden="false" customHeight="true" outlineLevel="0" collapsed="false"/>
    <row r="2467" customFormat="false" ht="12.75" hidden="false" customHeight="true" outlineLevel="0" collapsed="false"/>
    <row r="2468" customFormat="false" ht="12.75" hidden="false" customHeight="true" outlineLevel="0" collapsed="false"/>
    <row r="2469" customFormat="false" ht="12.75" hidden="false" customHeight="true" outlineLevel="0" collapsed="false"/>
    <row r="2470" customFormat="false" ht="12.75" hidden="false" customHeight="true" outlineLevel="0" collapsed="false"/>
    <row r="2471" customFormat="false" ht="12.75" hidden="false" customHeight="true" outlineLevel="0" collapsed="false"/>
    <row r="2472" customFormat="false" ht="12.75" hidden="false" customHeight="true" outlineLevel="0" collapsed="false"/>
    <row r="2473" customFormat="false" ht="12.75" hidden="false" customHeight="true" outlineLevel="0" collapsed="false"/>
    <row r="2474" customFormat="false" ht="12.75" hidden="false" customHeight="true" outlineLevel="0" collapsed="false"/>
    <row r="2475" customFormat="false" ht="12.75" hidden="false" customHeight="true" outlineLevel="0" collapsed="false"/>
    <row r="2476" customFormat="false" ht="12.75" hidden="false" customHeight="true" outlineLevel="0" collapsed="false"/>
    <row r="2477" customFormat="false" ht="12.75" hidden="false" customHeight="true" outlineLevel="0" collapsed="false"/>
    <row r="2478" customFormat="false" ht="12.75" hidden="false" customHeight="true" outlineLevel="0" collapsed="false"/>
    <row r="2479" customFormat="false" ht="12.75" hidden="false" customHeight="true" outlineLevel="0" collapsed="false"/>
    <row r="2480" customFormat="false" ht="12.75" hidden="false" customHeight="true" outlineLevel="0" collapsed="false"/>
    <row r="2481" customFormat="false" ht="12.75" hidden="false" customHeight="true" outlineLevel="0" collapsed="false"/>
    <row r="2482" customFormat="false" ht="12.75" hidden="false" customHeight="true" outlineLevel="0" collapsed="false"/>
    <row r="2483" customFormat="false" ht="12.75" hidden="false" customHeight="true" outlineLevel="0" collapsed="false"/>
    <row r="2484" customFormat="false" ht="12.75" hidden="false" customHeight="true" outlineLevel="0" collapsed="false"/>
    <row r="2485" customFormat="false" ht="12.75" hidden="false" customHeight="true" outlineLevel="0" collapsed="false"/>
    <row r="2486" customFormat="false" ht="12.75" hidden="false" customHeight="true" outlineLevel="0" collapsed="false"/>
    <row r="2487" customFormat="false" ht="12.75" hidden="false" customHeight="true" outlineLevel="0" collapsed="false"/>
    <row r="2488" customFormat="false" ht="12.75" hidden="false" customHeight="true" outlineLevel="0" collapsed="false"/>
    <row r="2489" customFormat="false" ht="12.75" hidden="false" customHeight="true" outlineLevel="0" collapsed="false"/>
    <row r="2490" customFormat="false" ht="12.75" hidden="false" customHeight="true" outlineLevel="0" collapsed="false"/>
    <row r="2491" customFormat="false" ht="12.75" hidden="false" customHeight="true" outlineLevel="0" collapsed="false"/>
    <row r="2492" customFormat="false" ht="12.75" hidden="false" customHeight="true" outlineLevel="0" collapsed="false"/>
    <row r="2493" customFormat="false" ht="12.75" hidden="false" customHeight="true" outlineLevel="0" collapsed="false"/>
    <row r="2494" customFormat="false" ht="12.75" hidden="false" customHeight="true" outlineLevel="0" collapsed="false"/>
    <row r="2495" customFormat="false" ht="12.75" hidden="false" customHeight="true" outlineLevel="0" collapsed="false"/>
    <row r="2496" customFormat="false" ht="12.75" hidden="false" customHeight="true" outlineLevel="0" collapsed="false"/>
    <row r="2497" customFormat="false" ht="12.75" hidden="false" customHeight="true" outlineLevel="0" collapsed="false"/>
    <row r="2498" customFormat="false" ht="12.75" hidden="false" customHeight="true" outlineLevel="0" collapsed="false"/>
    <row r="2499" customFormat="false" ht="12.75" hidden="false" customHeight="true" outlineLevel="0" collapsed="false"/>
    <row r="2500" customFormat="false" ht="12.75" hidden="false" customHeight="true" outlineLevel="0" collapsed="false"/>
    <row r="2501" customFormat="false" ht="12.75" hidden="false" customHeight="true" outlineLevel="0" collapsed="false"/>
    <row r="2502" customFormat="false" ht="12.75" hidden="false" customHeight="true" outlineLevel="0" collapsed="false"/>
    <row r="2503" customFormat="false" ht="12.75" hidden="false" customHeight="true" outlineLevel="0" collapsed="false"/>
    <row r="2504" customFormat="false" ht="12.75" hidden="false" customHeight="true" outlineLevel="0" collapsed="false"/>
    <row r="2505" customFormat="false" ht="12.75" hidden="false" customHeight="true" outlineLevel="0" collapsed="false"/>
    <row r="2506" customFormat="false" ht="12.75" hidden="false" customHeight="true" outlineLevel="0" collapsed="false"/>
    <row r="2507" customFormat="false" ht="12.75" hidden="false" customHeight="true" outlineLevel="0" collapsed="false"/>
    <row r="2508" customFormat="false" ht="12.75" hidden="false" customHeight="true" outlineLevel="0" collapsed="false"/>
    <row r="2509" customFormat="false" ht="12.75" hidden="false" customHeight="true" outlineLevel="0" collapsed="false"/>
    <row r="2510" customFormat="false" ht="12.75" hidden="false" customHeight="true" outlineLevel="0" collapsed="false"/>
    <row r="2511" customFormat="false" ht="12.75" hidden="false" customHeight="true" outlineLevel="0" collapsed="false"/>
    <row r="2512" customFormat="false" ht="12.75" hidden="false" customHeight="true" outlineLevel="0" collapsed="false"/>
    <row r="2513" customFormat="false" ht="12.75" hidden="false" customHeight="true" outlineLevel="0" collapsed="false"/>
    <row r="2514" customFormat="false" ht="12.75" hidden="false" customHeight="true" outlineLevel="0" collapsed="false"/>
    <row r="2515" customFormat="false" ht="12.75" hidden="false" customHeight="true" outlineLevel="0" collapsed="false"/>
    <row r="2516" customFormat="false" ht="12.75" hidden="false" customHeight="true" outlineLevel="0" collapsed="false"/>
    <row r="2517" customFormat="false" ht="12.75" hidden="false" customHeight="true" outlineLevel="0" collapsed="false"/>
    <row r="2518" customFormat="false" ht="12.75" hidden="false" customHeight="true" outlineLevel="0" collapsed="false"/>
    <row r="2519" customFormat="false" ht="12.75" hidden="false" customHeight="true" outlineLevel="0" collapsed="false"/>
    <row r="2520" customFormat="false" ht="12.75" hidden="false" customHeight="true" outlineLevel="0" collapsed="false"/>
    <row r="2521" customFormat="false" ht="12.75" hidden="false" customHeight="true" outlineLevel="0" collapsed="false"/>
    <row r="2522" customFormat="false" ht="12.75" hidden="false" customHeight="true" outlineLevel="0" collapsed="false"/>
    <row r="2523" customFormat="false" ht="12.75" hidden="false" customHeight="true" outlineLevel="0" collapsed="false"/>
    <row r="2524" customFormat="false" ht="12.75" hidden="false" customHeight="true" outlineLevel="0" collapsed="false"/>
    <row r="2525" customFormat="false" ht="12.75" hidden="false" customHeight="true" outlineLevel="0" collapsed="false"/>
    <row r="2526" customFormat="false" ht="12.75" hidden="false" customHeight="true" outlineLevel="0" collapsed="false"/>
    <row r="2527" customFormat="false" ht="12.75" hidden="false" customHeight="true" outlineLevel="0" collapsed="false"/>
    <row r="2528" customFormat="false" ht="12.75" hidden="false" customHeight="true" outlineLevel="0" collapsed="false"/>
    <row r="2529" customFormat="false" ht="12.75" hidden="false" customHeight="true" outlineLevel="0" collapsed="false"/>
    <row r="2530" customFormat="false" ht="12.75" hidden="false" customHeight="true" outlineLevel="0" collapsed="false"/>
    <row r="2531" customFormat="false" ht="12.75" hidden="false" customHeight="true" outlineLevel="0" collapsed="false"/>
    <row r="2532" customFormat="false" ht="12.75" hidden="false" customHeight="true" outlineLevel="0" collapsed="false"/>
    <row r="2533" customFormat="false" ht="12.75" hidden="false" customHeight="true" outlineLevel="0" collapsed="false"/>
    <row r="2534" customFormat="false" ht="12.75" hidden="false" customHeight="true" outlineLevel="0" collapsed="false"/>
    <row r="2535" customFormat="false" ht="12.75" hidden="false" customHeight="true" outlineLevel="0" collapsed="false"/>
    <row r="2536" customFormat="false" ht="12.75" hidden="false" customHeight="true" outlineLevel="0" collapsed="false"/>
    <row r="2537" customFormat="false" ht="12.75" hidden="false" customHeight="true" outlineLevel="0" collapsed="false"/>
    <row r="2538" customFormat="false" ht="12.75" hidden="false" customHeight="true" outlineLevel="0" collapsed="false"/>
    <row r="2539" customFormat="false" ht="12.75" hidden="false" customHeight="true" outlineLevel="0" collapsed="false"/>
    <row r="2540" customFormat="false" ht="12.75" hidden="false" customHeight="true" outlineLevel="0" collapsed="false"/>
    <row r="2541" customFormat="false" ht="12.75" hidden="false" customHeight="true" outlineLevel="0" collapsed="false"/>
    <row r="2542" customFormat="false" ht="12.75" hidden="false" customHeight="true" outlineLevel="0" collapsed="false"/>
    <row r="2543" customFormat="false" ht="12.75" hidden="false" customHeight="true" outlineLevel="0" collapsed="false"/>
    <row r="2544" customFormat="false" ht="12.75" hidden="false" customHeight="true" outlineLevel="0" collapsed="false"/>
    <row r="2545" customFormat="false" ht="12.75" hidden="false" customHeight="true" outlineLevel="0" collapsed="false"/>
    <row r="2546" customFormat="false" ht="12.75" hidden="false" customHeight="true" outlineLevel="0" collapsed="false"/>
    <row r="2547" customFormat="false" ht="12.75" hidden="false" customHeight="true" outlineLevel="0" collapsed="false"/>
    <row r="2548" customFormat="false" ht="12.75" hidden="false" customHeight="true" outlineLevel="0" collapsed="false"/>
    <row r="2549" customFormat="false" ht="12.75" hidden="false" customHeight="true" outlineLevel="0" collapsed="false"/>
    <row r="2550" customFormat="false" ht="12.75" hidden="false" customHeight="true" outlineLevel="0" collapsed="false"/>
    <row r="2551" customFormat="false" ht="12.75" hidden="false" customHeight="true" outlineLevel="0" collapsed="false"/>
    <row r="2552" customFormat="false" ht="12.75" hidden="false" customHeight="true" outlineLevel="0" collapsed="false"/>
    <row r="2553" customFormat="false" ht="12.75" hidden="false" customHeight="true" outlineLevel="0" collapsed="false"/>
    <row r="2554" customFormat="false" ht="12.75" hidden="false" customHeight="true" outlineLevel="0" collapsed="false"/>
    <row r="2555" customFormat="false" ht="12.75" hidden="false" customHeight="true" outlineLevel="0" collapsed="false"/>
    <row r="2556" customFormat="false" ht="12.75" hidden="false" customHeight="true" outlineLevel="0" collapsed="false"/>
    <row r="2557" customFormat="false" ht="12.75" hidden="false" customHeight="true" outlineLevel="0" collapsed="false"/>
    <row r="2558" customFormat="false" ht="12.75" hidden="false" customHeight="true" outlineLevel="0" collapsed="false"/>
    <row r="2559" customFormat="false" ht="12.75" hidden="false" customHeight="true" outlineLevel="0" collapsed="false"/>
    <row r="2560" customFormat="false" ht="12.75" hidden="false" customHeight="true" outlineLevel="0" collapsed="false"/>
    <row r="2561" customFormat="false" ht="12.75" hidden="false" customHeight="true" outlineLevel="0" collapsed="false"/>
    <row r="2562" customFormat="false" ht="12.75" hidden="false" customHeight="true" outlineLevel="0" collapsed="false"/>
    <row r="2563" customFormat="false" ht="12.75" hidden="false" customHeight="true" outlineLevel="0" collapsed="false"/>
    <row r="2564" customFormat="false" ht="12.75" hidden="false" customHeight="true" outlineLevel="0" collapsed="false"/>
    <row r="2565" customFormat="false" ht="12.75" hidden="false" customHeight="true" outlineLevel="0" collapsed="false"/>
    <row r="2566" customFormat="false" ht="12.75" hidden="false" customHeight="true" outlineLevel="0" collapsed="false"/>
    <row r="2567" customFormat="false" ht="12.75" hidden="false" customHeight="true" outlineLevel="0" collapsed="false"/>
    <row r="2568" customFormat="false" ht="12.75" hidden="false" customHeight="true" outlineLevel="0" collapsed="false"/>
    <row r="2569" customFormat="false" ht="12.75" hidden="false" customHeight="true" outlineLevel="0" collapsed="false"/>
    <row r="2570" customFormat="false" ht="12.75" hidden="false" customHeight="true" outlineLevel="0" collapsed="false"/>
    <row r="2571" customFormat="false" ht="12.75" hidden="false" customHeight="true" outlineLevel="0" collapsed="false"/>
    <row r="2572" customFormat="false" ht="12.75" hidden="false" customHeight="true" outlineLevel="0" collapsed="false"/>
    <row r="2573" customFormat="false" ht="12.75" hidden="false" customHeight="true" outlineLevel="0" collapsed="false"/>
    <row r="2574" customFormat="false" ht="12.75" hidden="false" customHeight="true" outlineLevel="0" collapsed="false"/>
    <row r="2575" customFormat="false" ht="12.75" hidden="false" customHeight="true" outlineLevel="0" collapsed="false"/>
    <row r="2576" customFormat="false" ht="12.75" hidden="false" customHeight="true" outlineLevel="0" collapsed="false"/>
    <row r="2577" customFormat="false" ht="12.75" hidden="false" customHeight="true" outlineLevel="0" collapsed="false"/>
    <row r="2578" customFormat="false" ht="12.75" hidden="false" customHeight="true" outlineLevel="0" collapsed="false"/>
    <row r="2579" customFormat="false" ht="12.75" hidden="false" customHeight="true" outlineLevel="0" collapsed="false"/>
    <row r="2580" customFormat="false" ht="12.75" hidden="false" customHeight="true" outlineLevel="0" collapsed="false"/>
    <row r="2581" customFormat="false" ht="12.75" hidden="false" customHeight="true" outlineLevel="0" collapsed="false"/>
    <row r="2582" customFormat="false" ht="12.75" hidden="false" customHeight="true" outlineLevel="0" collapsed="false"/>
    <row r="2583" customFormat="false" ht="12.75" hidden="false" customHeight="true" outlineLevel="0" collapsed="false"/>
    <row r="2584" customFormat="false" ht="12.75" hidden="false" customHeight="true" outlineLevel="0" collapsed="false"/>
    <row r="2585" customFormat="false" ht="12.75" hidden="false" customHeight="true" outlineLevel="0" collapsed="false"/>
    <row r="2586" customFormat="false" ht="12.75" hidden="false" customHeight="true" outlineLevel="0" collapsed="false"/>
    <row r="2587" customFormat="false" ht="12.75" hidden="false" customHeight="true" outlineLevel="0" collapsed="false"/>
    <row r="2588" customFormat="false" ht="12.75" hidden="false" customHeight="true" outlineLevel="0" collapsed="false"/>
    <row r="2589" customFormat="false" ht="12.75" hidden="false" customHeight="true" outlineLevel="0" collapsed="false"/>
    <row r="2590" customFormat="false" ht="12.75" hidden="false" customHeight="true" outlineLevel="0" collapsed="false"/>
    <row r="2591" customFormat="false" ht="12.75" hidden="false" customHeight="true" outlineLevel="0" collapsed="false"/>
    <row r="2592" customFormat="false" ht="12.75" hidden="false" customHeight="true" outlineLevel="0" collapsed="false"/>
    <row r="2593" customFormat="false" ht="12.75" hidden="false" customHeight="true" outlineLevel="0" collapsed="false"/>
    <row r="2594" customFormat="false" ht="12.75" hidden="false" customHeight="true" outlineLevel="0" collapsed="false"/>
    <row r="2595" customFormat="false" ht="12.75" hidden="false" customHeight="true" outlineLevel="0" collapsed="false"/>
    <row r="2596" customFormat="false" ht="12.75" hidden="false" customHeight="true" outlineLevel="0" collapsed="false"/>
    <row r="2597" customFormat="false" ht="12.75" hidden="false" customHeight="true" outlineLevel="0" collapsed="false"/>
    <row r="2598" customFormat="false" ht="12.75" hidden="false" customHeight="true" outlineLevel="0" collapsed="false"/>
    <row r="2599" customFormat="false" ht="12.75" hidden="false" customHeight="true" outlineLevel="0" collapsed="false"/>
    <row r="2600" customFormat="false" ht="12.75" hidden="false" customHeight="true" outlineLevel="0" collapsed="false"/>
    <row r="2601" customFormat="false" ht="12.75" hidden="false" customHeight="true" outlineLevel="0" collapsed="false"/>
    <row r="2602" customFormat="false" ht="12.75" hidden="false" customHeight="true" outlineLevel="0" collapsed="false"/>
    <row r="2603" customFormat="false" ht="12.75" hidden="false" customHeight="true" outlineLevel="0" collapsed="false"/>
    <row r="2604" customFormat="false" ht="12.75" hidden="false" customHeight="true" outlineLevel="0" collapsed="false"/>
    <row r="2605" customFormat="false" ht="12.75" hidden="false" customHeight="true" outlineLevel="0" collapsed="false"/>
    <row r="2606" customFormat="false" ht="12.75" hidden="false" customHeight="true" outlineLevel="0" collapsed="false"/>
    <row r="2607" customFormat="false" ht="12.75" hidden="false" customHeight="true" outlineLevel="0" collapsed="false"/>
    <row r="2608" customFormat="false" ht="12.75" hidden="false" customHeight="true" outlineLevel="0" collapsed="false"/>
    <row r="2609" customFormat="false" ht="12.75" hidden="false" customHeight="true" outlineLevel="0" collapsed="false"/>
    <row r="2610" customFormat="false" ht="12.75" hidden="false" customHeight="true" outlineLevel="0" collapsed="false"/>
    <row r="2611" customFormat="false" ht="12.75" hidden="false" customHeight="true" outlineLevel="0" collapsed="false"/>
    <row r="2612" customFormat="false" ht="12.75" hidden="false" customHeight="true" outlineLevel="0" collapsed="false"/>
    <row r="2613" customFormat="false" ht="12.75" hidden="false" customHeight="true" outlineLevel="0" collapsed="false"/>
    <row r="2614" customFormat="false" ht="12.75" hidden="false" customHeight="true" outlineLevel="0" collapsed="false"/>
    <row r="2615" customFormat="false" ht="12.75" hidden="false" customHeight="true" outlineLevel="0" collapsed="false"/>
    <row r="2616" customFormat="false" ht="12.75" hidden="false" customHeight="true" outlineLevel="0" collapsed="false"/>
    <row r="2617" customFormat="false" ht="12.75" hidden="false" customHeight="true" outlineLevel="0" collapsed="false"/>
    <row r="2618" customFormat="false" ht="12.75" hidden="false" customHeight="true" outlineLevel="0" collapsed="false"/>
    <row r="2619" customFormat="false" ht="12.75" hidden="false" customHeight="true" outlineLevel="0" collapsed="false"/>
    <row r="2620" customFormat="false" ht="12.75" hidden="false" customHeight="true" outlineLevel="0" collapsed="false"/>
    <row r="2621" customFormat="false" ht="12.75" hidden="false" customHeight="true" outlineLevel="0" collapsed="false"/>
    <row r="2622" customFormat="false" ht="12.75" hidden="false" customHeight="true" outlineLevel="0" collapsed="false"/>
    <row r="2623" customFormat="false" ht="12.75" hidden="false" customHeight="true" outlineLevel="0" collapsed="false"/>
    <row r="2624" customFormat="false" ht="12.75" hidden="false" customHeight="true" outlineLevel="0" collapsed="false"/>
    <row r="2625" customFormat="false" ht="12.75" hidden="false" customHeight="true" outlineLevel="0" collapsed="false"/>
    <row r="2626" customFormat="false" ht="12.75" hidden="false" customHeight="true" outlineLevel="0" collapsed="false"/>
    <row r="2627" customFormat="false" ht="12.75" hidden="false" customHeight="true" outlineLevel="0" collapsed="false"/>
    <row r="2628" customFormat="false" ht="12.75" hidden="false" customHeight="true" outlineLevel="0" collapsed="false"/>
    <row r="2629" customFormat="false" ht="12.75" hidden="false" customHeight="true" outlineLevel="0" collapsed="false"/>
    <row r="2630" customFormat="false" ht="12.75" hidden="false" customHeight="true" outlineLevel="0" collapsed="false"/>
    <row r="2631" customFormat="false" ht="12.75" hidden="false" customHeight="true" outlineLevel="0" collapsed="false"/>
    <row r="2632" customFormat="false" ht="12.75" hidden="false" customHeight="true" outlineLevel="0" collapsed="false"/>
    <row r="2633" customFormat="false" ht="12.75" hidden="false" customHeight="true" outlineLevel="0" collapsed="false"/>
    <row r="2634" customFormat="false" ht="12.75" hidden="false" customHeight="true" outlineLevel="0" collapsed="false"/>
    <row r="2635" customFormat="false" ht="12.75" hidden="false" customHeight="true" outlineLevel="0" collapsed="false"/>
    <row r="2636" customFormat="false" ht="12.75" hidden="false" customHeight="true" outlineLevel="0" collapsed="false"/>
    <row r="2637" customFormat="false" ht="12.75" hidden="false" customHeight="true" outlineLevel="0" collapsed="false"/>
    <row r="2638" customFormat="false" ht="12.75" hidden="false" customHeight="true" outlineLevel="0" collapsed="false"/>
    <row r="2639" customFormat="false" ht="12.75" hidden="false" customHeight="true" outlineLevel="0" collapsed="false"/>
    <row r="2640" customFormat="false" ht="12.75" hidden="false" customHeight="true" outlineLevel="0" collapsed="false"/>
    <row r="2641" customFormat="false" ht="12.75" hidden="false" customHeight="true" outlineLevel="0" collapsed="false"/>
    <row r="2642" customFormat="false" ht="12.75" hidden="false" customHeight="true" outlineLevel="0" collapsed="false"/>
    <row r="2643" customFormat="false" ht="12.75" hidden="false" customHeight="true" outlineLevel="0" collapsed="false"/>
    <row r="2644" customFormat="false" ht="12.75" hidden="false" customHeight="true" outlineLevel="0" collapsed="false"/>
    <row r="2645" customFormat="false" ht="12.75" hidden="false" customHeight="true" outlineLevel="0" collapsed="false"/>
    <row r="2646" customFormat="false" ht="12.75" hidden="false" customHeight="true" outlineLevel="0" collapsed="false"/>
    <row r="2647" customFormat="false" ht="12.75" hidden="false" customHeight="true" outlineLevel="0" collapsed="false"/>
    <row r="2648" customFormat="false" ht="12.75" hidden="false" customHeight="true" outlineLevel="0" collapsed="false"/>
    <row r="2649" customFormat="false" ht="12.75" hidden="false" customHeight="true" outlineLevel="0" collapsed="false"/>
    <row r="2650" customFormat="false" ht="12.75" hidden="false" customHeight="true" outlineLevel="0" collapsed="false"/>
    <row r="2651" customFormat="false" ht="12.75" hidden="false" customHeight="true" outlineLevel="0" collapsed="false"/>
    <row r="2652" customFormat="false" ht="12.75" hidden="false" customHeight="true" outlineLevel="0" collapsed="false"/>
    <row r="2653" customFormat="false" ht="12.75" hidden="false" customHeight="true" outlineLevel="0" collapsed="false"/>
    <row r="2654" customFormat="false" ht="12.75" hidden="false" customHeight="true" outlineLevel="0" collapsed="false"/>
    <row r="2655" customFormat="false" ht="12.75" hidden="false" customHeight="true" outlineLevel="0" collapsed="false"/>
    <row r="2656" customFormat="false" ht="12.75" hidden="false" customHeight="true" outlineLevel="0" collapsed="false"/>
    <row r="2657" customFormat="false" ht="12.75" hidden="false" customHeight="true" outlineLevel="0" collapsed="false"/>
    <row r="2658" customFormat="false" ht="12.75" hidden="false" customHeight="true" outlineLevel="0" collapsed="false"/>
    <row r="2659" customFormat="false" ht="12.75" hidden="false" customHeight="true" outlineLevel="0" collapsed="false"/>
    <row r="2660" customFormat="false" ht="12.75" hidden="false" customHeight="true" outlineLevel="0" collapsed="false"/>
    <row r="2661" customFormat="false" ht="12.75" hidden="false" customHeight="true" outlineLevel="0" collapsed="false"/>
    <row r="2662" customFormat="false" ht="12.75" hidden="false" customHeight="true" outlineLevel="0" collapsed="false"/>
    <row r="2663" customFormat="false" ht="12.75" hidden="false" customHeight="true" outlineLevel="0" collapsed="false"/>
    <row r="2664" customFormat="false" ht="12.75" hidden="false" customHeight="true" outlineLevel="0" collapsed="false"/>
    <row r="2665" customFormat="false" ht="12.75" hidden="false" customHeight="true" outlineLevel="0" collapsed="false"/>
    <row r="2666" customFormat="false" ht="12.75" hidden="false" customHeight="true" outlineLevel="0" collapsed="false"/>
    <row r="2667" customFormat="false" ht="12.75" hidden="false" customHeight="true" outlineLevel="0" collapsed="false"/>
    <row r="2668" customFormat="false" ht="12.75" hidden="false" customHeight="true" outlineLevel="0" collapsed="false"/>
    <row r="2669" customFormat="false" ht="12.75" hidden="false" customHeight="true" outlineLevel="0" collapsed="false"/>
    <row r="2670" customFormat="false" ht="12.75" hidden="false" customHeight="true" outlineLevel="0" collapsed="false"/>
    <row r="2671" customFormat="false" ht="12.75" hidden="false" customHeight="true" outlineLevel="0" collapsed="false"/>
    <row r="2672" customFormat="false" ht="12.75" hidden="false" customHeight="true" outlineLevel="0" collapsed="false"/>
    <row r="2673" customFormat="false" ht="12.75" hidden="false" customHeight="true" outlineLevel="0" collapsed="false"/>
    <row r="2674" customFormat="false" ht="12.75" hidden="false" customHeight="true" outlineLevel="0" collapsed="false"/>
    <row r="2675" customFormat="false" ht="12.75" hidden="false" customHeight="true" outlineLevel="0" collapsed="false"/>
    <row r="2676" customFormat="false" ht="12.75" hidden="false" customHeight="true" outlineLevel="0" collapsed="false"/>
    <row r="2677" customFormat="false" ht="12.75" hidden="false" customHeight="true" outlineLevel="0" collapsed="false"/>
    <row r="2678" customFormat="false" ht="12.75" hidden="false" customHeight="true" outlineLevel="0" collapsed="false"/>
    <row r="2679" customFormat="false" ht="12.75" hidden="false" customHeight="true" outlineLevel="0" collapsed="false"/>
    <row r="2680" customFormat="false" ht="12.75" hidden="false" customHeight="true" outlineLevel="0" collapsed="false"/>
    <row r="2681" customFormat="false" ht="12.75" hidden="false" customHeight="true" outlineLevel="0" collapsed="false"/>
    <row r="2682" customFormat="false" ht="12.75" hidden="false" customHeight="true" outlineLevel="0" collapsed="false"/>
    <row r="2683" customFormat="false" ht="12.75" hidden="false" customHeight="true" outlineLevel="0" collapsed="false"/>
    <row r="2684" customFormat="false" ht="12.75" hidden="false" customHeight="true" outlineLevel="0" collapsed="false"/>
    <row r="2685" customFormat="false" ht="12.75" hidden="false" customHeight="true" outlineLevel="0" collapsed="false"/>
    <row r="2686" customFormat="false" ht="12.75" hidden="false" customHeight="true" outlineLevel="0" collapsed="false"/>
    <row r="2687" customFormat="false" ht="12.75" hidden="false" customHeight="true" outlineLevel="0" collapsed="false"/>
    <row r="2688" customFormat="false" ht="12.75" hidden="false" customHeight="true" outlineLevel="0" collapsed="false"/>
    <row r="2689" customFormat="false" ht="12.75" hidden="false" customHeight="true" outlineLevel="0" collapsed="false"/>
    <row r="2690" customFormat="false" ht="12.75" hidden="false" customHeight="true" outlineLevel="0" collapsed="false"/>
    <row r="2691" customFormat="false" ht="12.75" hidden="false" customHeight="true" outlineLevel="0" collapsed="false"/>
    <row r="2692" customFormat="false" ht="12.75" hidden="false" customHeight="true" outlineLevel="0" collapsed="false"/>
    <row r="2693" customFormat="false" ht="12.75" hidden="false" customHeight="true" outlineLevel="0" collapsed="false"/>
    <row r="2694" customFormat="false" ht="12.75" hidden="false" customHeight="true" outlineLevel="0" collapsed="false"/>
    <row r="2695" customFormat="false" ht="12.75" hidden="false" customHeight="true" outlineLevel="0" collapsed="false"/>
    <row r="2696" customFormat="false" ht="12.75" hidden="false" customHeight="true" outlineLevel="0" collapsed="false"/>
    <row r="2697" customFormat="false" ht="12.75" hidden="false" customHeight="true" outlineLevel="0" collapsed="false"/>
    <row r="2698" customFormat="false" ht="12.75" hidden="false" customHeight="true" outlineLevel="0" collapsed="false"/>
    <row r="2699" customFormat="false" ht="12.75" hidden="false" customHeight="true" outlineLevel="0" collapsed="false"/>
    <row r="2700" customFormat="false" ht="12.75" hidden="false" customHeight="true" outlineLevel="0" collapsed="false"/>
    <row r="2701" customFormat="false" ht="12.75" hidden="false" customHeight="true" outlineLevel="0" collapsed="false"/>
    <row r="2702" customFormat="false" ht="12.75" hidden="false" customHeight="true" outlineLevel="0" collapsed="false"/>
    <row r="2703" customFormat="false" ht="12.75" hidden="false" customHeight="true" outlineLevel="0" collapsed="false"/>
    <row r="2704" customFormat="false" ht="12.75" hidden="false" customHeight="true" outlineLevel="0" collapsed="false"/>
    <row r="2705" customFormat="false" ht="12.75" hidden="false" customHeight="true" outlineLevel="0" collapsed="false"/>
    <row r="2706" customFormat="false" ht="12.75" hidden="false" customHeight="true" outlineLevel="0" collapsed="false"/>
    <row r="2707" customFormat="false" ht="12.75" hidden="false" customHeight="true" outlineLevel="0" collapsed="false"/>
    <row r="2708" customFormat="false" ht="12.75" hidden="false" customHeight="true" outlineLevel="0" collapsed="false"/>
    <row r="2709" customFormat="false" ht="12.75" hidden="false" customHeight="true" outlineLevel="0" collapsed="false"/>
    <row r="2710" customFormat="false" ht="12.75" hidden="false" customHeight="true" outlineLevel="0" collapsed="false"/>
    <row r="2711" customFormat="false" ht="12.75" hidden="false" customHeight="true" outlineLevel="0" collapsed="false"/>
    <row r="2712" customFormat="false" ht="12.75" hidden="false" customHeight="true" outlineLevel="0" collapsed="false"/>
    <row r="2713" customFormat="false" ht="12.75" hidden="false" customHeight="true" outlineLevel="0" collapsed="false"/>
    <row r="2714" customFormat="false" ht="12.75" hidden="false" customHeight="true" outlineLevel="0" collapsed="false"/>
    <row r="2715" customFormat="false" ht="12.75" hidden="false" customHeight="true" outlineLevel="0" collapsed="false"/>
    <row r="2716" customFormat="false" ht="12.75" hidden="false" customHeight="true" outlineLevel="0" collapsed="false"/>
    <row r="2717" customFormat="false" ht="12.75" hidden="false" customHeight="true" outlineLevel="0" collapsed="false"/>
    <row r="2718" customFormat="false" ht="12.75" hidden="false" customHeight="true" outlineLevel="0" collapsed="false"/>
    <row r="2719" customFormat="false" ht="12.75" hidden="false" customHeight="true" outlineLevel="0" collapsed="false"/>
    <row r="2720" customFormat="false" ht="12.75" hidden="false" customHeight="true" outlineLevel="0" collapsed="false"/>
    <row r="2721" customFormat="false" ht="12.75" hidden="false" customHeight="true" outlineLevel="0" collapsed="false"/>
    <row r="2722" customFormat="false" ht="12.75" hidden="false" customHeight="true" outlineLevel="0" collapsed="false"/>
    <row r="2723" customFormat="false" ht="12.75" hidden="false" customHeight="true" outlineLevel="0" collapsed="false"/>
    <row r="2724" customFormat="false" ht="12.75" hidden="false" customHeight="true" outlineLevel="0" collapsed="false"/>
    <row r="2725" customFormat="false" ht="12.75" hidden="false" customHeight="true" outlineLevel="0" collapsed="false"/>
    <row r="2726" customFormat="false" ht="12.75" hidden="false" customHeight="true" outlineLevel="0" collapsed="false"/>
    <row r="2727" customFormat="false" ht="12.75" hidden="false" customHeight="true" outlineLevel="0" collapsed="false"/>
    <row r="2728" customFormat="false" ht="12.75" hidden="false" customHeight="true" outlineLevel="0" collapsed="false"/>
    <row r="2729" customFormat="false" ht="12.75" hidden="false" customHeight="true" outlineLevel="0" collapsed="false"/>
    <row r="2730" customFormat="false" ht="12.75" hidden="false" customHeight="true" outlineLevel="0" collapsed="false"/>
    <row r="2731" customFormat="false" ht="12.75" hidden="false" customHeight="true" outlineLevel="0" collapsed="false"/>
    <row r="2732" customFormat="false" ht="12.75" hidden="false" customHeight="true" outlineLevel="0" collapsed="false"/>
    <row r="2733" customFormat="false" ht="12.75" hidden="false" customHeight="true" outlineLevel="0" collapsed="false"/>
    <row r="2734" customFormat="false" ht="12.75" hidden="false" customHeight="true" outlineLevel="0" collapsed="false"/>
    <row r="2735" customFormat="false" ht="12.75" hidden="false" customHeight="true" outlineLevel="0" collapsed="false"/>
    <row r="2736" customFormat="false" ht="12.75" hidden="false" customHeight="true" outlineLevel="0" collapsed="false"/>
    <row r="2737" customFormat="false" ht="12.75" hidden="false" customHeight="true" outlineLevel="0" collapsed="false"/>
    <row r="2738" customFormat="false" ht="12.75" hidden="false" customHeight="true" outlineLevel="0" collapsed="false"/>
    <row r="2739" customFormat="false" ht="12.75" hidden="false" customHeight="true" outlineLevel="0" collapsed="false"/>
    <row r="2740" customFormat="false" ht="12.75" hidden="false" customHeight="true" outlineLevel="0" collapsed="false"/>
    <row r="2741" customFormat="false" ht="12.75" hidden="false" customHeight="true" outlineLevel="0" collapsed="false"/>
    <row r="2742" customFormat="false" ht="12.75" hidden="false" customHeight="true" outlineLevel="0" collapsed="false"/>
    <row r="2743" customFormat="false" ht="12.75" hidden="false" customHeight="true" outlineLevel="0" collapsed="false"/>
    <row r="2744" customFormat="false" ht="12.75" hidden="false" customHeight="true" outlineLevel="0" collapsed="false"/>
    <row r="2745" customFormat="false" ht="12.75" hidden="false" customHeight="true" outlineLevel="0" collapsed="false"/>
    <row r="2746" customFormat="false" ht="12.75" hidden="false" customHeight="true" outlineLevel="0" collapsed="false"/>
    <row r="2747" customFormat="false" ht="12.75" hidden="false" customHeight="true" outlineLevel="0" collapsed="false"/>
    <row r="2748" customFormat="false" ht="12.75" hidden="false" customHeight="true" outlineLevel="0" collapsed="false"/>
    <row r="2749" customFormat="false" ht="12.75" hidden="false" customHeight="true" outlineLevel="0" collapsed="false"/>
    <row r="2750" customFormat="false" ht="12.75" hidden="false" customHeight="true" outlineLevel="0" collapsed="false"/>
    <row r="2751" customFormat="false" ht="12.75" hidden="false" customHeight="true" outlineLevel="0" collapsed="false"/>
    <row r="2752" customFormat="false" ht="12.75" hidden="false" customHeight="true" outlineLevel="0" collapsed="false"/>
    <row r="2753" customFormat="false" ht="12.75" hidden="false" customHeight="true" outlineLevel="0" collapsed="false"/>
    <row r="2754" customFormat="false" ht="12.75" hidden="false" customHeight="true" outlineLevel="0" collapsed="false"/>
    <row r="2755" customFormat="false" ht="12.75" hidden="false" customHeight="true" outlineLevel="0" collapsed="false"/>
    <row r="2756" customFormat="false" ht="12.75" hidden="false" customHeight="true" outlineLevel="0" collapsed="false"/>
    <row r="2757" customFormat="false" ht="12.75" hidden="false" customHeight="true" outlineLevel="0" collapsed="false"/>
    <row r="2758" customFormat="false" ht="12.75" hidden="false" customHeight="true" outlineLevel="0" collapsed="false"/>
    <row r="2759" customFormat="false" ht="12.75" hidden="false" customHeight="true" outlineLevel="0" collapsed="false"/>
    <row r="2760" customFormat="false" ht="12.75" hidden="false" customHeight="true" outlineLevel="0" collapsed="false"/>
    <row r="2761" customFormat="false" ht="12.75" hidden="false" customHeight="true" outlineLevel="0" collapsed="false"/>
    <row r="2762" customFormat="false" ht="12.75" hidden="false" customHeight="true" outlineLevel="0" collapsed="false"/>
    <row r="2763" customFormat="false" ht="12.75" hidden="false" customHeight="true" outlineLevel="0" collapsed="false"/>
    <row r="2764" customFormat="false" ht="12.75" hidden="false" customHeight="true" outlineLevel="0" collapsed="false"/>
    <row r="2765" customFormat="false" ht="12.75" hidden="false" customHeight="true" outlineLevel="0" collapsed="false"/>
    <row r="2766" customFormat="false" ht="12.75" hidden="false" customHeight="true" outlineLevel="0" collapsed="false"/>
    <row r="2767" customFormat="false" ht="12.75" hidden="false" customHeight="true" outlineLevel="0" collapsed="false"/>
    <row r="2768" customFormat="false" ht="12.75" hidden="false" customHeight="true" outlineLevel="0" collapsed="false"/>
    <row r="2769" customFormat="false" ht="12.75" hidden="false" customHeight="true" outlineLevel="0" collapsed="false"/>
    <row r="2770" customFormat="false" ht="12.75" hidden="false" customHeight="true" outlineLevel="0" collapsed="false"/>
    <row r="2771" customFormat="false" ht="12.75" hidden="false" customHeight="true" outlineLevel="0" collapsed="false"/>
    <row r="2772" customFormat="false" ht="12.75" hidden="false" customHeight="true" outlineLevel="0" collapsed="false"/>
    <row r="2773" customFormat="false" ht="12.75" hidden="false" customHeight="true" outlineLevel="0" collapsed="false"/>
    <row r="2774" customFormat="false" ht="12.75" hidden="false" customHeight="true" outlineLevel="0" collapsed="false"/>
    <row r="2775" customFormat="false" ht="12.75" hidden="false" customHeight="true" outlineLevel="0" collapsed="false"/>
    <row r="2776" customFormat="false" ht="12.75" hidden="false" customHeight="true" outlineLevel="0" collapsed="false"/>
    <row r="2777" customFormat="false" ht="12.75" hidden="false" customHeight="true" outlineLevel="0" collapsed="false"/>
    <row r="2778" customFormat="false" ht="12.75" hidden="false" customHeight="true" outlineLevel="0" collapsed="false"/>
    <row r="2779" customFormat="false" ht="12.75" hidden="false" customHeight="true" outlineLevel="0" collapsed="false"/>
    <row r="2780" customFormat="false" ht="12.75" hidden="false" customHeight="true" outlineLevel="0" collapsed="false"/>
    <row r="2781" customFormat="false" ht="12.75" hidden="false" customHeight="true" outlineLevel="0" collapsed="false"/>
    <row r="2782" customFormat="false" ht="12.75" hidden="false" customHeight="true" outlineLevel="0" collapsed="false"/>
    <row r="2783" customFormat="false" ht="12.75" hidden="false" customHeight="true" outlineLevel="0" collapsed="false"/>
    <row r="2784" customFormat="false" ht="12.75" hidden="false" customHeight="true" outlineLevel="0" collapsed="false"/>
    <row r="2785" customFormat="false" ht="12.75" hidden="false" customHeight="true" outlineLevel="0" collapsed="false"/>
    <row r="2786" customFormat="false" ht="12.75" hidden="false" customHeight="true" outlineLevel="0" collapsed="false"/>
    <row r="2787" customFormat="false" ht="12.75" hidden="false" customHeight="true" outlineLevel="0" collapsed="false"/>
    <row r="2788" customFormat="false" ht="12.75" hidden="false" customHeight="true" outlineLevel="0" collapsed="false"/>
    <row r="2789" customFormat="false" ht="12.75" hidden="false" customHeight="true" outlineLevel="0" collapsed="false"/>
    <row r="2790" customFormat="false" ht="12.75" hidden="false" customHeight="true" outlineLevel="0" collapsed="false"/>
    <row r="2791" customFormat="false" ht="12.75" hidden="false" customHeight="true" outlineLevel="0" collapsed="false"/>
    <row r="2792" customFormat="false" ht="12.75" hidden="false" customHeight="true" outlineLevel="0" collapsed="false"/>
    <row r="2793" customFormat="false" ht="12.75" hidden="false" customHeight="true" outlineLevel="0" collapsed="false"/>
    <row r="2794" customFormat="false" ht="12.75" hidden="false" customHeight="true" outlineLevel="0" collapsed="false"/>
    <row r="2795" customFormat="false" ht="12.75" hidden="false" customHeight="true" outlineLevel="0" collapsed="false"/>
    <row r="2796" customFormat="false" ht="12.75" hidden="false" customHeight="true" outlineLevel="0" collapsed="false"/>
    <row r="2797" customFormat="false" ht="12.75" hidden="false" customHeight="true" outlineLevel="0" collapsed="false"/>
    <row r="2798" customFormat="false" ht="12.75" hidden="false" customHeight="true" outlineLevel="0" collapsed="false"/>
    <row r="2799" customFormat="false" ht="12.75" hidden="false" customHeight="true" outlineLevel="0" collapsed="false"/>
    <row r="2800" customFormat="false" ht="12.75" hidden="false" customHeight="true" outlineLevel="0" collapsed="false"/>
    <row r="2801" customFormat="false" ht="12.75" hidden="false" customHeight="true" outlineLevel="0" collapsed="false"/>
    <row r="2802" customFormat="false" ht="12.75" hidden="false" customHeight="true" outlineLevel="0" collapsed="false"/>
    <row r="2803" customFormat="false" ht="12.75" hidden="false" customHeight="true" outlineLevel="0" collapsed="false"/>
    <row r="2804" customFormat="false" ht="12.75" hidden="false" customHeight="true" outlineLevel="0" collapsed="false"/>
    <row r="2805" customFormat="false" ht="12.75" hidden="false" customHeight="true" outlineLevel="0" collapsed="false"/>
    <row r="2806" customFormat="false" ht="12.75" hidden="false" customHeight="true" outlineLevel="0" collapsed="false"/>
    <row r="2807" customFormat="false" ht="12.75" hidden="false" customHeight="true" outlineLevel="0" collapsed="false"/>
    <row r="2808" customFormat="false" ht="12.75" hidden="false" customHeight="true" outlineLevel="0" collapsed="false"/>
    <row r="2809" customFormat="false" ht="12.75" hidden="false" customHeight="true" outlineLevel="0" collapsed="false"/>
    <row r="2810" customFormat="false" ht="12.75" hidden="false" customHeight="true" outlineLevel="0" collapsed="false"/>
    <row r="2811" customFormat="false" ht="12.75" hidden="false" customHeight="true" outlineLevel="0" collapsed="false"/>
    <row r="2812" customFormat="false" ht="12.75" hidden="false" customHeight="true" outlineLevel="0" collapsed="false"/>
    <row r="2813" customFormat="false" ht="12.75" hidden="false" customHeight="true" outlineLevel="0" collapsed="false"/>
    <row r="2814" customFormat="false" ht="12.75" hidden="false" customHeight="true" outlineLevel="0" collapsed="false"/>
    <row r="2815" customFormat="false" ht="12.75" hidden="false" customHeight="true" outlineLevel="0" collapsed="false"/>
    <row r="2816" customFormat="false" ht="12.75" hidden="false" customHeight="true" outlineLevel="0" collapsed="false"/>
    <row r="2817" customFormat="false" ht="12.75" hidden="false" customHeight="true" outlineLevel="0" collapsed="false"/>
    <row r="2818" customFormat="false" ht="12.75" hidden="false" customHeight="true" outlineLevel="0" collapsed="false"/>
    <row r="2819" customFormat="false" ht="12.75" hidden="false" customHeight="true" outlineLevel="0" collapsed="false"/>
    <row r="2820" customFormat="false" ht="12.75" hidden="false" customHeight="true" outlineLevel="0" collapsed="false"/>
    <row r="2821" customFormat="false" ht="12.75" hidden="false" customHeight="true" outlineLevel="0" collapsed="false"/>
    <row r="2822" customFormat="false" ht="12.75" hidden="false" customHeight="true" outlineLevel="0" collapsed="false"/>
    <row r="2823" customFormat="false" ht="12.75" hidden="false" customHeight="true" outlineLevel="0" collapsed="false"/>
    <row r="2824" customFormat="false" ht="12.75" hidden="false" customHeight="true" outlineLevel="0" collapsed="false"/>
    <row r="2825" customFormat="false" ht="12.75" hidden="false" customHeight="true" outlineLevel="0" collapsed="false"/>
    <row r="2826" customFormat="false" ht="12.75" hidden="false" customHeight="true" outlineLevel="0" collapsed="false"/>
    <row r="2827" customFormat="false" ht="12.75" hidden="false" customHeight="true" outlineLevel="0" collapsed="false"/>
    <row r="2828" customFormat="false" ht="12.75" hidden="false" customHeight="true" outlineLevel="0" collapsed="false"/>
    <row r="2829" customFormat="false" ht="12.75" hidden="false" customHeight="true" outlineLevel="0" collapsed="false"/>
    <row r="2830" customFormat="false" ht="12.75" hidden="false" customHeight="true" outlineLevel="0" collapsed="false"/>
    <row r="2831" customFormat="false" ht="12.75" hidden="false" customHeight="true" outlineLevel="0" collapsed="false"/>
    <row r="2832" customFormat="false" ht="12.75" hidden="false" customHeight="true" outlineLevel="0" collapsed="false"/>
    <row r="2833" customFormat="false" ht="12.75" hidden="false" customHeight="true" outlineLevel="0" collapsed="false"/>
    <row r="2834" customFormat="false" ht="12.75" hidden="false" customHeight="true" outlineLevel="0" collapsed="false"/>
    <row r="2835" customFormat="false" ht="12.75" hidden="false" customHeight="true" outlineLevel="0" collapsed="false"/>
    <row r="2836" customFormat="false" ht="12.75" hidden="false" customHeight="true" outlineLevel="0" collapsed="false"/>
    <row r="2837" customFormat="false" ht="12.75" hidden="false" customHeight="true" outlineLevel="0" collapsed="false"/>
    <row r="2838" customFormat="false" ht="12.75" hidden="false" customHeight="true" outlineLevel="0" collapsed="false"/>
    <row r="2839" customFormat="false" ht="12.75" hidden="false" customHeight="true" outlineLevel="0" collapsed="false"/>
    <row r="2840" customFormat="false" ht="12.75" hidden="false" customHeight="true" outlineLevel="0" collapsed="false"/>
    <row r="2841" customFormat="false" ht="12.75" hidden="false" customHeight="true" outlineLevel="0" collapsed="false"/>
    <row r="2842" customFormat="false" ht="12.75" hidden="false" customHeight="true" outlineLevel="0" collapsed="false"/>
    <row r="2843" customFormat="false" ht="12.75" hidden="false" customHeight="true" outlineLevel="0" collapsed="false"/>
    <row r="2844" customFormat="false" ht="12.75" hidden="false" customHeight="true" outlineLevel="0" collapsed="false"/>
    <row r="2845" customFormat="false" ht="12.75" hidden="false" customHeight="true" outlineLevel="0" collapsed="false"/>
    <row r="2846" customFormat="false" ht="12.75" hidden="false" customHeight="true" outlineLevel="0" collapsed="false"/>
    <row r="2847" customFormat="false" ht="12.75" hidden="false" customHeight="true" outlineLevel="0" collapsed="false"/>
    <row r="2848" customFormat="false" ht="12.75" hidden="false" customHeight="true" outlineLevel="0" collapsed="false"/>
    <row r="2849" customFormat="false" ht="12.75" hidden="false" customHeight="true" outlineLevel="0" collapsed="false"/>
    <row r="2850" customFormat="false" ht="12.75" hidden="false" customHeight="true" outlineLevel="0" collapsed="false"/>
    <row r="2851" customFormat="false" ht="12.75" hidden="false" customHeight="true" outlineLevel="0" collapsed="false"/>
    <row r="2852" customFormat="false" ht="12.75" hidden="false" customHeight="true" outlineLevel="0" collapsed="false"/>
    <row r="2853" customFormat="false" ht="12.75" hidden="false" customHeight="true" outlineLevel="0" collapsed="false"/>
    <row r="2854" customFormat="false" ht="12.75" hidden="false" customHeight="true" outlineLevel="0" collapsed="false"/>
    <row r="2855" customFormat="false" ht="12.75" hidden="false" customHeight="true" outlineLevel="0" collapsed="false"/>
    <row r="2856" customFormat="false" ht="12.75" hidden="false" customHeight="true" outlineLevel="0" collapsed="false"/>
    <row r="2857" customFormat="false" ht="12.75" hidden="false" customHeight="true" outlineLevel="0" collapsed="false"/>
    <row r="2858" customFormat="false" ht="12.75" hidden="false" customHeight="true" outlineLevel="0" collapsed="false"/>
    <row r="2859" customFormat="false" ht="12.75" hidden="false" customHeight="true" outlineLevel="0" collapsed="false"/>
    <row r="2860" customFormat="false" ht="12.75" hidden="false" customHeight="true" outlineLevel="0" collapsed="false"/>
    <row r="2861" customFormat="false" ht="12.75" hidden="false" customHeight="true" outlineLevel="0" collapsed="false"/>
    <row r="2862" customFormat="false" ht="12.75" hidden="false" customHeight="true" outlineLevel="0" collapsed="false"/>
    <row r="2863" customFormat="false" ht="12.75" hidden="false" customHeight="true" outlineLevel="0" collapsed="false"/>
    <row r="2864" customFormat="false" ht="12.75" hidden="false" customHeight="true" outlineLevel="0" collapsed="false"/>
    <row r="2865" customFormat="false" ht="12.75" hidden="false" customHeight="true" outlineLevel="0" collapsed="false"/>
    <row r="2866" customFormat="false" ht="12.75" hidden="false" customHeight="true" outlineLevel="0" collapsed="false"/>
    <row r="2867" customFormat="false" ht="12.75" hidden="false" customHeight="true" outlineLevel="0" collapsed="false"/>
    <row r="2868" customFormat="false" ht="12.75" hidden="false" customHeight="true" outlineLevel="0" collapsed="false"/>
    <row r="2869" customFormat="false" ht="12.75" hidden="false" customHeight="true" outlineLevel="0" collapsed="false"/>
    <row r="2870" customFormat="false" ht="12.75" hidden="false" customHeight="true" outlineLevel="0" collapsed="false"/>
    <row r="2871" customFormat="false" ht="12.75" hidden="false" customHeight="true" outlineLevel="0" collapsed="false"/>
    <row r="2872" customFormat="false" ht="12.75" hidden="false" customHeight="true" outlineLevel="0" collapsed="false"/>
    <row r="2873" customFormat="false" ht="12.75" hidden="false" customHeight="true" outlineLevel="0" collapsed="false"/>
    <row r="2874" customFormat="false" ht="12.75" hidden="false" customHeight="true" outlineLevel="0" collapsed="false"/>
    <row r="2875" customFormat="false" ht="12.75" hidden="false" customHeight="true" outlineLevel="0" collapsed="false"/>
    <row r="2876" customFormat="false" ht="12.75" hidden="false" customHeight="true" outlineLevel="0" collapsed="false"/>
    <row r="2877" customFormat="false" ht="12.75" hidden="false" customHeight="true" outlineLevel="0" collapsed="false"/>
    <row r="2878" customFormat="false" ht="12.75" hidden="false" customHeight="true" outlineLevel="0" collapsed="false"/>
    <row r="2879" customFormat="false" ht="12.75" hidden="false" customHeight="true" outlineLevel="0" collapsed="false"/>
    <row r="2880" customFormat="false" ht="12.75" hidden="false" customHeight="true" outlineLevel="0" collapsed="false"/>
    <row r="2881" customFormat="false" ht="12.75" hidden="false" customHeight="true" outlineLevel="0" collapsed="false"/>
    <row r="2882" customFormat="false" ht="12.75" hidden="false" customHeight="true" outlineLevel="0" collapsed="false"/>
    <row r="2883" customFormat="false" ht="12.75" hidden="false" customHeight="true" outlineLevel="0" collapsed="false"/>
    <row r="2884" customFormat="false" ht="12.75" hidden="false" customHeight="true" outlineLevel="0" collapsed="false"/>
    <row r="2885" customFormat="false" ht="12.75" hidden="false" customHeight="true" outlineLevel="0" collapsed="false"/>
    <row r="2886" customFormat="false" ht="12.75" hidden="false" customHeight="true" outlineLevel="0" collapsed="false"/>
    <row r="2887" customFormat="false" ht="12.75" hidden="false" customHeight="true" outlineLevel="0" collapsed="false"/>
    <row r="2888" customFormat="false" ht="12.75" hidden="false" customHeight="true" outlineLevel="0" collapsed="false"/>
    <row r="2889" customFormat="false" ht="12.75" hidden="false" customHeight="true" outlineLevel="0" collapsed="false"/>
    <row r="2890" customFormat="false" ht="12.75" hidden="false" customHeight="true" outlineLevel="0" collapsed="false"/>
    <row r="2891" customFormat="false" ht="12.75" hidden="false" customHeight="true" outlineLevel="0" collapsed="false"/>
    <row r="2892" customFormat="false" ht="12.75" hidden="false" customHeight="true" outlineLevel="0" collapsed="false"/>
    <row r="2893" customFormat="false" ht="12.75" hidden="false" customHeight="true" outlineLevel="0" collapsed="false"/>
    <row r="2894" customFormat="false" ht="12.75" hidden="false" customHeight="true" outlineLevel="0" collapsed="false"/>
    <row r="2895" customFormat="false" ht="12.75" hidden="false" customHeight="true" outlineLevel="0" collapsed="false"/>
    <row r="2896" customFormat="false" ht="12.75" hidden="false" customHeight="true" outlineLevel="0" collapsed="false"/>
    <row r="2897" customFormat="false" ht="12.75" hidden="false" customHeight="true" outlineLevel="0" collapsed="false"/>
    <row r="2898" customFormat="false" ht="12.75" hidden="false" customHeight="true" outlineLevel="0" collapsed="false"/>
    <row r="2899" customFormat="false" ht="12.75" hidden="false" customHeight="true" outlineLevel="0" collapsed="false"/>
    <row r="2900" customFormat="false" ht="12.75" hidden="false" customHeight="true" outlineLevel="0" collapsed="false"/>
    <row r="2901" customFormat="false" ht="12.75" hidden="false" customHeight="true" outlineLevel="0" collapsed="false"/>
    <row r="2902" customFormat="false" ht="12.75" hidden="false" customHeight="true" outlineLevel="0" collapsed="false"/>
    <row r="2903" customFormat="false" ht="12.75" hidden="false" customHeight="true" outlineLevel="0" collapsed="false"/>
    <row r="2904" customFormat="false" ht="12.75" hidden="false" customHeight="true" outlineLevel="0" collapsed="false"/>
    <row r="2905" customFormat="false" ht="12.75" hidden="false" customHeight="true" outlineLevel="0" collapsed="false"/>
    <row r="2906" customFormat="false" ht="12.75" hidden="false" customHeight="true" outlineLevel="0" collapsed="false"/>
    <row r="2907" customFormat="false" ht="12.75" hidden="false" customHeight="true" outlineLevel="0" collapsed="false"/>
    <row r="2908" customFormat="false" ht="12.75" hidden="false" customHeight="true" outlineLevel="0" collapsed="false"/>
    <row r="2909" customFormat="false" ht="12.75" hidden="false" customHeight="true" outlineLevel="0" collapsed="false"/>
    <row r="2910" customFormat="false" ht="12.75" hidden="false" customHeight="true" outlineLevel="0" collapsed="false"/>
    <row r="2911" customFormat="false" ht="12.75" hidden="false" customHeight="true" outlineLevel="0" collapsed="false"/>
    <row r="2912" customFormat="false" ht="12.75" hidden="false" customHeight="true" outlineLevel="0" collapsed="false"/>
    <row r="2913" customFormat="false" ht="12.75" hidden="false" customHeight="true" outlineLevel="0" collapsed="false"/>
    <row r="2914" customFormat="false" ht="12.75" hidden="false" customHeight="true" outlineLevel="0" collapsed="false"/>
    <row r="2915" customFormat="false" ht="12.75" hidden="false" customHeight="true" outlineLevel="0" collapsed="false"/>
    <row r="2916" customFormat="false" ht="12.75" hidden="false" customHeight="true" outlineLevel="0" collapsed="false"/>
    <row r="2917" customFormat="false" ht="12.75" hidden="false" customHeight="true" outlineLevel="0" collapsed="false"/>
    <row r="2918" customFormat="false" ht="12.75" hidden="false" customHeight="true" outlineLevel="0" collapsed="false"/>
    <row r="2919" customFormat="false" ht="12.75" hidden="false" customHeight="true" outlineLevel="0" collapsed="false"/>
    <row r="2920" customFormat="false" ht="12.75" hidden="false" customHeight="true" outlineLevel="0" collapsed="false"/>
    <row r="2921" customFormat="false" ht="12.75" hidden="false" customHeight="true" outlineLevel="0" collapsed="false"/>
    <row r="2922" customFormat="false" ht="12.75" hidden="false" customHeight="true" outlineLevel="0" collapsed="false"/>
    <row r="2923" customFormat="false" ht="12.75" hidden="false" customHeight="true" outlineLevel="0" collapsed="false"/>
    <row r="2924" customFormat="false" ht="12.75" hidden="false" customHeight="true" outlineLevel="0" collapsed="false"/>
    <row r="2925" customFormat="false" ht="12.75" hidden="false" customHeight="true" outlineLevel="0" collapsed="false"/>
    <row r="2926" customFormat="false" ht="12.75" hidden="false" customHeight="true" outlineLevel="0" collapsed="false"/>
    <row r="2927" customFormat="false" ht="12.75" hidden="false" customHeight="true" outlineLevel="0" collapsed="false"/>
    <row r="2928" customFormat="false" ht="12.75" hidden="false" customHeight="true" outlineLevel="0" collapsed="false"/>
    <row r="2929" customFormat="false" ht="12.75" hidden="false" customHeight="true" outlineLevel="0" collapsed="false"/>
    <row r="2930" customFormat="false" ht="12.75" hidden="false" customHeight="true" outlineLevel="0" collapsed="false"/>
    <row r="2931" customFormat="false" ht="12.75" hidden="false" customHeight="true" outlineLevel="0" collapsed="false"/>
    <row r="2932" customFormat="false" ht="12.75" hidden="false" customHeight="true" outlineLevel="0" collapsed="false"/>
    <row r="2933" customFormat="false" ht="12.75" hidden="false" customHeight="true" outlineLevel="0" collapsed="false"/>
    <row r="2934" customFormat="false" ht="12.75" hidden="false" customHeight="true" outlineLevel="0" collapsed="false"/>
    <row r="2935" customFormat="false" ht="12.75" hidden="false" customHeight="true" outlineLevel="0" collapsed="false"/>
    <row r="2936" customFormat="false" ht="12.75" hidden="false" customHeight="true" outlineLevel="0" collapsed="false"/>
    <row r="2937" customFormat="false" ht="12.75" hidden="false" customHeight="true" outlineLevel="0" collapsed="false"/>
    <row r="2938" customFormat="false" ht="12.75" hidden="false" customHeight="true" outlineLevel="0" collapsed="false"/>
    <row r="2939" customFormat="false" ht="12.75" hidden="false" customHeight="true" outlineLevel="0" collapsed="false"/>
    <row r="2940" customFormat="false" ht="12.75" hidden="false" customHeight="true" outlineLevel="0" collapsed="false"/>
    <row r="2941" customFormat="false" ht="12.75" hidden="false" customHeight="true" outlineLevel="0" collapsed="false"/>
    <row r="2942" customFormat="false" ht="12.75" hidden="false" customHeight="true" outlineLevel="0" collapsed="false"/>
    <row r="2943" customFormat="false" ht="12.75" hidden="false" customHeight="true" outlineLevel="0" collapsed="false"/>
    <row r="2944" customFormat="false" ht="12.75" hidden="false" customHeight="true" outlineLevel="0" collapsed="false"/>
    <row r="2945" customFormat="false" ht="12.75" hidden="false" customHeight="true" outlineLevel="0" collapsed="false"/>
    <row r="2946" customFormat="false" ht="12.75" hidden="false" customHeight="true" outlineLevel="0" collapsed="false"/>
    <row r="2947" customFormat="false" ht="12.75" hidden="false" customHeight="true" outlineLevel="0" collapsed="false"/>
    <row r="2948" customFormat="false" ht="12.75" hidden="false" customHeight="true" outlineLevel="0" collapsed="false"/>
    <row r="2949" customFormat="false" ht="12.75" hidden="false" customHeight="true" outlineLevel="0" collapsed="false"/>
    <row r="2950" customFormat="false" ht="12.75" hidden="false" customHeight="true" outlineLevel="0" collapsed="false"/>
    <row r="2951" customFormat="false" ht="12.75" hidden="false" customHeight="true" outlineLevel="0" collapsed="false"/>
    <row r="2952" customFormat="false" ht="12.75" hidden="false" customHeight="true" outlineLevel="0" collapsed="false"/>
    <row r="2953" customFormat="false" ht="12.75" hidden="false" customHeight="true" outlineLevel="0" collapsed="false"/>
    <row r="2954" customFormat="false" ht="12.75" hidden="false" customHeight="true" outlineLevel="0" collapsed="false"/>
    <row r="2955" customFormat="false" ht="12.75" hidden="false" customHeight="true" outlineLevel="0" collapsed="false"/>
    <row r="2956" customFormat="false" ht="12.75" hidden="false" customHeight="true" outlineLevel="0" collapsed="false"/>
    <row r="2957" customFormat="false" ht="12.75" hidden="false" customHeight="true" outlineLevel="0" collapsed="false"/>
    <row r="2958" customFormat="false" ht="12.75" hidden="false" customHeight="true" outlineLevel="0" collapsed="false"/>
    <row r="2959" customFormat="false" ht="12.75" hidden="false" customHeight="true" outlineLevel="0" collapsed="false"/>
    <row r="2960" customFormat="false" ht="12.75" hidden="false" customHeight="true" outlineLevel="0" collapsed="false"/>
    <row r="2961" customFormat="false" ht="12.75" hidden="false" customHeight="true" outlineLevel="0" collapsed="false"/>
    <row r="2962" customFormat="false" ht="12.75" hidden="false" customHeight="true" outlineLevel="0" collapsed="false"/>
    <row r="2963" customFormat="false" ht="12.75" hidden="false" customHeight="true" outlineLevel="0" collapsed="false"/>
    <row r="2964" customFormat="false" ht="12.75" hidden="false" customHeight="true" outlineLevel="0" collapsed="false"/>
    <row r="2965" customFormat="false" ht="12.75" hidden="false" customHeight="true" outlineLevel="0" collapsed="false"/>
    <row r="2966" customFormat="false" ht="12.75" hidden="false" customHeight="true" outlineLevel="0" collapsed="false"/>
    <row r="2967" customFormat="false" ht="12.75" hidden="false" customHeight="true" outlineLevel="0" collapsed="false"/>
    <row r="2968" customFormat="false" ht="12.75" hidden="false" customHeight="true" outlineLevel="0" collapsed="false"/>
    <row r="2969" customFormat="false" ht="12.75" hidden="false" customHeight="true" outlineLevel="0" collapsed="false"/>
    <row r="2970" customFormat="false" ht="12.75" hidden="false" customHeight="true" outlineLevel="0" collapsed="false"/>
    <row r="2971" customFormat="false" ht="12.75" hidden="false" customHeight="true" outlineLevel="0" collapsed="false"/>
    <row r="2972" customFormat="false" ht="12.75" hidden="false" customHeight="true" outlineLevel="0" collapsed="false"/>
    <row r="2973" customFormat="false" ht="12.75" hidden="false" customHeight="true" outlineLevel="0" collapsed="false"/>
    <row r="2974" customFormat="false" ht="12.75" hidden="false" customHeight="true" outlineLevel="0" collapsed="false"/>
    <row r="2975" customFormat="false" ht="12.75" hidden="false" customHeight="true" outlineLevel="0" collapsed="false"/>
    <row r="2976" customFormat="false" ht="12.75" hidden="false" customHeight="true" outlineLevel="0" collapsed="false"/>
    <row r="2977" customFormat="false" ht="12.75" hidden="false" customHeight="true" outlineLevel="0" collapsed="false"/>
    <row r="2978" customFormat="false" ht="12.75" hidden="false" customHeight="true" outlineLevel="0" collapsed="false"/>
    <row r="2979" customFormat="false" ht="12.75" hidden="false" customHeight="true" outlineLevel="0" collapsed="false"/>
    <row r="2980" customFormat="false" ht="12.75" hidden="false" customHeight="true" outlineLevel="0" collapsed="false"/>
    <row r="2981" customFormat="false" ht="12.75" hidden="false" customHeight="true" outlineLevel="0" collapsed="false"/>
    <row r="2982" customFormat="false" ht="12.75" hidden="false" customHeight="true" outlineLevel="0" collapsed="false"/>
    <row r="2983" customFormat="false" ht="12.75" hidden="false" customHeight="true" outlineLevel="0" collapsed="false"/>
    <row r="2984" customFormat="false" ht="12.75" hidden="false" customHeight="true" outlineLevel="0" collapsed="false"/>
    <row r="2985" customFormat="false" ht="12.75" hidden="false" customHeight="true" outlineLevel="0" collapsed="false"/>
    <row r="2986" customFormat="false" ht="12.75" hidden="false" customHeight="true" outlineLevel="0" collapsed="false"/>
    <row r="2987" customFormat="false" ht="12.75" hidden="false" customHeight="true" outlineLevel="0" collapsed="false"/>
    <row r="2988" customFormat="false" ht="12.75" hidden="false" customHeight="true" outlineLevel="0" collapsed="false"/>
    <row r="2989" customFormat="false" ht="12.75" hidden="false" customHeight="true" outlineLevel="0" collapsed="false"/>
    <row r="2990" customFormat="false" ht="12.75" hidden="false" customHeight="true" outlineLevel="0" collapsed="false"/>
    <row r="2991" customFormat="false" ht="12.75" hidden="false" customHeight="true" outlineLevel="0" collapsed="false"/>
    <row r="2992" customFormat="false" ht="12.75" hidden="false" customHeight="true" outlineLevel="0" collapsed="false"/>
    <row r="2993" customFormat="false" ht="12.75" hidden="false" customHeight="true" outlineLevel="0" collapsed="false"/>
    <row r="2994" customFormat="false" ht="12.75" hidden="false" customHeight="true" outlineLevel="0" collapsed="false"/>
    <row r="2995" customFormat="false" ht="12.75" hidden="false" customHeight="true" outlineLevel="0" collapsed="false"/>
    <row r="2996" customFormat="false" ht="12.75" hidden="false" customHeight="true" outlineLevel="0" collapsed="false"/>
    <row r="2997" customFormat="false" ht="12.75" hidden="false" customHeight="true" outlineLevel="0" collapsed="false"/>
    <row r="2998" customFormat="false" ht="12.75" hidden="false" customHeight="true" outlineLevel="0" collapsed="false"/>
    <row r="2999" customFormat="false" ht="12.75" hidden="false" customHeight="true" outlineLevel="0" collapsed="false"/>
    <row r="3000" customFormat="false" ht="12.75" hidden="false" customHeight="true" outlineLevel="0" collapsed="false"/>
    <row r="3001" customFormat="false" ht="12.75" hidden="false" customHeight="true" outlineLevel="0" collapsed="false"/>
    <row r="3002" customFormat="false" ht="12.75" hidden="false" customHeight="true" outlineLevel="0" collapsed="false"/>
    <row r="3003" customFormat="false" ht="12.75" hidden="false" customHeight="true" outlineLevel="0" collapsed="false"/>
    <row r="3004" customFormat="false" ht="12.75" hidden="false" customHeight="true" outlineLevel="0" collapsed="false"/>
    <row r="3005" customFormat="false" ht="12.75" hidden="false" customHeight="true" outlineLevel="0" collapsed="false"/>
    <row r="3006" customFormat="false" ht="12.75" hidden="false" customHeight="true" outlineLevel="0" collapsed="false"/>
    <row r="3007" customFormat="false" ht="12.75" hidden="false" customHeight="true" outlineLevel="0" collapsed="false"/>
    <row r="3008" customFormat="false" ht="12.75" hidden="false" customHeight="true" outlineLevel="0" collapsed="false"/>
    <row r="3009" customFormat="false" ht="12.75" hidden="false" customHeight="true" outlineLevel="0" collapsed="false"/>
    <row r="3010" customFormat="false" ht="12.75" hidden="false" customHeight="true" outlineLevel="0" collapsed="false"/>
    <row r="3011" customFormat="false" ht="12.75" hidden="false" customHeight="true" outlineLevel="0" collapsed="false"/>
    <row r="3012" customFormat="false" ht="12.75" hidden="false" customHeight="true" outlineLevel="0" collapsed="false"/>
    <row r="3013" customFormat="false" ht="12.75" hidden="false" customHeight="true" outlineLevel="0" collapsed="false"/>
    <row r="3014" customFormat="false" ht="12.75" hidden="false" customHeight="true" outlineLevel="0" collapsed="false"/>
    <row r="3015" customFormat="false" ht="12.75" hidden="false" customHeight="true" outlineLevel="0" collapsed="false"/>
    <row r="3016" customFormat="false" ht="12.75" hidden="false" customHeight="true" outlineLevel="0" collapsed="false"/>
    <row r="3017" customFormat="false" ht="12.75" hidden="false" customHeight="true" outlineLevel="0" collapsed="false"/>
    <row r="3018" customFormat="false" ht="12.75" hidden="false" customHeight="true" outlineLevel="0" collapsed="false"/>
    <row r="3019" customFormat="false" ht="12.75" hidden="false" customHeight="true" outlineLevel="0" collapsed="false"/>
    <row r="3020" customFormat="false" ht="12.75" hidden="false" customHeight="true" outlineLevel="0" collapsed="false"/>
    <row r="3021" customFormat="false" ht="12.75" hidden="false" customHeight="true" outlineLevel="0" collapsed="false"/>
    <row r="3022" customFormat="false" ht="12.75" hidden="false" customHeight="true" outlineLevel="0" collapsed="false"/>
    <row r="3023" customFormat="false" ht="12.75" hidden="false" customHeight="true" outlineLevel="0" collapsed="false"/>
    <row r="3024" customFormat="false" ht="12.75" hidden="false" customHeight="true" outlineLevel="0" collapsed="false"/>
    <row r="3025" customFormat="false" ht="12.75" hidden="false" customHeight="true" outlineLevel="0" collapsed="false"/>
    <row r="3026" customFormat="false" ht="12.75" hidden="false" customHeight="true" outlineLevel="0" collapsed="false"/>
    <row r="3027" customFormat="false" ht="12.75" hidden="false" customHeight="true" outlineLevel="0" collapsed="false"/>
    <row r="3028" customFormat="false" ht="12.75" hidden="false" customHeight="true" outlineLevel="0" collapsed="false"/>
    <row r="3029" customFormat="false" ht="12.75" hidden="false" customHeight="true" outlineLevel="0" collapsed="false"/>
    <row r="3030" customFormat="false" ht="12.75" hidden="false" customHeight="true" outlineLevel="0" collapsed="false"/>
    <row r="3031" customFormat="false" ht="12.75" hidden="false" customHeight="true" outlineLevel="0" collapsed="false"/>
    <row r="3032" customFormat="false" ht="12.75" hidden="false" customHeight="true" outlineLevel="0" collapsed="false"/>
    <row r="3033" customFormat="false" ht="12.75" hidden="false" customHeight="true" outlineLevel="0" collapsed="false"/>
    <row r="3034" customFormat="false" ht="12.75" hidden="false" customHeight="true" outlineLevel="0" collapsed="false"/>
    <row r="3035" customFormat="false" ht="12.75" hidden="false" customHeight="true" outlineLevel="0" collapsed="false"/>
    <row r="3036" customFormat="false" ht="12.75" hidden="false" customHeight="true" outlineLevel="0" collapsed="false"/>
    <row r="3037" customFormat="false" ht="12.75" hidden="false" customHeight="true" outlineLevel="0" collapsed="false"/>
    <row r="3038" customFormat="false" ht="12.75" hidden="false" customHeight="true" outlineLevel="0" collapsed="false"/>
    <row r="3039" customFormat="false" ht="12.75" hidden="false" customHeight="true" outlineLevel="0" collapsed="false"/>
    <row r="3040" customFormat="false" ht="12.75" hidden="false" customHeight="true" outlineLevel="0" collapsed="false"/>
    <row r="3041" customFormat="false" ht="12.75" hidden="false" customHeight="true" outlineLevel="0" collapsed="false"/>
    <row r="3042" customFormat="false" ht="12.75" hidden="false" customHeight="true" outlineLevel="0" collapsed="false"/>
    <row r="3043" customFormat="false" ht="12.75" hidden="false" customHeight="true" outlineLevel="0" collapsed="false"/>
    <row r="3044" customFormat="false" ht="12.75" hidden="false" customHeight="true" outlineLevel="0" collapsed="false"/>
    <row r="3045" customFormat="false" ht="12.75" hidden="false" customHeight="true" outlineLevel="0" collapsed="false"/>
    <row r="3046" customFormat="false" ht="12.75" hidden="false" customHeight="true" outlineLevel="0" collapsed="false"/>
    <row r="3047" customFormat="false" ht="12.75" hidden="false" customHeight="true" outlineLevel="0" collapsed="false"/>
    <row r="3048" customFormat="false" ht="12.75" hidden="false" customHeight="true" outlineLevel="0" collapsed="false"/>
    <row r="3049" customFormat="false" ht="12.75" hidden="false" customHeight="true" outlineLevel="0" collapsed="false"/>
    <row r="3050" customFormat="false" ht="12.75" hidden="false" customHeight="true" outlineLevel="0" collapsed="false"/>
    <row r="3051" customFormat="false" ht="12.75" hidden="false" customHeight="true" outlineLevel="0" collapsed="false"/>
    <row r="3052" customFormat="false" ht="12.75" hidden="false" customHeight="true" outlineLevel="0" collapsed="false"/>
    <row r="3053" customFormat="false" ht="12.75" hidden="false" customHeight="true" outlineLevel="0" collapsed="false"/>
    <row r="3054" customFormat="false" ht="12.75" hidden="false" customHeight="true" outlineLevel="0" collapsed="false"/>
    <row r="3055" customFormat="false" ht="12.75" hidden="false" customHeight="true" outlineLevel="0" collapsed="false"/>
    <row r="3056" customFormat="false" ht="12.75" hidden="false" customHeight="true" outlineLevel="0" collapsed="false"/>
    <row r="3057" customFormat="false" ht="12.75" hidden="false" customHeight="true" outlineLevel="0" collapsed="false"/>
    <row r="3058" customFormat="false" ht="12.75" hidden="false" customHeight="true" outlineLevel="0" collapsed="false"/>
    <row r="3059" customFormat="false" ht="12.75" hidden="false" customHeight="true" outlineLevel="0" collapsed="false"/>
    <row r="3060" customFormat="false" ht="12.75" hidden="false" customHeight="true" outlineLevel="0" collapsed="false"/>
    <row r="3061" customFormat="false" ht="12.75" hidden="false" customHeight="true" outlineLevel="0" collapsed="false"/>
    <row r="3062" customFormat="false" ht="12.75" hidden="false" customHeight="true" outlineLevel="0" collapsed="false"/>
    <row r="3063" customFormat="false" ht="12.75" hidden="false" customHeight="true" outlineLevel="0" collapsed="false"/>
    <row r="3064" customFormat="false" ht="12.75" hidden="false" customHeight="true" outlineLevel="0" collapsed="false"/>
    <row r="3065" customFormat="false" ht="12.75" hidden="false" customHeight="true" outlineLevel="0" collapsed="false"/>
    <row r="3066" customFormat="false" ht="12.75" hidden="false" customHeight="true" outlineLevel="0" collapsed="false"/>
    <row r="3067" customFormat="false" ht="12.75" hidden="false" customHeight="true" outlineLevel="0" collapsed="false"/>
    <row r="3068" customFormat="false" ht="12.75" hidden="false" customHeight="true" outlineLevel="0" collapsed="false"/>
    <row r="3069" customFormat="false" ht="12.75" hidden="false" customHeight="true" outlineLevel="0" collapsed="false"/>
    <row r="3070" customFormat="false" ht="12.75" hidden="false" customHeight="true" outlineLevel="0" collapsed="false"/>
    <row r="3071" customFormat="false" ht="12.75" hidden="false" customHeight="true" outlineLevel="0" collapsed="false"/>
    <row r="3072" customFormat="false" ht="12.75" hidden="false" customHeight="true" outlineLevel="0" collapsed="false"/>
    <row r="3073" customFormat="false" ht="12.75" hidden="false" customHeight="true" outlineLevel="0" collapsed="false"/>
    <row r="3074" customFormat="false" ht="12.75" hidden="false" customHeight="true" outlineLevel="0" collapsed="false"/>
    <row r="3075" customFormat="false" ht="12.75" hidden="false" customHeight="true" outlineLevel="0" collapsed="false"/>
    <row r="3076" customFormat="false" ht="12.75" hidden="false" customHeight="true" outlineLevel="0" collapsed="false"/>
    <row r="3077" customFormat="false" ht="12.75" hidden="false" customHeight="true" outlineLevel="0" collapsed="false"/>
    <row r="3078" customFormat="false" ht="12.75" hidden="false" customHeight="true" outlineLevel="0" collapsed="false"/>
    <row r="3079" customFormat="false" ht="12.75" hidden="false" customHeight="true" outlineLevel="0" collapsed="false"/>
    <row r="3080" customFormat="false" ht="12.75" hidden="false" customHeight="true" outlineLevel="0" collapsed="false"/>
    <row r="3081" customFormat="false" ht="12.75" hidden="false" customHeight="true" outlineLevel="0" collapsed="false"/>
    <row r="3082" customFormat="false" ht="12.75" hidden="false" customHeight="true" outlineLevel="0" collapsed="false"/>
    <row r="3083" customFormat="false" ht="12.75" hidden="false" customHeight="true" outlineLevel="0" collapsed="false"/>
    <row r="3084" customFormat="false" ht="12.75" hidden="false" customHeight="true" outlineLevel="0" collapsed="false"/>
    <row r="3085" customFormat="false" ht="12.75" hidden="false" customHeight="true" outlineLevel="0" collapsed="false"/>
    <row r="3086" customFormat="false" ht="12.75" hidden="false" customHeight="true" outlineLevel="0" collapsed="false"/>
    <row r="3087" customFormat="false" ht="12.75" hidden="false" customHeight="true" outlineLevel="0" collapsed="false"/>
    <row r="3088" customFormat="false" ht="12.75" hidden="false" customHeight="true" outlineLevel="0" collapsed="false"/>
    <row r="3089" customFormat="false" ht="12.75" hidden="false" customHeight="true" outlineLevel="0" collapsed="false"/>
    <row r="3090" customFormat="false" ht="12.75" hidden="false" customHeight="true" outlineLevel="0" collapsed="false"/>
    <row r="3091" customFormat="false" ht="12.75" hidden="false" customHeight="true" outlineLevel="0" collapsed="false"/>
    <row r="3092" customFormat="false" ht="12.75" hidden="false" customHeight="true" outlineLevel="0" collapsed="false"/>
    <row r="3093" customFormat="false" ht="12.75" hidden="false" customHeight="true" outlineLevel="0" collapsed="false"/>
    <row r="3094" customFormat="false" ht="12.75" hidden="false" customHeight="true" outlineLevel="0" collapsed="false"/>
    <row r="3095" customFormat="false" ht="12.75" hidden="false" customHeight="true" outlineLevel="0" collapsed="false"/>
    <row r="3096" customFormat="false" ht="12.75" hidden="false" customHeight="true" outlineLevel="0" collapsed="false"/>
    <row r="3097" customFormat="false" ht="12.75" hidden="false" customHeight="true" outlineLevel="0" collapsed="false"/>
    <row r="3098" customFormat="false" ht="12.75" hidden="false" customHeight="true" outlineLevel="0" collapsed="false"/>
    <row r="3099" customFormat="false" ht="12.75" hidden="false" customHeight="true" outlineLevel="0" collapsed="false"/>
    <row r="3100" customFormat="false" ht="12.75" hidden="false" customHeight="true" outlineLevel="0" collapsed="false"/>
    <row r="3101" customFormat="false" ht="12.75" hidden="false" customHeight="true" outlineLevel="0" collapsed="false"/>
    <row r="3102" customFormat="false" ht="12.75" hidden="false" customHeight="true" outlineLevel="0" collapsed="false"/>
    <row r="3103" customFormat="false" ht="12.75" hidden="false" customHeight="true" outlineLevel="0" collapsed="false"/>
    <row r="3104" customFormat="false" ht="12.75" hidden="false" customHeight="true" outlineLevel="0" collapsed="false"/>
    <row r="3105" customFormat="false" ht="12.75" hidden="false" customHeight="true" outlineLevel="0" collapsed="false"/>
    <row r="3106" customFormat="false" ht="12.75" hidden="false" customHeight="true" outlineLevel="0" collapsed="false"/>
    <row r="3107" customFormat="false" ht="12.75" hidden="false" customHeight="true" outlineLevel="0" collapsed="false"/>
    <row r="3108" customFormat="false" ht="12.75" hidden="false" customHeight="true" outlineLevel="0" collapsed="false"/>
    <row r="3109" customFormat="false" ht="12.75" hidden="false" customHeight="true" outlineLevel="0" collapsed="false"/>
    <row r="3110" customFormat="false" ht="12.75" hidden="false" customHeight="true" outlineLevel="0" collapsed="false"/>
    <row r="3111" customFormat="false" ht="12.75" hidden="false" customHeight="true" outlineLevel="0" collapsed="false"/>
    <row r="3112" customFormat="false" ht="12.75" hidden="false" customHeight="true" outlineLevel="0" collapsed="false"/>
    <row r="3113" customFormat="false" ht="12.75" hidden="false" customHeight="true" outlineLevel="0" collapsed="false"/>
    <row r="3114" customFormat="false" ht="12.75" hidden="false" customHeight="true" outlineLevel="0" collapsed="false"/>
    <row r="3115" customFormat="false" ht="12.75" hidden="false" customHeight="true" outlineLevel="0" collapsed="false"/>
    <row r="3116" customFormat="false" ht="12.75" hidden="false" customHeight="true" outlineLevel="0" collapsed="false"/>
    <row r="3117" customFormat="false" ht="12.75" hidden="false" customHeight="true" outlineLevel="0" collapsed="false"/>
    <row r="3118" customFormat="false" ht="12.75" hidden="false" customHeight="true" outlineLevel="0" collapsed="false"/>
    <row r="3119" customFormat="false" ht="12.75" hidden="false" customHeight="true" outlineLevel="0" collapsed="false"/>
    <row r="3120" customFormat="false" ht="12.75" hidden="false" customHeight="true" outlineLevel="0" collapsed="false"/>
    <row r="3121" customFormat="false" ht="12.75" hidden="false" customHeight="true" outlineLevel="0" collapsed="false"/>
    <row r="3122" customFormat="false" ht="12.75" hidden="false" customHeight="true" outlineLevel="0" collapsed="false"/>
    <row r="3123" customFormat="false" ht="12.75" hidden="false" customHeight="true" outlineLevel="0" collapsed="false"/>
    <row r="3124" customFormat="false" ht="12.75" hidden="false" customHeight="true" outlineLevel="0" collapsed="false"/>
    <row r="3125" customFormat="false" ht="12.75" hidden="false" customHeight="true" outlineLevel="0" collapsed="false"/>
    <row r="3126" customFormat="false" ht="12.75" hidden="false" customHeight="true" outlineLevel="0" collapsed="false"/>
    <row r="3127" customFormat="false" ht="12.75" hidden="false" customHeight="true" outlineLevel="0" collapsed="false"/>
    <row r="3128" customFormat="false" ht="12.75" hidden="false" customHeight="true" outlineLevel="0" collapsed="false"/>
    <row r="3129" customFormat="false" ht="12.75" hidden="false" customHeight="true" outlineLevel="0" collapsed="false"/>
    <row r="3130" customFormat="false" ht="12.75" hidden="false" customHeight="true" outlineLevel="0" collapsed="false"/>
    <row r="3131" customFormat="false" ht="12.75" hidden="false" customHeight="true" outlineLevel="0" collapsed="false"/>
    <row r="3132" customFormat="false" ht="12.75" hidden="false" customHeight="true" outlineLevel="0" collapsed="false"/>
    <row r="3133" customFormat="false" ht="12.75" hidden="false" customHeight="true" outlineLevel="0" collapsed="false"/>
    <row r="3134" customFormat="false" ht="12.75" hidden="false" customHeight="true" outlineLevel="0" collapsed="false"/>
    <row r="3135" customFormat="false" ht="12.75" hidden="false" customHeight="true" outlineLevel="0" collapsed="false"/>
    <row r="3136" customFormat="false" ht="12.75" hidden="false" customHeight="true" outlineLevel="0" collapsed="false"/>
    <row r="3137" customFormat="false" ht="12.75" hidden="false" customHeight="true" outlineLevel="0" collapsed="false"/>
    <row r="3138" customFormat="false" ht="12.75" hidden="false" customHeight="true" outlineLevel="0" collapsed="false"/>
    <row r="3139" customFormat="false" ht="12.75" hidden="false" customHeight="true" outlineLevel="0" collapsed="false"/>
    <row r="3140" customFormat="false" ht="12.75" hidden="false" customHeight="true" outlineLevel="0" collapsed="false"/>
    <row r="3141" customFormat="false" ht="12.75" hidden="false" customHeight="true" outlineLevel="0" collapsed="false"/>
    <row r="3142" customFormat="false" ht="12.75" hidden="false" customHeight="true" outlineLevel="0" collapsed="false"/>
    <row r="3143" customFormat="false" ht="12.75" hidden="false" customHeight="true" outlineLevel="0" collapsed="false"/>
    <row r="3144" customFormat="false" ht="12.75" hidden="false" customHeight="true" outlineLevel="0" collapsed="false"/>
    <row r="3145" customFormat="false" ht="12.75" hidden="false" customHeight="true" outlineLevel="0" collapsed="false"/>
    <row r="3146" customFormat="false" ht="12.75" hidden="false" customHeight="true" outlineLevel="0" collapsed="false"/>
    <row r="3147" customFormat="false" ht="12.75" hidden="false" customHeight="true" outlineLevel="0" collapsed="false"/>
    <row r="3148" customFormat="false" ht="12.75" hidden="false" customHeight="true" outlineLevel="0" collapsed="false"/>
    <row r="3149" customFormat="false" ht="12.75" hidden="false" customHeight="true" outlineLevel="0" collapsed="false"/>
    <row r="3150" customFormat="false" ht="12.75" hidden="false" customHeight="true" outlineLevel="0" collapsed="false"/>
    <row r="3151" customFormat="false" ht="12.75" hidden="false" customHeight="true" outlineLevel="0" collapsed="false"/>
    <row r="3152" customFormat="false" ht="12.75" hidden="false" customHeight="true" outlineLevel="0" collapsed="false"/>
    <row r="3153" customFormat="false" ht="12.75" hidden="false" customHeight="true" outlineLevel="0" collapsed="false"/>
    <row r="3154" customFormat="false" ht="12.75" hidden="false" customHeight="true" outlineLevel="0" collapsed="false"/>
    <row r="3155" customFormat="false" ht="12.75" hidden="false" customHeight="true" outlineLevel="0" collapsed="false"/>
    <row r="3156" customFormat="false" ht="12.75" hidden="false" customHeight="true" outlineLevel="0" collapsed="false"/>
    <row r="3157" customFormat="false" ht="12.75" hidden="false" customHeight="true" outlineLevel="0" collapsed="false"/>
    <row r="3158" customFormat="false" ht="12.75" hidden="false" customHeight="true" outlineLevel="0" collapsed="false"/>
    <row r="3159" customFormat="false" ht="12.75" hidden="false" customHeight="true" outlineLevel="0" collapsed="false"/>
    <row r="3160" customFormat="false" ht="12.75" hidden="false" customHeight="true" outlineLevel="0" collapsed="false"/>
    <row r="3161" customFormat="false" ht="12.75" hidden="false" customHeight="true" outlineLevel="0" collapsed="false"/>
    <row r="3162" customFormat="false" ht="12.75" hidden="false" customHeight="true" outlineLevel="0" collapsed="false"/>
    <row r="3163" customFormat="false" ht="12.75" hidden="false" customHeight="true" outlineLevel="0" collapsed="false"/>
    <row r="3164" customFormat="false" ht="12.75" hidden="false" customHeight="true" outlineLevel="0" collapsed="false"/>
    <row r="3165" customFormat="false" ht="12.75" hidden="false" customHeight="true" outlineLevel="0" collapsed="false"/>
    <row r="3166" customFormat="false" ht="12.75" hidden="false" customHeight="true" outlineLevel="0" collapsed="false"/>
    <row r="3167" customFormat="false" ht="12.75" hidden="false" customHeight="true" outlineLevel="0" collapsed="false"/>
    <row r="3168" customFormat="false" ht="12.75" hidden="false" customHeight="true" outlineLevel="0" collapsed="false"/>
    <row r="3169" customFormat="false" ht="12.75" hidden="false" customHeight="true" outlineLevel="0" collapsed="false"/>
    <row r="3170" customFormat="false" ht="12.75" hidden="false" customHeight="true" outlineLevel="0" collapsed="false"/>
    <row r="3171" customFormat="false" ht="12.75" hidden="false" customHeight="true" outlineLevel="0" collapsed="false"/>
    <row r="3172" customFormat="false" ht="12.75" hidden="false" customHeight="true" outlineLevel="0" collapsed="false"/>
    <row r="3173" customFormat="false" ht="12.75" hidden="false" customHeight="true" outlineLevel="0" collapsed="false"/>
    <row r="3174" customFormat="false" ht="12.75" hidden="false" customHeight="true" outlineLevel="0" collapsed="false"/>
    <row r="3175" customFormat="false" ht="12.75" hidden="false" customHeight="true" outlineLevel="0" collapsed="false"/>
    <row r="3176" customFormat="false" ht="12.75" hidden="false" customHeight="true" outlineLevel="0" collapsed="false"/>
    <row r="3177" customFormat="false" ht="12.75" hidden="false" customHeight="true" outlineLevel="0" collapsed="false"/>
    <row r="3178" customFormat="false" ht="12.75" hidden="false" customHeight="true" outlineLevel="0" collapsed="false"/>
    <row r="3179" customFormat="false" ht="12.75" hidden="false" customHeight="true" outlineLevel="0" collapsed="false"/>
    <row r="3180" customFormat="false" ht="12.75" hidden="false" customHeight="true" outlineLevel="0" collapsed="false"/>
    <row r="3181" customFormat="false" ht="12.75" hidden="false" customHeight="true" outlineLevel="0" collapsed="false"/>
    <row r="3182" customFormat="false" ht="12.75" hidden="false" customHeight="true" outlineLevel="0" collapsed="false"/>
    <row r="3183" customFormat="false" ht="12.75" hidden="false" customHeight="true" outlineLevel="0" collapsed="false"/>
    <row r="3184" customFormat="false" ht="12.75" hidden="false" customHeight="true" outlineLevel="0" collapsed="false"/>
    <row r="3185" customFormat="false" ht="12.75" hidden="false" customHeight="true" outlineLevel="0" collapsed="false"/>
    <row r="3186" customFormat="false" ht="12.75" hidden="false" customHeight="true" outlineLevel="0" collapsed="false"/>
    <row r="3187" customFormat="false" ht="12.75" hidden="false" customHeight="true" outlineLevel="0" collapsed="false"/>
    <row r="3188" customFormat="false" ht="12.75" hidden="false" customHeight="true" outlineLevel="0" collapsed="false"/>
    <row r="3189" customFormat="false" ht="12.75" hidden="false" customHeight="true" outlineLevel="0" collapsed="false"/>
    <row r="3190" customFormat="false" ht="12.75" hidden="false" customHeight="true" outlineLevel="0" collapsed="false"/>
    <row r="3191" customFormat="false" ht="12.75" hidden="false" customHeight="true" outlineLevel="0" collapsed="false"/>
    <row r="3192" customFormat="false" ht="12.75" hidden="false" customHeight="true" outlineLevel="0" collapsed="false"/>
    <row r="3193" customFormat="false" ht="12.75" hidden="false" customHeight="true" outlineLevel="0" collapsed="false"/>
    <row r="3194" customFormat="false" ht="12.75" hidden="false" customHeight="true" outlineLevel="0" collapsed="false"/>
    <row r="3195" customFormat="false" ht="12.75" hidden="false" customHeight="true" outlineLevel="0" collapsed="false"/>
    <row r="3196" customFormat="false" ht="12.75" hidden="false" customHeight="true" outlineLevel="0" collapsed="false"/>
    <row r="3197" customFormat="false" ht="12.75" hidden="false" customHeight="true" outlineLevel="0" collapsed="false"/>
    <row r="3198" customFormat="false" ht="12.75" hidden="false" customHeight="true" outlineLevel="0" collapsed="false"/>
    <row r="3199" customFormat="false" ht="12.75" hidden="false" customHeight="true" outlineLevel="0" collapsed="false"/>
    <row r="3200" customFormat="false" ht="12.75" hidden="false" customHeight="true" outlineLevel="0" collapsed="false"/>
    <row r="3201" customFormat="false" ht="12.75" hidden="false" customHeight="true" outlineLevel="0" collapsed="false"/>
    <row r="3202" customFormat="false" ht="12.75" hidden="false" customHeight="true" outlineLevel="0" collapsed="false"/>
    <row r="3203" customFormat="false" ht="12.75" hidden="false" customHeight="true" outlineLevel="0" collapsed="false"/>
    <row r="3204" customFormat="false" ht="12.75" hidden="false" customHeight="true" outlineLevel="0" collapsed="false"/>
    <row r="3205" customFormat="false" ht="12.75" hidden="false" customHeight="true" outlineLevel="0" collapsed="false"/>
    <row r="3206" customFormat="false" ht="12.75" hidden="false" customHeight="true" outlineLevel="0" collapsed="false"/>
    <row r="3207" customFormat="false" ht="12.75" hidden="false" customHeight="true" outlineLevel="0" collapsed="false"/>
    <row r="3208" customFormat="false" ht="12.75" hidden="false" customHeight="true" outlineLevel="0" collapsed="false"/>
    <row r="3209" customFormat="false" ht="12.75" hidden="false" customHeight="true" outlineLevel="0" collapsed="false"/>
    <row r="3210" customFormat="false" ht="12.75" hidden="false" customHeight="true" outlineLevel="0" collapsed="false"/>
    <row r="3211" customFormat="false" ht="12.75" hidden="false" customHeight="true" outlineLevel="0" collapsed="false"/>
    <row r="3212" customFormat="false" ht="12.75" hidden="false" customHeight="true" outlineLevel="0" collapsed="false"/>
    <row r="3213" customFormat="false" ht="12.75" hidden="false" customHeight="true" outlineLevel="0" collapsed="false"/>
    <row r="3214" customFormat="false" ht="12.75" hidden="false" customHeight="true" outlineLevel="0" collapsed="false"/>
    <row r="3215" customFormat="false" ht="12.75" hidden="false" customHeight="true" outlineLevel="0" collapsed="false"/>
    <row r="3216" customFormat="false" ht="12.75" hidden="false" customHeight="true" outlineLevel="0" collapsed="false"/>
    <row r="3217" customFormat="false" ht="12.75" hidden="false" customHeight="true" outlineLevel="0" collapsed="false"/>
    <row r="3218" customFormat="false" ht="12.75" hidden="false" customHeight="true" outlineLevel="0" collapsed="false"/>
    <row r="3219" customFormat="false" ht="12.75" hidden="false" customHeight="true" outlineLevel="0" collapsed="false"/>
    <row r="3220" customFormat="false" ht="12.75" hidden="false" customHeight="true" outlineLevel="0" collapsed="false"/>
    <row r="3221" customFormat="false" ht="12.75" hidden="false" customHeight="true" outlineLevel="0" collapsed="false"/>
    <row r="3222" customFormat="false" ht="12.75" hidden="false" customHeight="true" outlineLevel="0" collapsed="false"/>
    <row r="3223" customFormat="false" ht="12.75" hidden="false" customHeight="true" outlineLevel="0" collapsed="false"/>
    <row r="3224" customFormat="false" ht="12.75" hidden="false" customHeight="true" outlineLevel="0" collapsed="false"/>
    <row r="3225" customFormat="false" ht="12.75" hidden="false" customHeight="true" outlineLevel="0" collapsed="false"/>
    <row r="3226" customFormat="false" ht="12.75" hidden="false" customHeight="true" outlineLevel="0" collapsed="false"/>
    <row r="3227" customFormat="false" ht="12.75" hidden="false" customHeight="true" outlineLevel="0" collapsed="false"/>
    <row r="3228" customFormat="false" ht="12.75" hidden="false" customHeight="true" outlineLevel="0" collapsed="false"/>
    <row r="3229" customFormat="false" ht="12.75" hidden="false" customHeight="true" outlineLevel="0" collapsed="false"/>
    <row r="3230" customFormat="false" ht="12.75" hidden="false" customHeight="true" outlineLevel="0" collapsed="false"/>
    <row r="3231" customFormat="false" ht="12.75" hidden="false" customHeight="true" outlineLevel="0" collapsed="false"/>
    <row r="3232" customFormat="false" ht="12.75" hidden="false" customHeight="true" outlineLevel="0" collapsed="false"/>
    <row r="3233" customFormat="false" ht="12.75" hidden="false" customHeight="true" outlineLevel="0" collapsed="false"/>
    <row r="3234" customFormat="false" ht="12.75" hidden="false" customHeight="true" outlineLevel="0" collapsed="false"/>
    <row r="3235" customFormat="false" ht="12.75" hidden="false" customHeight="true" outlineLevel="0" collapsed="false"/>
    <row r="3236" customFormat="false" ht="12.75" hidden="false" customHeight="true" outlineLevel="0" collapsed="false"/>
    <row r="3237" customFormat="false" ht="12.75" hidden="false" customHeight="true" outlineLevel="0" collapsed="false"/>
    <row r="3238" customFormat="false" ht="12.75" hidden="false" customHeight="true" outlineLevel="0" collapsed="false"/>
    <row r="3239" customFormat="false" ht="12.75" hidden="false" customHeight="true" outlineLevel="0" collapsed="false"/>
    <row r="3240" customFormat="false" ht="12.75" hidden="false" customHeight="true" outlineLevel="0" collapsed="false"/>
    <row r="3241" customFormat="false" ht="12.75" hidden="false" customHeight="true" outlineLevel="0" collapsed="false"/>
    <row r="3242" customFormat="false" ht="12.75" hidden="false" customHeight="true" outlineLevel="0" collapsed="false"/>
    <row r="3243" customFormat="false" ht="12.75" hidden="false" customHeight="true" outlineLevel="0" collapsed="false"/>
    <row r="3244" customFormat="false" ht="12.75" hidden="false" customHeight="true" outlineLevel="0" collapsed="false"/>
    <row r="3245" customFormat="false" ht="12.75" hidden="false" customHeight="true" outlineLevel="0" collapsed="false"/>
    <row r="3246" customFormat="false" ht="12.75" hidden="false" customHeight="true" outlineLevel="0" collapsed="false"/>
    <row r="3247" customFormat="false" ht="12.75" hidden="false" customHeight="true" outlineLevel="0" collapsed="false"/>
    <row r="3248" customFormat="false" ht="12.75" hidden="false" customHeight="true" outlineLevel="0" collapsed="false"/>
    <row r="3249" customFormat="false" ht="12.75" hidden="false" customHeight="true" outlineLevel="0" collapsed="false"/>
    <row r="3250" customFormat="false" ht="12.75" hidden="false" customHeight="true" outlineLevel="0" collapsed="false"/>
    <row r="3251" customFormat="false" ht="12.75" hidden="false" customHeight="true" outlineLevel="0" collapsed="false"/>
    <row r="3252" customFormat="false" ht="12.75" hidden="false" customHeight="true" outlineLevel="0" collapsed="false"/>
    <row r="3253" customFormat="false" ht="12.75" hidden="false" customHeight="true" outlineLevel="0" collapsed="false"/>
    <row r="3254" customFormat="false" ht="12.75" hidden="false" customHeight="true" outlineLevel="0" collapsed="false"/>
    <row r="3255" customFormat="false" ht="12.75" hidden="false" customHeight="true" outlineLevel="0" collapsed="false"/>
    <row r="3256" customFormat="false" ht="12.75" hidden="false" customHeight="true" outlineLevel="0" collapsed="false"/>
    <row r="3257" customFormat="false" ht="12.75" hidden="false" customHeight="true" outlineLevel="0" collapsed="false"/>
    <row r="3258" customFormat="false" ht="12.75" hidden="false" customHeight="true" outlineLevel="0" collapsed="false"/>
    <row r="3259" customFormat="false" ht="12.75" hidden="false" customHeight="true" outlineLevel="0" collapsed="false"/>
    <row r="3260" customFormat="false" ht="12.75" hidden="false" customHeight="true" outlineLevel="0" collapsed="false"/>
    <row r="3261" customFormat="false" ht="12.75" hidden="false" customHeight="true" outlineLevel="0" collapsed="false"/>
    <row r="3262" customFormat="false" ht="12.75" hidden="false" customHeight="true" outlineLevel="0" collapsed="false"/>
    <row r="3263" customFormat="false" ht="12.75" hidden="false" customHeight="true" outlineLevel="0" collapsed="false"/>
    <row r="3264" customFormat="false" ht="12.75" hidden="false" customHeight="true" outlineLevel="0" collapsed="false"/>
    <row r="3265" customFormat="false" ht="12.75" hidden="false" customHeight="true" outlineLevel="0" collapsed="false"/>
    <row r="3266" customFormat="false" ht="12.75" hidden="false" customHeight="true" outlineLevel="0" collapsed="false"/>
    <row r="3267" customFormat="false" ht="12.75" hidden="false" customHeight="true" outlineLevel="0" collapsed="false"/>
    <row r="3268" customFormat="false" ht="12.75" hidden="false" customHeight="true" outlineLevel="0" collapsed="false"/>
    <row r="3269" customFormat="false" ht="12.75" hidden="false" customHeight="true" outlineLevel="0" collapsed="false"/>
    <row r="3270" customFormat="false" ht="12.75" hidden="false" customHeight="true" outlineLevel="0" collapsed="false"/>
    <row r="3271" customFormat="false" ht="12.75" hidden="false" customHeight="true" outlineLevel="0" collapsed="false"/>
    <row r="3272" customFormat="false" ht="12.75" hidden="false" customHeight="true" outlineLevel="0" collapsed="false"/>
    <row r="3273" customFormat="false" ht="12.75" hidden="false" customHeight="true" outlineLevel="0" collapsed="false"/>
    <row r="3274" customFormat="false" ht="12.75" hidden="false" customHeight="true" outlineLevel="0" collapsed="false"/>
    <row r="3275" customFormat="false" ht="12.75" hidden="false" customHeight="true" outlineLevel="0" collapsed="false"/>
    <row r="3276" customFormat="false" ht="12.75" hidden="false" customHeight="true" outlineLevel="0" collapsed="false"/>
    <row r="3277" customFormat="false" ht="12.75" hidden="false" customHeight="true" outlineLevel="0" collapsed="false"/>
    <row r="3278" customFormat="false" ht="12.75" hidden="false" customHeight="true" outlineLevel="0" collapsed="false"/>
    <row r="3279" customFormat="false" ht="12.75" hidden="false" customHeight="true" outlineLevel="0" collapsed="false"/>
    <row r="3280" customFormat="false" ht="12.75" hidden="false" customHeight="true" outlineLevel="0" collapsed="false"/>
    <row r="3281" customFormat="false" ht="12.75" hidden="false" customHeight="true" outlineLevel="0" collapsed="false"/>
    <row r="3282" customFormat="false" ht="12.75" hidden="false" customHeight="true" outlineLevel="0" collapsed="false"/>
    <row r="3283" customFormat="false" ht="12.75" hidden="false" customHeight="true" outlineLevel="0" collapsed="false"/>
    <row r="3284" customFormat="false" ht="12.75" hidden="false" customHeight="true" outlineLevel="0" collapsed="false"/>
    <row r="3285" customFormat="false" ht="12.75" hidden="false" customHeight="true" outlineLevel="0" collapsed="false"/>
    <row r="3286" customFormat="false" ht="12.75" hidden="false" customHeight="true" outlineLevel="0" collapsed="false"/>
    <row r="3287" customFormat="false" ht="12.75" hidden="false" customHeight="true" outlineLevel="0" collapsed="false"/>
    <row r="3288" customFormat="false" ht="12.75" hidden="false" customHeight="true" outlineLevel="0" collapsed="false"/>
    <row r="3289" customFormat="false" ht="12.75" hidden="false" customHeight="true" outlineLevel="0" collapsed="false"/>
    <row r="3290" customFormat="false" ht="12.75" hidden="false" customHeight="true" outlineLevel="0" collapsed="false"/>
    <row r="3291" customFormat="false" ht="12.75" hidden="false" customHeight="true" outlineLevel="0" collapsed="false"/>
    <row r="3292" customFormat="false" ht="12.75" hidden="false" customHeight="true" outlineLevel="0" collapsed="false"/>
    <row r="3293" customFormat="false" ht="12.75" hidden="false" customHeight="true" outlineLevel="0" collapsed="false"/>
    <row r="3294" customFormat="false" ht="12.75" hidden="false" customHeight="true" outlineLevel="0" collapsed="false"/>
    <row r="3295" customFormat="false" ht="12.75" hidden="false" customHeight="true" outlineLevel="0" collapsed="false"/>
    <row r="3296" customFormat="false" ht="12.75" hidden="false" customHeight="true" outlineLevel="0" collapsed="false"/>
    <row r="3297" customFormat="false" ht="12.75" hidden="false" customHeight="true" outlineLevel="0" collapsed="false"/>
    <row r="3298" customFormat="false" ht="12.75" hidden="false" customHeight="true" outlineLevel="0" collapsed="false"/>
    <row r="3299" customFormat="false" ht="12.75" hidden="false" customHeight="true" outlineLevel="0" collapsed="false"/>
    <row r="3300" customFormat="false" ht="12.75" hidden="false" customHeight="true" outlineLevel="0" collapsed="false"/>
    <row r="3301" customFormat="false" ht="12.75" hidden="false" customHeight="true" outlineLevel="0" collapsed="false"/>
    <row r="3302" customFormat="false" ht="12.75" hidden="false" customHeight="true" outlineLevel="0" collapsed="false"/>
    <row r="3303" customFormat="false" ht="12.75" hidden="false" customHeight="true" outlineLevel="0" collapsed="false"/>
    <row r="3304" customFormat="false" ht="12.75" hidden="false" customHeight="true" outlineLevel="0" collapsed="false"/>
    <row r="3305" customFormat="false" ht="12.75" hidden="false" customHeight="true" outlineLevel="0" collapsed="false"/>
    <row r="3306" customFormat="false" ht="12.75" hidden="false" customHeight="true" outlineLevel="0" collapsed="false"/>
    <row r="3307" customFormat="false" ht="12.75" hidden="false" customHeight="true" outlineLevel="0" collapsed="false"/>
    <row r="3308" customFormat="false" ht="12.75" hidden="false" customHeight="true" outlineLevel="0" collapsed="false"/>
    <row r="3309" customFormat="false" ht="12.75" hidden="false" customHeight="true" outlineLevel="0" collapsed="false"/>
    <row r="3310" customFormat="false" ht="12.75" hidden="false" customHeight="true" outlineLevel="0" collapsed="false"/>
    <row r="3311" customFormat="false" ht="12.75" hidden="false" customHeight="true" outlineLevel="0" collapsed="false"/>
    <row r="3312" customFormat="false" ht="12.75" hidden="false" customHeight="true" outlineLevel="0" collapsed="false"/>
    <row r="3313" customFormat="false" ht="12.75" hidden="false" customHeight="true" outlineLevel="0" collapsed="false"/>
    <row r="3314" customFormat="false" ht="12.75" hidden="false" customHeight="true" outlineLevel="0" collapsed="false"/>
    <row r="3315" customFormat="false" ht="12.75" hidden="false" customHeight="true" outlineLevel="0" collapsed="false"/>
    <row r="3316" customFormat="false" ht="12.75" hidden="false" customHeight="true" outlineLevel="0" collapsed="false"/>
    <row r="3317" customFormat="false" ht="12.75" hidden="false" customHeight="true" outlineLevel="0" collapsed="false"/>
    <row r="3318" customFormat="false" ht="12.75" hidden="false" customHeight="true" outlineLevel="0" collapsed="false"/>
    <row r="3319" customFormat="false" ht="12.75" hidden="false" customHeight="true" outlineLevel="0" collapsed="false"/>
    <row r="3320" customFormat="false" ht="12.75" hidden="false" customHeight="true" outlineLevel="0" collapsed="false"/>
    <row r="3321" customFormat="false" ht="12.75" hidden="false" customHeight="true" outlineLevel="0" collapsed="false"/>
    <row r="3322" customFormat="false" ht="12.75" hidden="false" customHeight="true" outlineLevel="0" collapsed="false"/>
    <row r="3323" customFormat="false" ht="12.75" hidden="false" customHeight="true" outlineLevel="0" collapsed="false"/>
    <row r="3324" customFormat="false" ht="12.75" hidden="false" customHeight="true" outlineLevel="0" collapsed="false"/>
    <row r="3325" customFormat="false" ht="12.75" hidden="false" customHeight="true" outlineLevel="0" collapsed="false"/>
    <row r="3326" customFormat="false" ht="12.75" hidden="false" customHeight="true" outlineLevel="0" collapsed="false"/>
    <row r="3327" customFormat="false" ht="12.75" hidden="false" customHeight="true" outlineLevel="0" collapsed="false"/>
    <row r="3328" customFormat="false" ht="12.75" hidden="false" customHeight="true" outlineLevel="0" collapsed="false"/>
    <row r="3329" customFormat="false" ht="12.75" hidden="false" customHeight="true" outlineLevel="0" collapsed="false"/>
    <row r="3330" customFormat="false" ht="12.75" hidden="false" customHeight="true" outlineLevel="0" collapsed="false"/>
    <row r="3331" customFormat="false" ht="12.75" hidden="false" customHeight="true" outlineLevel="0" collapsed="false"/>
    <row r="3332" customFormat="false" ht="12.75" hidden="false" customHeight="true" outlineLevel="0" collapsed="false"/>
    <row r="3333" customFormat="false" ht="12.75" hidden="false" customHeight="true" outlineLevel="0" collapsed="false"/>
    <row r="3334" customFormat="false" ht="12.75" hidden="false" customHeight="true" outlineLevel="0" collapsed="false"/>
    <row r="3335" customFormat="false" ht="12.75" hidden="false" customHeight="true" outlineLevel="0" collapsed="false"/>
    <row r="3336" customFormat="false" ht="12.75" hidden="false" customHeight="true" outlineLevel="0" collapsed="false"/>
    <row r="3337" customFormat="false" ht="12.75" hidden="false" customHeight="true" outlineLevel="0" collapsed="false"/>
    <row r="3338" customFormat="false" ht="12.75" hidden="false" customHeight="true" outlineLevel="0" collapsed="false"/>
    <row r="3339" customFormat="false" ht="12.75" hidden="false" customHeight="true" outlineLevel="0" collapsed="false"/>
    <row r="3340" customFormat="false" ht="12.75" hidden="false" customHeight="true" outlineLevel="0" collapsed="false"/>
    <row r="3341" customFormat="false" ht="12.75" hidden="false" customHeight="true" outlineLevel="0" collapsed="false"/>
    <row r="3342" customFormat="false" ht="12.75" hidden="false" customHeight="true" outlineLevel="0" collapsed="false"/>
    <row r="3343" customFormat="false" ht="12.75" hidden="false" customHeight="true" outlineLevel="0" collapsed="false"/>
    <row r="3344" customFormat="false" ht="12.75" hidden="false" customHeight="true" outlineLevel="0" collapsed="false"/>
    <row r="3345" customFormat="false" ht="12.75" hidden="false" customHeight="true" outlineLevel="0" collapsed="false"/>
    <row r="3346" customFormat="false" ht="12.75" hidden="false" customHeight="true" outlineLevel="0" collapsed="false"/>
    <row r="3347" customFormat="false" ht="12.75" hidden="false" customHeight="true" outlineLevel="0" collapsed="false"/>
    <row r="3348" customFormat="false" ht="12.75" hidden="false" customHeight="true" outlineLevel="0" collapsed="false"/>
    <row r="3349" customFormat="false" ht="12.75" hidden="false" customHeight="true" outlineLevel="0" collapsed="false"/>
    <row r="3350" customFormat="false" ht="12.75" hidden="false" customHeight="true" outlineLevel="0" collapsed="false"/>
    <row r="3351" customFormat="false" ht="12.75" hidden="false" customHeight="true" outlineLevel="0" collapsed="false"/>
    <row r="3352" customFormat="false" ht="12.75" hidden="false" customHeight="true" outlineLevel="0" collapsed="false"/>
    <row r="3353" customFormat="false" ht="12.75" hidden="false" customHeight="true" outlineLevel="0" collapsed="false"/>
    <row r="3354" customFormat="false" ht="12.75" hidden="false" customHeight="true" outlineLevel="0" collapsed="false"/>
    <row r="3355" customFormat="false" ht="12.75" hidden="false" customHeight="true" outlineLevel="0" collapsed="false"/>
    <row r="3356" customFormat="false" ht="12.75" hidden="false" customHeight="true" outlineLevel="0" collapsed="false"/>
    <row r="3357" customFormat="false" ht="12.75" hidden="false" customHeight="true" outlineLevel="0" collapsed="false"/>
    <row r="3358" customFormat="false" ht="12.75" hidden="false" customHeight="true" outlineLevel="0" collapsed="false"/>
    <row r="3359" customFormat="false" ht="12.75" hidden="false" customHeight="true" outlineLevel="0" collapsed="false"/>
    <row r="3360" customFormat="false" ht="12.75" hidden="false" customHeight="true" outlineLevel="0" collapsed="false"/>
    <row r="3361" customFormat="false" ht="12.75" hidden="false" customHeight="true" outlineLevel="0" collapsed="false"/>
    <row r="3362" customFormat="false" ht="12.75" hidden="false" customHeight="true" outlineLevel="0" collapsed="false"/>
    <row r="3363" customFormat="false" ht="12.75" hidden="false" customHeight="true" outlineLevel="0" collapsed="false"/>
    <row r="3364" customFormat="false" ht="12.75" hidden="false" customHeight="true" outlineLevel="0" collapsed="false"/>
    <row r="3365" customFormat="false" ht="12.75" hidden="false" customHeight="true" outlineLevel="0" collapsed="false"/>
    <row r="3366" customFormat="false" ht="12.75" hidden="false" customHeight="true" outlineLevel="0" collapsed="false"/>
    <row r="3367" customFormat="false" ht="12.75" hidden="false" customHeight="true" outlineLevel="0" collapsed="false"/>
    <row r="3368" customFormat="false" ht="12.75" hidden="false" customHeight="true" outlineLevel="0" collapsed="false"/>
    <row r="3369" customFormat="false" ht="12.75" hidden="false" customHeight="true" outlineLevel="0" collapsed="false"/>
    <row r="3370" customFormat="false" ht="12.75" hidden="false" customHeight="true" outlineLevel="0" collapsed="false"/>
    <row r="3371" customFormat="false" ht="12.75" hidden="false" customHeight="true" outlineLevel="0" collapsed="false"/>
    <row r="3372" customFormat="false" ht="12.75" hidden="false" customHeight="true" outlineLevel="0" collapsed="false"/>
    <row r="3373" customFormat="false" ht="12.75" hidden="false" customHeight="true" outlineLevel="0" collapsed="false"/>
    <row r="3374" customFormat="false" ht="12.75" hidden="false" customHeight="true" outlineLevel="0" collapsed="false"/>
    <row r="3375" customFormat="false" ht="12.75" hidden="false" customHeight="true" outlineLevel="0" collapsed="false"/>
    <row r="3376" customFormat="false" ht="12.75" hidden="false" customHeight="true" outlineLevel="0" collapsed="false"/>
    <row r="3377" customFormat="false" ht="12.75" hidden="false" customHeight="true" outlineLevel="0" collapsed="false"/>
    <row r="3378" customFormat="false" ht="12.75" hidden="false" customHeight="true" outlineLevel="0" collapsed="false"/>
    <row r="3379" customFormat="false" ht="12.75" hidden="false" customHeight="true" outlineLevel="0" collapsed="false"/>
    <row r="3380" customFormat="false" ht="12.75" hidden="false" customHeight="true" outlineLevel="0" collapsed="false"/>
    <row r="3381" customFormat="false" ht="12.75" hidden="false" customHeight="true" outlineLevel="0" collapsed="false"/>
    <row r="3382" customFormat="false" ht="12.75" hidden="false" customHeight="true" outlineLevel="0" collapsed="false"/>
    <row r="3383" customFormat="false" ht="12.75" hidden="false" customHeight="true" outlineLevel="0" collapsed="false"/>
    <row r="3384" customFormat="false" ht="12.75" hidden="false" customHeight="true" outlineLevel="0" collapsed="false"/>
    <row r="3385" customFormat="false" ht="12.75" hidden="false" customHeight="true" outlineLevel="0" collapsed="false"/>
    <row r="3386" customFormat="false" ht="12.75" hidden="false" customHeight="true" outlineLevel="0" collapsed="false"/>
    <row r="3387" customFormat="false" ht="12.75" hidden="false" customHeight="true" outlineLevel="0" collapsed="false"/>
    <row r="3388" customFormat="false" ht="12.75" hidden="false" customHeight="true" outlineLevel="0" collapsed="false"/>
    <row r="3389" customFormat="false" ht="12.75" hidden="false" customHeight="true" outlineLevel="0" collapsed="false"/>
    <row r="3390" customFormat="false" ht="12.75" hidden="false" customHeight="true" outlineLevel="0" collapsed="false"/>
    <row r="3391" customFormat="false" ht="12.75" hidden="false" customHeight="true" outlineLevel="0" collapsed="false"/>
    <row r="3392" customFormat="false" ht="12.75" hidden="false" customHeight="true" outlineLevel="0" collapsed="false"/>
    <row r="3393" customFormat="false" ht="12.75" hidden="false" customHeight="true" outlineLevel="0" collapsed="false"/>
    <row r="3394" customFormat="false" ht="12.75" hidden="false" customHeight="true" outlineLevel="0" collapsed="false"/>
    <row r="3395" customFormat="false" ht="12.75" hidden="false" customHeight="true" outlineLevel="0" collapsed="false"/>
    <row r="3396" customFormat="false" ht="12.75" hidden="false" customHeight="true" outlineLevel="0" collapsed="false"/>
    <row r="3397" customFormat="false" ht="12.75" hidden="false" customHeight="true" outlineLevel="0" collapsed="false"/>
    <row r="3398" customFormat="false" ht="12.75" hidden="false" customHeight="true" outlineLevel="0" collapsed="false"/>
    <row r="3399" customFormat="false" ht="12.75" hidden="false" customHeight="true" outlineLevel="0" collapsed="false"/>
    <row r="3400" customFormat="false" ht="12.75" hidden="false" customHeight="true" outlineLevel="0" collapsed="false"/>
    <row r="3401" customFormat="false" ht="12.75" hidden="false" customHeight="true" outlineLevel="0" collapsed="false"/>
    <row r="3402" customFormat="false" ht="12.75" hidden="false" customHeight="true" outlineLevel="0" collapsed="false"/>
    <row r="3403" customFormat="false" ht="12.75" hidden="false" customHeight="true" outlineLevel="0" collapsed="false"/>
    <row r="3404" customFormat="false" ht="12.75" hidden="false" customHeight="true" outlineLevel="0" collapsed="false"/>
    <row r="3405" customFormat="false" ht="12.75" hidden="false" customHeight="true" outlineLevel="0" collapsed="false"/>
    <row r="3406" customFormat="false" ht="12.75" hidden="false" customHeight="true" outlineLevel="0" collapsed="false"/>
    <row r="3407" customFormat="false" ht="12.75" hidden="false" customHeight="true" outlineLevel="0" collapsed="false"/>
    <row r="3408" customFormat="false" ht="12.75" hidden="false" customHeight="true" outlineLevel="0" collapsed="false"/>
    <row r="3409" customFormat="false" ht="12.75" hidden="false" customHeight="true" outlineLevel="0" collapsed="false"/>
    <row r="3410" customFormat="false" ht="12.75" hidden="false" customHeight="true" outlineLevel="0" collapsed="false"/>
    <row r="3411" customFormat="false" ht="12.75" hidden="false" customHeight="true" outlineLevel="0" collapsed="false"/>
    <row r="3412" customFormat="false" ht="12.75" hidden="false" customHeight="true" outlineLevel="0" collapsed="false"/>
    <row r="3413" customFormat="false" ht="12.75" hidden="false" customHeight="true" outlineLevel="0" collapsed="false"/>
    <row r="3414" customFormat="false" ht="12.75" hidden="false" customHeight="true" outlineLevel="0" collapsed="false"/>
    <row r="3415" customFormat="false" ht="12.75" hidden="false" customHeight="true" outlineLevel="0" collapsed="false"/>
    <row r="3416" customFormat="false" ht="12.75" hidden="false" customHeight="true" outlineLevel="0" collapsed="false"/>
    <row r="3417" customFormat="false" ht="12.75" hidden="false" customHeight="true" outlineLevel="0" collapsed="false"/>
    <row r="3418" customFormat="false" ht="12.75" hidden="false" customHeight="true" outlineLevel="0" collapsed="false"/>
    <row r="3419" customFormat="false" ht="12.75" hidden="false" customHeight="true" outlineLevel="0" collapsed="false"/>
    <row r="3420" customFormat="false" ht="12.75" hidden="false" customHeight="true" outlineLevel="0" collapsed="false"/>
    <row r="3421" customFormat="false" ht="12.75" hidden="false" customHeight="true" outlineLevel="0" collapsed="false"/>
    <row r="3422" customFormat="false" ht="12.75" hidden="false" customHeight="true" outlineLevel="0" collapsed="false"/>
    <row r="3423" customFormat="false" ht="12.75" hidden="false" customHeight="true" outlineLevel="0" collapsed="false"/>
    <row r="3424" customFormat="false" ht="12.75" hidden="false" customHeight="true" outlineLevel="0" collapsed="false"/>
    <row r="3425" customFormat="false" ht="12.75" hidden="false" customHeight="true" outlineLevel="0" collapsed="false"/>
    <row r="3426" customFormat="false" ht="12.75" hidden="false" customHeight="true" outlineLevel="0" collapsed="false"/>
    <row r="3427" customFormat="false" ht="12.75" hidden="false" customHeight="true" outlineLevel="0" collapsed="false"/>
    <row r="3428" customFormat="false" ht="12.75" hidden="false" customHeight="true" outlineLevel="0" collapsed="false"/>
    <row r="3429" customFormat="false" ht="12.75" hidden="false" customHeight="true" outlineLevel="0" collapsed="false"/>
    <row r="3430" customFormat="false" ht="12.75" hidden="false" customHeight="true" outlineLevel="0" collapsed="false"/>
    <row r="3431" customFormat="false" ht="12.75" hidden="false" customHeight="true" outlineLevel="0" collapsed="false"/>
    <row r="3432" customFormat="false" ht="12.75" hidden="false" customHeight="true" outlineLevel="0" collapsed="false"/>
    <row r="3433" customFormat="false" ht="12.75" hidden="false" customHeight="true" outlineLevel="0" collapsed="false"/>
    <row r="3434" customFormat="false" ht="12.75" hidden="false" customHeight="true" outlineLevel="0" collapsed="false"/>
    <row r="3435" customFormat="false" ht="12.75" hidden="false" customHeight="true" outlineLevel="0" collapsed="false"/>
    <row r="3436" customFormat="false" ht="12.75" hidden="false" customHeight="true" outlineLevel="0" collapsed="false"/>
    <row r="3437" customFormat="false" ht="12.75" hidden="false" customHeight="true" outlineLevel="0" collapsed="false"/>
    <row r="3438" customFormat="false" ht="12.75" hidden="false" customHeight="true" outlineLevel="0" collapsed="false"/>
    <row r="3439" customFormat="false" ht="12.75" hidden="false" customHeight="true" outlineLevel="0" collapsed="false"/>
    <row r="3440" customFormat="false" ht="12.75" hidden="false" customHeight="true" outlineLevel="0" collapsed="false"/>
    <row r="3441" customFormat="false" ht="12.75" hidden="false" customHeight="true" outlineLevel="0" collapsed="false"/>
    <row r="3442" customFormat="false" ht="12.75" hidden="false" customHeight="true" outlineLevel="0" collapsed="false"/>
    <row r="3443" customFormat="false" ht="12.75" hidden="false" customHeight="true" outlineLevel="0" collapsed="false"/>
    <row r="3444" customFormat="false" ht="12.75" hidden="false" customHeight="true" outlineLevel="0" collapsed="false"/>
    <row r="3445" customFormat="false" ht="12.75" hidden="false" customHeight="true" outlineLevel="0" collapsed="false"/>
    <row r="3446" customFormat="false" ht="12.75" hidden="false" customHeight="true" outlineLevel="0" collapsed="false"/>
    <row r="3447" customFormat="false" ht="12.75" hidden="false" customHeight="true" outlineLevel="0" collapsed="false"/>
    <row r="3448" customFormat="false" ht="12.75" hidden="false" customHeight="true" outlineLevel="0" collapsed="false"/>
    <row r="3449" customFormat="false" ht="12.75" hidden="false" customHeight="true" outlineLevel="0" collapsed="false"/>
    <row r="3450" customFormat="false" ht="12.75" hidden="false" customHeight="true" outlineLevel="0" collapsed="false"/>
    <row r="3451" customFormat="false" ht="12.75" hidden="false" customHeight="true" outlineLevel="0" collapsed="false"/>
    <row r="3452" customFormat="false" ht="12.75" hidden="false" customHeight="true" outlineLevel="0" collapsed="false"/>
    <row r="3453" customFormat="false" ht="12.75" hidden="false" customHeight="true" outlineLevel="0" collapsed="false"/>
    <row r="3454" customFormat="false" ht="12.75" hidden="false" customHeight="true" outlineLevel="0" collapsed="false"/>
    <row r="3455" customFormat="false" ht="12.75" hidden="false" customHeight="true" outlineLevel="0" collapsed="false"/>
    <row r="3456" customFormat="false" ht="12.75" hidden="false" customHeight="true" outlineLevel="0" collapsed="false"/>
    <row r="3457" customFormat="false" ht="12.75" hidden="false" customHeight="true" outlineLevel="0" collapsed="false"/>
    <row r="3458" customFormat="false" ht="12.75" hidden="false" customHeight="true" outlineLevel="0" collapsed="false"/>
    <row r="3459" customFormat="false" ht="12.75" hidden="false" customHeight="true" outlineLevel="0" collapsed="false"/>
    <row r="3460" customFormat="false" ht="12.75" hidden="false" customHeight="true" outlineLevel="0" collapsed="false"/>
    <row r="3461" customFormat="false" ht="12.75" hidden="false" customHeight="true" outlineLevel="0" collapsed="false"/>
    <row r="3462" customFormat="false" ht="12.75" hidden="false" customHeight="true" outlineLevel="0" collapsed="false"/>
    <row r="3463" customFormat="false" ht="12.75" hidden="false" customHeight="true" outlineLevel="0" collapsed="false"/>
    <row r="3464" customFormat="false" ht="12.75" hidden="false" customHeight="true" outlineLevel="0" collapsed="false"/>
    <row r="3465" customFormat="false" ht="12.75" hidden="false" customHeight="true" outlineLevel="0" collapsed="false"/>
    <row r="3466" customFormat="false" ht="12.75" hidden="false" customHeight="true" outlineLevel="0" collapsed="false"/>
    <row r="3467" customFormat="false" ht="12.75" hidden="false" customHeight="true" outlineLevel="0" collapsed="false"/>
    <row r="3468" customFormat="false" ht="12.75" hidden="false" customHeight="true" outlineLevel="0" collapsed="false"/>
    <row r="3469" customFormat="false" ht="12.75" hidden="false" customHeight="true" outlineLevel="0" collapsed="false"/>
    <row r="3470" customFormat="false" ht="12.75" hidden="false" customHeight="true" outlineLevel="0" collapsed="false"/>
    <row r="3471" customFormat="false" ht="12.75" hidden="false" customHeight="true" outlineLevel="0" collapsed="false"/>
    <row r="3472" customFormat="false" ht="12.75" hidden="false" customHeight="true" outlineLevel="0" collapsed="false"/>
    <row r="3473" customFormat="false" ht="12.75" hidden="false" customHeight="true" outlineLevel="0" collapsed="false"/>
    <row r="3474" customFormat="false" ht="12.75" hidden="false" customHeight="true" outlineLevel="0" collapsed="false"/>
    <row r="3475" customFormat="false" ht="12.75" hidden="false" customHeight="true" outlineLevel="0" collapsed="false"/>
    <row r="3476" customFormat="false" ht="12.75" hidden="false" customHeight="true" outlineLevel="0" collapsed="false"/>
    <row r="3477" customFormat="false" ht="12.75" hidden="false" customHeight="true" outlineLevel="0" collapsed="false"/>
    <row r="3478" customFormat="false" ht="12.75" hidden="false" customHeight="true" outlineLevel="0" collapsed="false"/>
    <row r="3479" customFormat="false" ht="12.75" hidden="false" customHeight="true" outlineLevel="0" collapsed="false"/>
    <row r="3480" customFormat="false" ht="12.75" hidden="false" customHeight="true" outlineLevel="0" collapsed="false"/>
    <row r="3481" customFormat="false" ht="12.75" hidden="false" customHeight="true" outlineLevel="0" collapsed="false"/>
    <row r="3482" customFormat="false" ht="12.75" hidden="false" customHeight="true" outlineLevel="0" collapsed="false"/>
    <row r="3483" customFormat="false" ht="12.75" hidden="false" customHeight="true" outlineLevel="0" collapsed="false"/>
    <row r="3484" customFormat="false" ht="12.75" hidden="false" customHeight="true" outlineLevel="0" collapsed="false"/>
    <row r="3485" customFormat="false" ht="12.75" hidden="false" customHeight="true" outlineLevel="0" collapsed="false"/>
    <row r="3486" customFormat="false" ht="12.75" hidden="false" customHeight="true" outlineLevel="0" collapsed="false"/>
    <row r="3487" customFormat="false" ht="12.75" hidden="false" customHeight="true" outlineLevel="0" collapsed="false"/>
    <row r="3488" customFormat="false" ht="12.75" hidden="false" customHeight="true" outlineLevel="0" collapsed="false"/>
    <row r="3489" customFormat="false" ht="12.75" hidden="false" customHeight="true" outlineLevel="0" collapsed="false"/>
    <row r="3490" customFormat="false" ht="12.75" hidden="false" customHeight="true" outlineLevel="0" collapsed="false"/>
    <row r="3491" customFormat="false" ht="12.75" hidden="false" customHeight="true" outlineLevel="0" collapsed="false"/>
    <row r="3492" customFormat="false" ht="12.75" hidden="false" customHeight="true" outlineLevel="0" collapsed="false"/>
    <row r="3493" customFormat="false" ht="12.75" hidden="false" customHeight="true" outlineLevel="0" collapsed="false"/>
    <row r="3494" customFormat="false" ht="12.75" hidden="false" customHeight="true" outlineLevel="0" collapsed="false"/>
    <row r="3495" customFormat="false" ht="12.75" hidden="false" customHeight="true" outlineLevel="0" collapsed="false"/>
    <row r="3496" customFormat="false" ht="12.75" hidden="false" customHeight="true" outlineLevel="0" collapsed="false"/>
    <row r="3497" customFormat="false" ht="12.75" hidden="false" customHeight="true" outlineLevel="0" collapsed="false"/>
    <row r="3498" customFormat="false" ht="12.75" hidden="false" customHeight="true" outlineLevel="0" collapsed="false"/>
    <row r="3499" customFormat="false" ht="12.75" hidden="false" customHeight="true" outlineLevel="0" collapsed="false"/>
    <row r="3500" customFormat="false" ht="12.75" hidden="false" customHeight="true" outlineLevel="0" collapsed="false"/>
    <row r="3501" customFormat="false" ht="12.75" hidden="false" customHeight="true" outlineLevel="0" collapsed="false"/>
    <row r="3502" customFormat="false" ht="12.75" hidden="false" customHeight="true" outlineLevel="0" collapsed="false"/>
    <row r="3503" customFormat="false" ht="12.75" hidden="false" customHeight="true" outlineLevel="0" collapsed="false"/>
    <row r="3504" customFormat="false" ht="12.75" hidden="false" customHeight="true" outlineLevel="0" collapsed="false"/>
    <row r="3505" customFormat="false" ht="12.75" hidden="false" customHeight="true" outlineLevel="0" collapsed="false"/>
    <row r="3506" customFormat="false" ht="12.75" hidden="false" customHeight="true" outlineLevel="0" collapsed="false"/>
    <row r="3507" customFormat="false" ht="12.75" hidden="false" customHeight="true" outlineLevel="0" collapsed="false"/>
    <row r="3508" customFormat="false" ht="12.75" hidden="false" customHeight="true" outlineLevel="0" collapsed="false"/>
    <row r="3509" customFormat="false" ht="12.75" hidden="false" customHeight="true" outlineLevel="0" collapsed="false"/>
    <row r="3510" customFormat="false" ht="12.75" hidden="false" customHeight="true" outlineLevel="0" collapsed="false"/>
    <row r="3511" customFormat="false" ht="12.75" hidden="false" customHeight="true" outlineLevel="0" collapsed="false"/>
    <row r="3512" customFormat="false" ht="12.75" hidden="false" customHeight="true" outlineLevel="0" collapsed="false"/>
    <row r="3513" customFormat="false" ht="12.75" hidden="false" customHeight="true" outlineLevel="0" collapsed="false"/>
    <row r="3514" customFormat="false" ht="12.75" hidden="false" customHeight="true" outlineLevel="0" collapsed="false"/>
    <row r="3515" customFormat="false" ht="12.75" hidden="false" customHeight="true" outlineLevel="0" collapsed="false"/>
    <row r="3516" customFormat="false" ht="12.75" hidden="false" customHeight="true" outlineLevel="0" collapsed="false"/>
    <row r="3517" customFormat="false" ht="12.75" hidden="false" customHeight="true" outlineLevel="0" collapsed="false"/>
    <row r="3518" customFormat="false" ht="12.75" hidden="false" customHeight="true" outlineLevel="0" collapsed="false"/>
    <row r="3519" customFormat="false" ht="12.75" hidden="false" customHeight="true" outlineLevel="0" collapsed="false"/>
    <row r="3520" customFormat="false" ht="12.75" hidden="false" customHeight="true" outlineLevel="0" collapsed="false"/>
    <row r="3521" customFormat="false" ht="12.75" hidden="false" customHeight="true" outlineLevel="0" collapsed="false"/>
    <row r="3522" customFormat="false" ht="12.75" hidden="false" customHeight="true" outlineLevel="0" collapsed="false"/>
    <row r="3523" customFormat="false" ht="12.75" hidden="false" customHeight="true" outlineLevel="0" collapsed="false"/>
    <row r="3524" customFormat="false" ht="12.75" hidden="false" customHeight="true" outlineLevel="0" collapsed="false"/>
    <row r="3525" customFormat="false" ht="12.75" hidden="false" customHeight="true" outlineLevel="0" collapsed="false"/>
    <row r="3526" customFormat="false" ht="12.75" hidden="false" customHeight="true" outlineLevel="0" collapsed="false"/>
    <row r="3527" customFormat="false" ht="12.75" hidden="false" customHeight="true" outlineLevel="0" collapsed="false"/>
    <row r="3528" customFormat="false" ht="12.75" hidden="false" customHeight="true" outlineLevel="0" collapsed="false"/>
    <row r="3529" customFormat="false" ht="12.75" hidden="false" customHeight="true" outlineLevel="0" collapsed="false"/>
    <row r="3530" customFormat="false" ht="12.75" hidden="false" customHeight="true" outlineLevel="0" collapsed="false"/>
    <row r="3531" customFormat="false" ht="12.75" hidden="false" customHeight="true" outlineLevel="0" collapsed="false"/>
    <row r="3532" customFormat="false" ht="12.75" hidden="false" customHeight="true" outlineLevel="0" collapsed="false"/>
    <row r="3533" customFormat="false" ht="12.75" hidden="false" customHeight="true" outlineLevel="0" collapsed="false"/>
    <row r="3534" customFormat="false" ht="12.75" hidden="false" customHeight="true" outlineLevel="0" collapsed="false"/>
    <row r="3535" customFormat="false" ht="12.75" hidden="false" customHeight="true" outlineLevel="0" collapsed="false"/>
    <row r="3536" customFormat="false" ht="12.75" hidden="false" customHeight="true" outlineLevel="0" collapsed="false"/>
    <row r="3537" customFormat="false" ht="12.75" hidden="false" customHeight="true" outlineLevel="0" collapsed="false"/>
    <row r="3538" customFormat="false" ht="12.75" hidden="false" customHeight="true" outlineLevel="0" collapsed="false"/>
    <row r="3539" customFormat="false" ht="12.75" hidden="false" customHeight="true" outlineLevel="0" collapsed="false"/>
    <row r="3540" customFormat="false" ht="12.75" hidden="false" customHeight="true" outlineLevel="0" collapsed="false"/>
    <row r="3541" customFormat="false" ht="12.75" hidden="false" customHeight="true" outlineLevel="0" collapsed="false"/>
    <row r="3542" customFormat="false" ht="12.75" hidden="false" customHeight="true" outlineLevel="0" collapsed="false"/>
    <row r="3543" customFormat="false" ht="12.75" hidden="false" customHeight="true" outlineLevel="0" collapsed="false"/>
    <row r="3544" customFormat="false" ht="12.75" hidden="false" customHeight="true" outlineLevel="0" collapsed="false"/>
    <row r="3545" customFormat="false" ht="12.75" hidden="false" customHeight="true" outlineLevel="0" collapsed="false"/>
    <row r="3546" customFormat="false" ht="12.75" hidden="false" customHeight="true" outlineLevel="0" collapsed="false"/>
    <row r="3547" customFormat="false" ht="12.75" hidden="false" customHeight="true" outlineLevel="0" collapsed="false"/>
    <row r="3548" customFormat="false" ht="12.75" hidden="false" customHeight="true" outlineLevel="0" collapsed="false"/>
    <row r="3549" customFormat="false" ht="12.75" hidden="false" customHeight="true" outlineLevel="0" collapsed="false"/>
    <row r="3550" customFormat="false" ht="12.75" hidden="false" customHeight="true" outlineLevel="0" collapsed="false"/>
    <row r="3551" customFormat="false" ht="12.75" hidden="false" customHeight="true" outlineLevel="0" collapsed="false"/>
    <row r="3552" customFormat="false" ht="12.75" hidden="false" customHeight="true" outlineLevel="0" collapsed="false"/>
    <row r="3553" customFormat="false" ht="12.75" hidden="false" customHeight="true" outlineLevel="0" collapsed="false"/>
    <row r="3554" customFormat="false" ht="12.75" hidden="false" customHeight="true" outlineLevel="0" collapsed="false"/>
    <row r="3555" customFormat="false" ht="12.75" hidden="false" customHeight="true" outlineLevel="0" collapsed="false"/>
    <row r="3556" customFormat="false" ht="12.75" hidden="false" customHeight="true" outlineLevel="0" collapsed="false"/>
    <row r="3557" customFormat="false" ht="12.75" hidden="false" customHeight="true" outlineLevel="0" collapsed="false"/>
    <row r="3558" customFormat="false" ht="12.75" hidden="false" customHeight="true" outlineLevel="0" collapsed="false"/>
    <row r="3559" customFormat="false" ht="12.75" hidden="false" customHeight="true" outlineLevel="0" collapsed="false"/>
    <row r="3560" customFormat="false" ht="12.75" hidden="false" customHeight="true" outlineLevel="0" collapsed="false"/>
    <row r="3561" customFormat="false" ht="12.75" hidden="false" customHeight="true" outlineLevel="0" collapsed="false"/>
    <row r="3562" customFormat="false" ht="12.75" hidden="false" customHeight="true" outlineLevel="0" collapsed="false"/>
    <row r="3563" customFormat="false" ht="12.75" hidden="false" customHeight="true" outlineLevel="0" collapsed="false"/>
    <row r="3564" customFormat="false" ht="12.75" hidden="false" customHeight="true" outlineLevel="0" collapsed="false"/>
    <row r="3565" customFormat="false" ht="12.75" hidden="false" customHeight="true" outlineLevel="0" collapsed="false"/>
    <row r="3566" customFormat="false" ht="12.75" hidden="false" customHeight="true" outlineLevel="0" collapsed="false"/>
    <row r="3567" customFormat="false" ht="12.75" hidden="false" customHeight="true" outlineLevel="0" collapsed="false"/>
    <row r="3568" customFormat="false" ht="12.75" hidden="false" customHeight="true" outlineLevel="0" collapsed="false"/>
    <row r="3569" customFormat="false" ht="12.75" hidden="false" customHeight="true" outlineLevel="0" collapsed="false"/>
    <row r="3570" customFormat="false" ht="12.75" hidden="false" customHeight="true" outlineLevel="0" collapsed="false"/>
    <row r="3571" customFormat="false" ht="12.75" hidden="false" customHeight="true" outlineLevel="0" collapsed="false"/>
    <row r="3572" customFormat="false" ht="12.75" hidden="false" customHeight="true" outlineLevel="0" collapsed="false"/>
    <row r="3573" customFormat="false" ht="12.75" hidden="false" customHeight="true" outlineLevel="0" collapsed="false"/>
    <row r="3574" customFormat="false" ht="12.75" hidden="false" customHeight="true" outlineLevel="0" collapsed="false"/>
    <row r="3575" customFormat="false" ht="12.75" hidden="false" customHeight="true" outlineLevel="0" collapsed="false"/>
    <row r="3576" customFormat="false" ht="12.75" hidden="false" customHeight="true" outlineLevel="0" collapsed="false"/>
    <row r="3577" customFormat="false" ht="12.75" hidden="false" customHeight="true" outlineLevel="0" collapsed="false"/>
    <row r="3578" customFormat="false" ht="12.75" hidden="false" customHeight="true" outlineLevel="0" collapsed="false"/>
    <row r="3579" customFormat="false" ht="12.75" hidden="false" customHeight="true" outlineLevel="0" collapsed="false"/>
    <row r="3580" customFormat="false" ht="12.75" hidden="false" customHeight="true" outlineLevel="0" collapsed="false"/>
    <row r="3581" customFormat="false" ht="12.75" hidden="false" customHeight="true" outlineLevel="0" collapsed="false"/>
    <row r="3582" customFormat="false" ht="12.75" hidden="false" customHeight="true" outlineLevel="0" collapsed="false"/>
    <row r="3583" customFormat="false" ht="12.75" hidden="false" customHeight="true" outlineLevel="0" collapsed="false"/>
    <row r="3584" customFormat="false" ht="12.75" hidden="false" customHeight="true" outlineLevel="0" collapsed="false"/>
    <row r="3585" customFormat="false" ht="12.75" hidden="false" customHeight="true" outlineLevel="0" collapsed="false"/>
    <row r="3586" customFormat="false" ht="12.75" hidden="false" customHeight="true" outlineLevel="0" collapsed="false"/>
    <row r="3587" customFormat="false" ht="12.75" hidden="false" customHeight="true" outlineLevel="0" collapsed="false"/>
    <row r="3588" customFormat="false" ht="12.75" hidden="false" customHeight="true" outlineLevel="0" collapsed="false"/>
    <row r="3589" customFormat="false" ht="12.75" hidden="false" customHeight="true" outlineLevel="0" collapsed="false"/>
    <row r="3590" customFormat="false" ht="12.75" hidden="false" customHeight="true" outlineLevel="0" collapsed="false"/>
    <row r="3591" customFormat="false" ht="12.75" hidden="false" customHeight="true" outlineLevel="0" collapsed="false"/>
    <row r="3592" customFormat="false" ht="12.75" hidden="false" customHeight="true" outlineLevel="0" collapsed="false"/>
    <row r="3593" customFormat="false" ht="12.75" hidden="false" customHeight="true" outlineLevel="0" collapsed="false"/>
    <row r="3594" customFormat="false" ht="12.75" hidden="false" customHeight="true" outlineLevel="0" collapsed="false"/>
    <row r="3595" customFormat="false" ht="12.75" hidden="false" customHeight="true" outlineLevel="0" collapsed="false"/>
    <row r="3596" customFormat="false" ht="12.75" hidden="false" customHeight="true" outlineLevel="0" collapsed="false"/>
    <row r="3597" customFormat="false" ht="12.75" hidden="false" customHeight="true" outlineLevel="0" collapsed="false"/>
    <row r="3598" customFormat="false" ht="12.75" hidden="false" customHeight="true" outlineLevel="0" collapsed="false"/>
    <row r="3599" customFormat="false" ht="12.75" hidden="false" customHeight="true" outlineLevel="0" collapsed="false"/>
    <row r="3600" customFormat="false" ht="12.75" hidden="false" customHeight="true" outlineLevel="0" collapsed="false"/>
    <row r="3601" customFormat="false" ht="12.75" hidden="false" customHeight="true" outlineLevel="0" collapsed="false"/>
    <row r="3602" customFormat="false" ht="12.75" hidden="false" customHeight="true" outlineLevel="0" collapsed="false"/>
    <row r="3603" customFormat="false" ht="12.75" hidden="false" customHeight="true" outlineLevel="0" collapsed="false"/>
    <row r="3604" customFormat="false" ht="12.75" hidden="false" customHeight="true" outlineLevel="0" collapsed="false"/>
    <row r="3605" customFormat="false" ht="12.75" hidden="false" customHeight="true" outlineLevel="0" collapsed="false"/>
    <row r="3606" customFormat="false" ht="12.75" hidden="false" customHeight="true" outlineLevel="0" collapsed="false"/>
    <row r="3607" customFormat="false" ht="12.75" hidden="false" customHeight="true" outlineLevel="0" collapsed="false"/>
    <row r="3608" customFormat="false" ht="12.75" hidden="false" customHeight="true" outlineLevel="0" collapsed="false"/>
    <row r="3609" customFormat="false" ht="12.75" hidden="false" customHeight="true" outlineLevel="0" collapsed="false"/>
    <row r="3610" customFormat="false" ht="12.75" hidden="false" customHeight="true" outlineLevel="0" collapsed="false"/>
    <row r="3611" customFormat="false" ht="12.75" hidden="false" customHeight="true" outlineLevel="0" collapsed="false"/>
    <row r="3612" customFormat="false" ht="12.75" hidden="false" customHeight="true" outlineLevel="0" collapsed="false"/>
    <row r="3613" customFormat="false" ht="12.75" hidden="false" customHeight="true" outlineLevel="0" collapsed="false"/>
    <row r="3614" customFormat="false" ht="12.75" hidden="false" customHeight="true" outlineLevel="0" collapsed="false"/>
    <row r="3615" customFormat="false" ht="12.75" hidden="false" customHeight="true" outlineLevel="0" collapsed="false"/>
    <row r="3616" customFormat="false" ht="12.75" hidden="false" customHeight="true" outlineLevel="0" collapsed="false"/>
    <row r="3617" customFormat="false" ht="12.75" hidden="false" customHeight="true" outlineLevel="0" collapsed="false"/>
    <row r="3618" customFormat="false" ht="12.75" hidden="false" customHeight="true" outlineLevel="0" collapsed="false"/>
    <row r="3619" customFormat="false" ht="12.75" hidden="false" customHeight="true" outlineLevel="0" collapsed="false"/>
    <row r="3620" customFormat="false" ht="12.75" hidden="false" customHeight="true" outlineLevel="0" collapsed="false"/>
    <row r="3621" customFormat="false" ht="12.75" hidden="false" customHeight="true" outlineLevel="0" collapsed="false"/>
    <row r="3622" customFormat="false" ht="12.75" hidden="false" customHeight="true" outlineLevel="0" collapsed="false"/>
    <row r="3623" customFormat="false" ht="12.75" hidden="false" customHeight="true" outlineLevel="0" collapsed="false"/>
    <row r="3624" customFormat="false" ht="12.75" hidden="false" customHeight="true" outlineLevel="0" collapsed="false"/>
    <row r="3625" customFormat="false" ht="12.75" hidden="false" customHeight="true" outlineLevel="0" collapsed="false"/>
    <row r="3626" customFormat="false" ht="12.75" hidden="false" customHeight="true" outlineLevel="0" collapsed="false"/>
    <row r="3627" customFormat="false" ht="12.75" hidden="false" customHeight="true" outlineLevel="0" collapsed="false"/>
    <row r="3628" customFormat="false" ht="12.75" hidden="false" customHeight="true" outlineLevel="0" collapsed="false"/>
    <row r="3629" customFormat="false" ht="12.75" hidden="false" customHeight="true" outlineLevel="0" collapsed="false"/>
    <row r="3630" customFormat="false" ht="12.75" hidden="false" customHeight="true" outlineLevel="0" collapsed="false"/>
    <row r="3631" customFormat="false" ht="12.75" hidden="false" customHeight="true" outlineLevel="0" collapsed="false"/>
    <row r="3632" customFormat="false" ht="12.75" hidden="false" customHeight="true" outlineLevel="0" collapsed="false"/>
    <row r="3633" customFormat="false" ht="12.75" hidden="false" customHeight="true" outlineLevel="0" collapsed="false"/>
    <row r="3634" customFormat="false" ht="12.75" hidden="false" customHeight="true" outlineLevel="0" collapsed="false"/>
    <row r="3635" customFormat="false" ht="12.75" hidden="false" customHeight="true" outlineLevel="0" collapsed="false"/>
    <row r="3636" customFormat="false" ht="12.75" hidden="false" customHeight="true" outlineLevel="0" collapsed="false"/>
    <row r="3637" customFormat="false" ht="12.75" hidden="false" customHeight="true" outlineLevel="0" collapsed="false"/>
    <row r="3638" customFormat="false" ht="12.75" hidden="false" customHeight="true" outlineLevel="0" collapsed="false"/>
    <row r="3639" customFormat="false" ht="12.75" hidden="false" customHeight="true" outlineLevel="0" collapsed="false"/>
    <row r="3640" customFormat="false" ht="12.75" hidden="false" customHeight="true" outlineLevel="0" collapsed="false"/>
    <row r="3641" customFormat="false" ht="12.75" hidden="false" customHeight="true" outlineLevel="0" collapsed="false"/>
    <row r="3642" customFormat="false" ht="12.75" hidden="false" customHeight="true" outlineLevel="0" collapsed="false"/>
    <row r="3643" customFormat="false" ht="12.75" hidden="false" customHeight="true" outlineLevel="0" collapsed="false"/>
    <row r="3644" customFormat="false" ht="12.75" hidden="false" customHeight="true" outlineLevel="0" collapsed="false"/>
    <row r="3645" customFormat="false" ht="12.75" hidden="false" customHeight="true" outlineLevel="0" collapsed="false"/>
    <row r="3646" customFormat="false" ht="12.75" hidden="false" customHeight="true" outlineLevel="0" collapsed="false"/>
    <row r="3647" customFormat="false" ht="12.75" hidden="false" customHeight="true" outlineLevel="0" collapsed="false"/>
    <row r="3648" customFormat="false" ht="12.75" hidden="false" customHeight="true" outlineLevel="0" collapsed="false"/>
    <row r="3649" customFormat="false" ht="12.75" hidden="false" customHeight="true" outlineLevel="0" collapsed="false"/>
    <row r="3650" customFormat="false" ht="12.75" hidden="false" customHeight="true" outlineLevel="0" collapsed="false"/>
    <row r="3651" customFormat="false" ht="12.75" hidden="false" customHeight="true" outlineLevel="0" collapsed="false"/>
    <row r="3652" customFormat="false" ht="12.75" hidden="false" customHeight="true" outlineLevel="0" collapsed="false"/>
    <row r="3653" customFormat="false" ht="12.75" hidden="false" customHeight="true" outlineLevel="0" collapsed="false"/>
    <row r="3654" customFormat="false" ht="12.75" hidden="false" customHeight="true" outlineLevel="0" collapsed="false"/>
    <row r="3655" customFormat="false" ht="12.75" hidden="false" customHeight="true" outlineLevel="0" collapsed="false"/>
    <row r="3656" customFormat="false" ht="12.75" hidden="false" customHeight="true" outlineLevel="0" collapsed="false"/>
    <row r="3657" customFormat="false" ht="12.75" hidden="false" customHeight="true" outlineLevel="0" collapsed="false"/>
    <row r="3658" customFormat="false" ht="12.75" hidden="false" customHeight="true" outlineLevel="0" collapsed="false"/>
    <row r="3659" customFormat="false" ht="12.75" hidden="false" customHeight="true" outlineLevel="0" collapsed="false"/>
    <row r="3660" customFormat="false" ht="12.75" hidden="false" customHeight="true" outlineLevel="0" collapsed="false"/>
    <row r="3661" customFormat="false" ht="12.75" hidden="false" customHeight="true" outlineLevel="0" collapsed="false"/>
    <row r="3662" customFormat="false" ht="12.75" hidden="false" customHeight="true" outlineLevel="0" collapsed="false"/>
    <row r="3663" customFormat="false" ht="12.75" hidden="false" customHeight="true" outlineLevel="0" collapsed="false"/>
    <row r="3664" customFormat="false" ht="12.75" hidden="false" customHeight="true" outlineLevel="0" collapsed="false"/>
    <row r="3665" customFormat="false" ht="12.75" hidden="false" customHeight="true" outlineLevel="0" collapsed="false"/>
    <row r="3666" customFormat="false" ht="12.75" hidden="false" customHeight="true" outlineLevel="0" collapsed="false"/>
    <row r="3667" customFormat="false" ht="12.75" hidden="false" customHeight="true" outlineLevel="0" collapsed="false"/>
    <row r="3668" customFormat="false" ht="12.75" hidden="false" customHeight="true" outlineLevel="0" collapsed="false"/>
    <row r="3669" customFormat="false" ht="12.75" hidden="false" customHeight="true" outlineLevel="0" collapsed="false"/>
    <row r="3670" customFormat="false" ht="12.75" hidden="false" customHeight="true" outlineLevel="0" collapsed="false"/>
    <row r="3671" customFormat="false" ht="12.75" hidden="false" customHeight="true" outlineLevel="0" collapsed="false"/>
    <row r="3672" customFormat="false" ht="12.75" hidden="false" customHeight="true" outlineLevel="0" collapsed="false"/>
    <row r="3673" customFormat="false" ht="12.75" hidden="false" customHeight="true" outlineLevel="0" collapsed="false"/>
    <row r="3674" customFormat="false" ht="12.75" hidden="false" customHeight="true" outlineLevel="0" collapsed="false"/>
    <row r="3675" customFormat="false" ht="12.75" hidden="false" customHeight="true" outlineLevel="0" collapsed="false"/>
    <row r="3676" customFormat="false" ht="12.75" hidden="false" customHeight="true" outlineLevel="0" collapsed="false"/>
    <row r="3677" customFormat="false" ht="12.75" hidden="false" customHeight="true" outlineLevel="0" collapsed="false"/>
    <row r="3678" customFormat="false" ht="12.75" hidden="false" customHeight="true" outlineLevel="0" collapsed="false"/>
    <row r="3679" customFormat="false" ht="12.75" hidden="false" customHeight="true" outlineLevel="0" collapsed="false"/>
    <row r="3680" customFormat="false" ht="12.75" hidden="false" customHeight="true" outlineLevel="0" collapsed="false"/>
    <row r="3681" customFormat="false" ht="12.75" hidden="false" customHeight="true" outlineLevel="0" collapsed="false"/>
    <row r="3682" customFormat="false" ht="12.75" hidden="false" customHeight="true" outlineLevel="0" collapsed="false"/>
    <row r="3683" customFormat="false" ht="12.75" hidden="false" customHeight="true" outlineLevel="0" collapsed="false"/>
    <row r="3684" customFormat="false" ht="12.75" hidden="false" customHeight="true" outlineLevel="0" collapsed="false"/>
    <row r="3685" customFormat="false" ht="12.75" hidden="false" customHeight="true" outlineLevel="0" collapsed="false"/>
    <row r="3686" customFormat="false" ht="12.75" hidden="false" customHeight="true" outlineLevel="0" collapsed="false"/>
    <row r="3687" customFormat="false" ht="12.75" hidden="false" customHeight="true" outlineLevel="0" collapsed="false"/>
    <row r="3688" customFormat="false" ht="12.75" hidden="false" customHeight="true" outlineLevel="0" collapsed="false"/>
    <row r="3689" customFormat="false" ht="12.75" hidden="false" customHeight="true" outlineLevel="0" collapsed="false"/>
    <row r="3690" customFormat="false" ht="12.75" hidden="false" customHeight="true" outlineLevel="0" collapsed="false"/>
    <row r="3691" customFormat="false" ht="12.75" hidden="false" customHeight="true" outlineLevel="0" collapsed="false"/>
    <row r="3692" customFormat="false" ht="12.75" hidden="false" customHeight="true" outlineLevel="0" collapsed="false"/>
    <row r="3693" customFormat="false" ht="12.75" hidden="false" customHeight="true" outlineLevel="0" collapsed="false"/>
    <row r="3694" customFormat="false" ht="12.75" hidden="false" customHeight="true" outlineLevel="0" collapsed="false"/>
    <row r="3695" customFormat="false" ht="12.75" hidden="false" customHeight="true" outlineLevel="0" collapsed="false"/>
    <row r="3696" customFormat="false" ht="12.75" hidden="false" customHeight="true" outlineLevel="0" collapsed="false"/>
    <row r="3697" customFormat="false" ht="12.75" hidden="false" customHeight="true" outlineLevel="0" collapsed="false"/>
    <row r="3698" customFormat="false" ht="12.75" hidden="false" customHeight="true" outlineLevel="0" collapsed="false"/>
    <row r="3699" customFormat="false" ht="12.75" hidden="false" customHeight="true" outlineLevel="0" collapsed="false"/>
    <row r="3700" customFormat="false" ht="12.75" hidden="false" customHeight="true" outlineLevel="0" collapsed="false"/>
    <row r="3701" customFormat="false" ht="12.75" hidden="false" customHeight="true" outlineLevel="0" collapsed="false"/>
    <row r="3702" customFormat="false" ht="12.75" hidden="false" customHeight="true" outlineLevel="0" collapsed="false"/>
    <row r="3703" customFormat="false" ht="12.75" hidden="false" customHeight="true" outlineLevel="0" collapsed="false"/>
    <row r="3704" customFormat="false" ht="12.75" hidden="false" customHeight="true" outlineLevel="0" collapsed="false"/>
    <row r="3705" customFormat="false" ht="12.75" hidden="false" customHeight="true" outlineLevel="0" collapsed="false"/>
    <row r="3706" customFormat="false" ht="12.75" hidden="false" customHeight="true" outlineLevel="0" collapsed="false"/>
    <row r="3707" customFormat="false" ht="12.75" hidden="false" customHeight="true" outlineLevel="0" collapsed="false"/>
    <row r="3708" customFormat="false" ht="12.75" hidden="false" customHeight="true" outlineLevel="0" collapsed="false"/>
    <row r="3709" customFormat="false" ht="12.75" hidden="false" customHeight="true" outlineLevel="0" collapsed="false"/>
    <row r="3710" customFormat="false" ht="12.75" hidden="false" customHeight="true" outlineLevel="0" collapsed="false"/>
    <row r="3711" customFormat="false" ht="12.75" hidden="false" customHeight="true" outlineLevel="0" collapsed="false"/>
    <row r="3712" customFormat="false" ht="12.75" hidden="false" customHeight="true" outlineLevel="0" collapsed="false"/>
    <row r="3713" customFormat="false" ht="12.75" hidden="false" customHeight="true" outlineLevel="0" collapsed="false"/>
    <row r="3714" customFormat="false" ht="12.75" hidden="false" customHeight="true" outlineLevel="0" collapsed="false"/>
    <row r="3715" customFormat="false" ht="12.75" hidden="false" customHeight="true" outlineLevel="0" collapsed="false"/>
    <row r="3716" customFormat="false" ht="12.75" hidden="false" customHeight="true" outlineLevel="0" collapsed="false"/>
    <row r="3717" customFormat="false" ht="12.75" hidden="false" customHeight="true" outlineLevel="0" collapsed="false"/>
    <row r="3718" customFormat="false" ht="12.75" hidden="false" customHeight="true" outlineLevel="0" collapsed="false"/>
    <row r="3719" customFormat="false" ht="12.75" hidden="false" customHeight="true" outlineLevel="0" collapsed="false"/>
    <row r="3720" customFormat="false" ht="12.75" hidden="false" customHeight="true" outlineLevel="0" collapsed="false"/>
    <row r="3721" customFormat="false" ht="12.75" hidden="false" customHeight="true" outlineLevel="0" collapsed="false"/>
    <row r="3722" customFormat="false" ht="12.75" hidden="false" customHeight="true" outlineLevel="0" collapsed="false"/>
    <row r="3723" customFormat="false" ht="12.75" hidden="false" customHeight="true" outlineLevel="0" collapsed="false"/>
    <row r="3724" customFormat="false" ht="12.75" hidden="false" customHeight="true" outlineLevel="0" collapsed="false"/>
    <row r="3725" customFormat="false" ht="12.75" hidden="false" customHeight="true" outlineLevel="0" collapsed="false"/>
    <row r="3726" customFormat="false" ht="12.75" hidden="false" customHeight="true" outlineLevel="0" collapsed="false"/>
    <row r="3727" customFormat="false" ht="12.75" hidden="false" customHeight="true" outlineLevel="0" collapsed="false"/>
    <row r="3728" customFormat="false" ht="12.75" hidden="false" customHeight="true" outlineLevel="0" collapsed="false"/>
    <row r="3729" customFormat="false" ht="12.75" hidden="false" customHeight="true" outlineLevel="0" collapsed="false"/>
    <row r="3730" customFormat="false" ht="12.75" hidden="false" customHeight="true" outlineLevel="0" collapsed="false"/>
    <row r="3731" customFormat="false" ht="12.75" hidden="false" customHeight="true" outlineLevel="0" collapsed="false"/>
    <row r="3732" customFormat="false" ht="12.75" hidden="false" customHeight="true" outlineLevel="0" collapsed="false"/>
    <row r="3733" customFormat="false" ht="12.75" hidden="false" customHeight="true" outlineLevel="0" collapsed="false"/>
    <row r="3734" customFormat="false" ht="12.75" hidden="false" customHeight="true" outlineLevel="0" collapsed="false"/>
    <row r="3735" customFormat="false" ht="12.75" hidden="false" customHeight="true" outlineLevel="0" collapsed="false"/>
    <row r="3736" customFormat="false" ht="12.75" hidden="false" customHeight="true" outlineLevel="0" collapsed="false"/>
    <row r="3737" customFormat="false" ht="12.75" hidden="false" customHeight="true" outlineLevel="0" collapsed="false"/>
    <row r="3738" customFormat="false" ht="12.75" hidden="false" customHeight="true" outlineLevel="0" collapsed="false"/>
    <row r="3739" customFormat="false" ht="12.75" hidden="false" customHeight="true" outlineLevel="0" collapsed="false"/>
    <row r="3740" customFormat="false" ht="12.75" hidden="false" customHeight="true" outlineLevel="0" collapsed="false"/>
    <row r="3741" customFormat="false" ht="12.75" hidden="false" customHeight="true" outlineLevel="0" collapsed="false"/>
    <row r="3742" customFormat="false" ht="12.75" hidden="false" customHeight="true" outlineLevel="0" collapsed="false"/>
    <row r="3743" customFormat="false" ht="12.75" hidden="false" customHeight="true" outlineLevel="0" collapsed="false"/>
    <row r="3744" customFormat="false" ht="12.75" hidden="false" customHeight="true" outlineLevel="0" collapsed="false"/>
    <row r="3745" customFormat="false" ht="12.75" hidden="false" customHeight="true" outlineLevel="0" collapsed="false"/>
    <row r="3746" customFormat="false" ht="12.75" hidden="false" customHeight="true" outlineLevel="0" collapsed="false"/>
    <row r="3747" customFormat="false" ht="12.75" hidden="false" customHeight="true" outlineLevel="0" collapsed="false"/>
    <row r="3748" customFormat="false" ht="12.75" hidden="false" customHeight="true" outlineLevel="0" collapsed="false"/>
    <row r="3749" customFormat="false" ht="12.75" hidden="false" customHeight="true" outlineLevel="0" collapsed="false"/>
    <row r="3750" customFormat="false" ht="12.75" hidden="false" customHeight="true" outlineLevel="0" collapsed="false"/>
    <row r="3751" customFormat="false" ht="12.75" hidden="false" customHeight="true" outlineLevel="0" collapsed="false"/>
    <row r="3752" customFormat="false" ht="12.75" hidden="false" customHeight="true" outlineLevel="0" collapsed="false"/>
    <row r="3753" customFormat="false" ht="12.75" hidden="false" customHeight="true" outlineLevel="0" collapsed="false"/>
    <row r="3754" customFormat="false" ht="12.75" hidden="false" customHeight="true" outlineLevel="0" collapsed="false"/>
    <row r="3755" customFormat="false" ht="12.75" hidden="false" customHeight="true" outlineLevel="0" collapsed="false"/>
    <row r="3756" customFormat="false" ht="12.75" hidden="false" customHeight="true" outlineLevel="0" collapsed="false"/>
    <row r="3757" customFormat="false" ht="12.75" hidden="false" customHeight="true" outlineLevel="0" collapsed="false"/>
    <row r="3758" customFormat="false" ht="12.75" hidden="false" customHeight="true" outlineLevel="0" collapsed="false"/>
    <row r="3759" customFormat="false" ht="12.75" hidden="false" customHeight="true" outlineLevel="0" collapsed="false"/>
    <row r="3760" customFormat="false" ht="12.75" hidden="false" customHeight="true" outlineLevel="0" collapsed="false"/>
    <row r="3761" customFormat="false" ht="12.75" hidden="false" customHeight="true" outlineLevel="0" collapsed="false"/>
    <row r="3762" customFormat="false" ht="12.75" hidden="false" customHeight="true" outlineLevel="0" collapsed="false"/>
    <row r="3763" customFormat="false" ht="12.75" hidden="false" customHeight="true" outlineLevel="0" collapsed="false"/>
    <row r="3764" customFormat="false" ht="12.75" hidden="false" customHeight="true" outlineLevel="0" collapsed="false"/>
    <row r="3765" customFormat="false" ht="12.75" hidden="false" customHeight="true" outlineLevel="0" collapsed="false"/>
    <row r="3766" customFormat="false" ht="12.75" hidden="false" customHeight="true" outlineLevel="0" collapsed="false"/>
    <row r="3767" customFormat="false" ht="12.75" hidden="false" customHeight="true" outlineLevel="0" collapsed="false"/>
    <row r="3768" customFormat="false" ht="12.75" hidden="false" customHeight="true" outlineLevel="0" collapsed="false"/>
    <row r="3769" customFormat="false" ht="12.75" hidden="false" customHeight="true" outlineLevel="0" collapsed="false"/>
    <row r="3770" customFormat="false" ht="12.75" hidden="false" customHeight="true" outlineLevel="0" collapsed="false"/>
    <row r="3771" customFormat="false" ht="12.75" hidden="false" customHeight="true" outlineLevel="0" collapsed="false"/>
    <row r="3772" customFormat="false" ht="12.75" hidden="false" customHeight="true" outlineLevel="0" collapsed="false"/>
    <row r="3773" customFormat="false" ht="12.75" hidden="false" customHeight="true" outlineLevel="0" collapsed="false"/>
    <row r="3774" customFormat="false" ht="12.75" hidden="false" customHeight="true" outlineLevel="0" collapsed="false"/>
    <row r="3775" customFormat="false" ht="12.75" hidden="false" customHeight="true" outlineLevel="0" collapsed="false"/>
    <row r="3776" customFormat="false" ht="12.75" hidden="false" customHeight="true" outlineLevel="0" collapsed="false"/>
    <row r="3777" customFormat="false" ht="12.75" hidden="false" customHeight="true" outlineLevel="0" collapsed="false"/>
    <row r="3778" customFormat="false" ht="12.75" hidden="false" customHeight="true" outlineLevel="0" collapsed="false"/>
    <row r="3779" customFormat="false" ht="12.75" hidden="false" customHeight="true" outlineLevel="0" collapsed="false"/>
    <row r="3780" customFormat="false" ht="12.75" hidden="false" customHeight="true" outlineLevel="0" collapsed="false"/>
    <row r="3781" customFormat="false" ht="12.75" hidden="false" customHeight="true" outlineLevel="0" collapsed="false"/>
    <row r="3782" customFormat="false" ht="12.75" hidden="false" customHeight="true" outlineLevel="0" collapsed="false"/>
    <row r="3783" customFormat="false" ht="12.75" hidden="false" customHeight="true" outlineLevel="0" collapsed="false"/>
    <row r="3784" customFormat="false" ht="12.75" hidden="false" customHeight="true" outlineLevel="0" collapsed="false"/>
    <row r="3785" customFormat="false" ht="12.75" hidden="false" customHeight="true" outlineLevel="0" collapsed="false"/>
    <row r="3786" customFormat="false" ht="12.75" hidden="false" customHeight="true" outlineLevel="0" collapsed="false"/>
    <row r="3787" customFormat="false" ht="12.75" hidden="false" customHeight="true" outlineLevel="0" collapsed="false"/>
    <row r="3788" customFormat="false" ht="12.75" hidden="false" customHeight="true" outlineLevel="0" collapsed="false"/>
    <row r="3789" customFormat="false" ht="12.75" hidden="false" customHeight="true" outlineLevel="0" collapsed="false"/>
    <row r="3790" customFormat="false" ht="12.75" hidden="false" customHeight="true" outlineLevel="0" collapsed="false"/>
    <row r="3791" customFormat="false" ht="12.75" hidden="false" customHeight="true" outlineLevel="0" collapsed="false"/>
    <row r="3792" customFormat="false" ht="12.75" hidden="false" customHeight="true" outlineLevel="0" collapsed="false"/>
    <row r="3793" customFormat="false" ht="12.75" hidden="false" customHeight="true" outlineLevel="0" collapsed="false"/>
    <row r="3794" customFormat="false" ht="12.75" hidden="false" customHeight="true" outlineLevel="0" collapsed="false"/>
    <row r="3795" customFormat="false" ht="12.75" hidden="false" customHeight="true" outlineLevel="0" collapsed="false"/>
    <row r="3796" customFormat="false" ht="12.75" hidden="false" customHeight="true" outlineLevel="0" collapsed="false"/>
    <row r="3797" customFormat="false" ht="12.75" hidden="false" customHeight="true" outlineLevel="0" collapsed="false"/>
    <row r="3798" customFormat="false" ht="12.75" hidden="false" customHeight="true" outlineLevel="0" collapsed="false"/>
    <row r="3799" customFormat="false" ht="12.75" hidden="false" customHeight="true" outlineLevel="0" collapsed="false"/>
    <row r="3800" customFormat="false" ht="12.75" hidden="false" customHeight="true" outlineLevel="0" collapsed="false"/>
    <row r="3801" customFormat="false" ht="12.75" hidden="false" customHeight="true" outlineLevel="0" collapsed="false"/>
    <row r="3802" customFormat="false" ht="12.75" hidden="false" customHeight="true" outlineLevel="0" collapsed="false"/>
    <row r="3803" customFormat="false" ht="12.75" hidden="false" customHeight="true" outlineLevel="0" collapsed="false"/>
    <row r="3804" customFormat="false" ht="12.75" hidden="false" customHeight="true" outlineLevel="0" collapsed="false"/>
    <row r="3805" customFormat="false" ht="12.75" hidden="false" customHeight="true" outlineLevel="0" collapsed="false"/>
    <row r="3806" customFormat="false" ht="12.75" hidden="false" customHeight="true" outlineLevel="0" collapsed="false"/>
    <row r="3807" customFormat="false" ht="12.75" hidden="false" customHeight="true" outlineLevel="0" collapsed="false"/>
    <row r="3808" customFormat="false" ht="12.75" hidden="false" customHeight="true" outlineLevel="0" collapsed="false"/>
    <row r="3809" customFormat="false" ht="12.75" hidden="false" customHeight="true" outlineLevel="0" collapsed="false"/>
    <row r="3810" customFormat="false" ht="12.75" hidden="false" customHeight="true" outlineLevel="0" collapsed="false"/>
    <row r="3811" customFormat="false" ht="12.75" hidden="false" customHeight="true" outlineLevel="0" collapsed="false"/>
    <row r="3812" customFormat="false" ht="12.75" hidden="false" customHeight="true" outlineLevel="0" collapsed="false"/>
    <row r="3813" customFormat="false" ht="12.75" hidden="false" customHeight="true" outlineLevel="0" collapsed="false"/>
    <row r="3814" customFormat="false" ht="12.75" hidden="false" customHeight="true" outlineLevel="0" collapsed="false"/>
    <row r="3815" customFormat="false" ht="12.75" hidden="false" customHeight="true" outlineLevel="0" collapsed="false"/>
    <row r="3816" customFormat="false" ht="12.75" hidden="false" customHeight="true" outlineLevel="0" collapsed="false"/>
    <row r="3817" customFormat="false" ht="12.75" hidden="false" customHeight="true" outlineLevel="0" collapsed="false"/>
    <row r="3818" customFormat="false" ht="12.75" hidden="false" customHeight="true" outlineLevel="0" collapsed="false"/>
    <row r="3819" customFormat="false" ht="12.75" hidden="false" customHeight="true" outlineLevel="0" collapsed="false"/>
    <row r="3820" customFormat="false" ht="12.75" hidden="false" customHeight="true" outlineLevel="0" collapsed="false"/>
    <row r="3821" customFormat="false" ht="12.75" hidden="false" customHeight="true" outlineLevel="0" collapsed="false"/>
    <row r="3822" customFormat="false" ht="12.75" hidden="false" customHeight="true" outlineLevel="0" collapsed="false"/>
    <row r="3823" customFormat="false" ht="12.75" hidden="false" customHeight="true" outlineLevel="0" collapsed="false"/>
    <row r="3824" customFormat="false" ht="12.75" hidden="false" customHeight="true" outlineLevel="0" collapsed="false"/>
    <row r="3825" customFormat="false" ht="12.75" hidden="false" customHeight="true" outlineLevel="0" collapsed="false"/>
    <row r="3826" customFormat="false" ht="12.75" hidden="false" customHeight="true" outlineLevel="0" collapsed="false"/>
    <row r="3827" customFormat="false" ht="12.75" hidden="false" customHeight="true" outlineLevel="0" collapsed="false"/>
    <row r="3828" customFormat="false" ht="12.75" hidden="false" customHeight="true" outlineLevel="0" collapsed="false"/>
    <row r="3829" customFormat="false" ht="12.75" hidden="false" customHeight="true" outlineLevel="0" collapsed="false"/>
    <row r="3830" customFormat="false" ht="12.75" hidden="false" customHeight="true" outlineLevel="0" collapsed="false"/>
    <row r="3831" customFormat="false" ht="12.75" hidden="false" customHeight="true" outlineLevel="0" collapsed="false"/>
    <row r="3832" customFormat="false" ht="12.75" hidden="false" customHeight="true" outlineLevel="0" collapsed="false"/>
    <row r="3833" customFormat="false" ht="12.75" hidden="false" customHeight="true" outlineLevel="0" collapsed="false"/>
    <row r="3834" customFormat="false" ht="12.75" hidden="false" customHeight="true" outlineLevel="0" collapsed="false"/>
    <row r="3835" customFormat="false" ht="12.75" hidden="false" customHeight="true" outlineLevel="0" collapsed="false"/>
    <row r="3836" customFormat="false" ht="12.75" hidden="false" customHeight="true" outlineLevel="0" collapsed="false"/>
    <row r="3837" customFormat="false" ht="12.75" hidden="false" customHeight="true" outlineLevel="0" collapsed="false"/>
    <row r="3838" customFormat="false" ht="12.75" hidden="false" customHeight="true" outlineLevel="0" collapsed="false"/>
    <row r="3839" customFormat="false" ht="12.75" hidden="false" customHeight="true" outlineLevel="0" collapsed="false"/>
    <row r="3840" customFormat="false" ht="12.75" hidden="false" customHeight="true" outlineLevel="0" collapsed="false"/>
    <row r="3841" customFormat="false" ht="12.75" hidden="false" customHeight="true" outlineLevel="0" collapsed="false"/>
    <row r="3842" customFormat="false" ht="12.75" hidden="false" customHeight="true" outlineLevel="0" collapsed="false"/>
    <row r="3843" customFormat="false" ht="12.75" hidden="false" customHeight="true" outlineLevel="0" collapsed="false"/>
    <row r="3844" customFormat="false" ht="12.75" hidden="false" customHeight="true" outlineLevel="0" collapsed="false"/>
    <row r="3845" customFormat="false" ht="12.75" hidden="false" customHeight="true" outlineLevel="0" collapsed="false"/>
    <row r="3846" customFormat="false" ht="12.75" hidden="false" customHeight="true" outlineLevel="0" collapsed="false"/>
    <row r="3847" customFormat="false" ht="12.75" hidden="false" customHeight="true" outlineLevel="0" collapsed="false"/>
    <row r="3848" customFormat="false" ht="12.75" hidden="false" customHeight="true" outlineLevel="0" collapsed="false"/>
    <row r="3849" customFormat="false" ht="12.75" hidden="false" customHeight="true" outlineLevel="0" collapsed="false"/>
    <row r="3850" customFormat="false" ht="12.75" hidden="false" customHeight="true" outlineLevel="0" collapsed="false"/>
    <row r="3851" customFormat="false" ht="12.75" hidden="false" customHeight="true" outlineLevel="0" collapsed="false"/>
    <row r="3852" customFormat="false" ht="12.75" hidden="false" customHeight="true" outlineLevel="0" collapsed="false"/>
    <row r="3853" customFormat="false" ht="12.75" hidden="false" customHeight="true" outlineLevel="0" collapsed="false"/>
    <row r="3854" customFormat="false" ht="12.75" hidden="false" customHeight="true" outlineLevel="0" collapsed="false"/>
    <row r="3855" customFormat="false" ht="12.75" hidden="false" customHeight="true" outlineLevel="0" collapsed="false"/>
    <row r="3856" customFormat="false" ht="12.75" hidden="false" customHeight="true" outlineLevel="0" collapsed="false"/>
    <row r="3857" customFormat="false" ht="12.75" hidden="false" customHeight="true" outlineLevel="0" collapsed="false"/>
    <row r="3858" customFormat="false" ht="12.75" hidden="false" customHeight="true" outlineLevel="0" collapsed="false"/>
    <row r="3859" customFormat="false" ht="12.75" hidden="false" customHeight="true" outlineLevel="0" collapsed="false"/>
    <row r="3860" customFormat="false" ht="12.75" hidden="false" customHeight="true" outlineLevel="0" collapsed="false"/>
    <row r="3861" customFormat="false" ht="12.75" hidden="false" customHeight="true" outlineLevel="0" collapsed="false"/>
    <row r="3862" customFormat="false" ht="12.75" hidden="false" customHeight="true" outlineLevel="0" collapsed="false"/>
    <row r="3863" customFormat="false" ht="12.75" hidden="false" customHeight="true" outlineLevel="0" collapsed="false"/>
    <row r="3864" customFormat="false" ht="12.75" hidden="false" customHeight="true" outlineLevel="0" collapsed="false"/>
    <row r="3865" customFormat="false" ht="12.75" hidden="false" customHeight="true" outlineLevel="0" collapsed="false"/>
    <row r="3866" customFormat="false" ht="12.75" hidden="false" customHeight="true" outlineLevel="0" collapsed="false"/>
    <row r="3867" customFormat="false" ht="12.75" hidden="false" customHeight="true" outlineLevel="0" collapsed="false"/>
    <row r="3868" customFormat="false" ht="12.75" hidden="false" customHeight="true" outlineLevel="0" collapsed="false"/>
    <row r="3869" customFormat="false" ht="12.75" hidden="false" customHeight="true" outlineLevel="0" collapsed="false"/>
    <row r="3870" customFormat="false" ht="12.75" hidden="false" customHeight="true" outlineLevel="0" collapsed="false"/>
    <row r="3871" customFormat="false" ht="12.75" hidden="false" customHeight="true" outlineLevel="0" collapsed="false"/>
    <row r="3872" customFormat="false" ht="12.75" hidden="false" customHeight="true" outlineLevel="0" collapsed="false"/>
    <row r="3873" customFormat="false" ht="12.75" hidden="false" customHeight="true" outlineLevel="0" collapsed="false"/>
    <row r="3874" customFormat="false" ht="12.75" hidden="false" customHeight="true" outlineLevel="0" collapsed="false"/>
    <row r="3875" customFormat="false" ht="12.75" hidden="false" customHeight="true" outlineLevel="0" collapsed="false"/>
    <row r="3876" customFormat="false" ht="12.75" hidden="false" customHeight="true" outlineLevel="0" collapsed="false"/>
    <row r="3877" customFormat="false" ht="12.75" hidden="false" customHeight="true" outlineLevel="0" collapsed="false"/>
    <row r="3878" customFormat="false" ht="12.75" hidden="false" customHeight="true" outlineLevel="0" collapsed="false"/>
    <row r="3879" customFormat="false" ht="12.75" hidden="false" customHeight="true" outlineLevel="0" collapsed="false"/>
    <row r="3880" customFormat="false" ht="12.75" hidden="false" customHeight="true" outlineLevel="0" collapsed="false"/>
    <row r="3881" customFormat="false" ht="12.75" hidden="false" customHeight="true" outlineLevel="0" collapsed="false"/>
    <row r="3882" customFormat="false" ht="12.75" hidden="false" customHeight="true" outlineLevel="0" collapsed="false"/>
    <row r="3883" customFormat="false" ht="12.75" hidden="false" customHeight="true" outlineLevel="0" collapsed="false"/>
    <row r="3884" customFormat="false" ht="12.75" hidden="false" customHeight="true" outlineLevel="0" collapsed="false"/>
    <row r="3885" customFormat="false" ht="12.75" hidden="false" customHeight="true" outlineLevel="0" collapsed="false"/>
    <row r="3886" customFormat="false" ht="12.75" hidden="false" customHeight="true" outlineLevel="0" collapsed="false"/>
    <row r="3887" customFormat="false" ht="12.75" hidden="false" customHeight="true" outlineLevel="0" collapsed="false"/>
    <row r="3888" customFormat="false" ht="12.75" hidden="false" customHeight="true" outlineLevel="0" collapsed="false"/>
    <row r="3889" customFormat="false" ht="12.75" hidden="false" customHeight="true" outlineLevel="0" collapsed="false"/>
    <row r="3890" customFormat="false" ht="12.75" hidden="false" customHeight="true" outlineLevel="0" collapsed="false"/>
    <row r="3891" customFormat="false" ht="12.75" hidden="false" customHeight="true" outlineLevel="0" collapsed="false"/>
    <row r="3892" customFormat="false" ht="12.75" hidden="false" customHeight="true" outlineLevel="0" collapsed="false"/>
    <row r="3893" customFormat="false" ht="12.75" hidden="false" customHeight="true" outlineLevel="0" collapsed="false"/>
    <row r="3894" customFormat="false" ht="12.75" hidden="false" customHeight="true" outlineLevel="0" collapsed="false"/>
    <row r="3895" customFormat="false" ht="12.75" hidden="false" customHeight="true" outlineLevel="0" collapsed="false"/>
    <row r="3896" customFormat="false" ht="12.75" hidden="false" customHeight="true" outlineLevel="0" collapsed="false"/>
    <row r="3897" customFormat="false" ht="12.75" hidden="false" customHeight="true" outlineLevel="0" collapsed="false"/>
    <row r="3898" customFormat="false" ht="12.75" hidden="false" customHeight="true" outlineLevel="0" collapsed="false"/>
    <row r="3899" customFormat="false" ht="12.75" hidden="false" customHeight="true" outlineLevel="0" collapsed="false"/>
    <row r="3900" customFormat="false" ht="12.75" hidden="false" customHeight="true" outlineLevel="0" collapsed="false"/>
    <row r="3901" customFormat="false" ht="12.75" hidden="false" customHeight="true" outlineLevel="0" collapsed="false"/>
    <row r="3902" customFormat="false" ht="12.75" hidden="false" customHeight="true" outlineLevel="0" collapsed="false"/>
    <row r="3903" customFormat="false" ht="12.75" hidden="false" customHeight="true" outlineLevel="0" collapsed="false"/>
    <row r="3904" customFormat="false" ht="12.75" hidden="false" customHeight="true" outlineLevel="0" collapsed="false"/>
    <row r="3905" customFormat="false" ht="12.75" hidden="false" customHeight="true" outlineLevel="0" collapsed="false"/>
    <row r="3906" customFormat="false" ht="12.75" hidden="false" customHeight="true" outlineLevel="0" collapsed="false"/>
    <row r="3907" customFormat="false" ht="12.75" hidden="false" customHeight="true" outlineLevel="0" collapsed="false"/>
    <row r="3908" customFormat="false" ht="12.75" hidden="false" customHeight="true" outlineLevel="0" collapsed="false"/>
    <row r="3909" customFormat="false" ht="12.75" hidden="false" customHeight="true" outlineLevel="0" collapsed="false"/>
    <row r="3910" customFormat="false" ht="12.75" hidden="false" customHeight="true" outlineLevel="0" collapsed="false"/>
    <row r="3911" customFormat="false" ht="12.75" hidden="false" customHeight="true" outlineLevel="0" collapsed="false"/>
    <row r="3912" customFormat="false" ht="12.75" hidden="false" customHeight="true" outlineLevel="0" collapsed="false"/>
    <row r="3913" customFormat="false" ht="12.75" hidden="false" customHeight="true" outlineLevel="0" collapsed="false"/>
    <row r="3914" customFormat="false" ht="12.75" hidden="false" customHeight="true" outlineLevel="0" collapsed="false"/>
    <row r="3915" customFormat="false" ht="12.75" hidden="false" customHeight="true" outlineLevel="0" collapsed="false"/>
    <row r="3916" customFormat="false" ht="12.75" hidden="false" customHeight="true" outlineLevel="0" collapsed="false"/>
    <row r="3917" customFormat="false" ht="12.75" hidden="false" customHeight="true" outlineLevel="0" collapsed="false"/>
    <row r="3918" customFormat="false" ht="12.75" hidden="false" customHeight="true" outlineLevel="0" collapsed="false"/>
    <row r="3919" customFormat="false" ht="12.75" hidden="false" customHeight="true" outlineLevel="0" collapsed="false"/>
    <row r="3920" customFormat="false" ht="12.75" hidden="false" customHeight="true" outlineLevel="0" collapsed="false"/>
    <row r="3921" customFormat="false" ht="12.75" hidden="false" customHeight="true" outlineLevel="0" collapsed="false"/>
    <row r="3922" customFormat="false" ht="12.75" hidden="false" customHeight="true" outlineLevel="0" collapsed="false"/>
    <row r="3923" customFormat="false" ht="12.75" hidden="false" customHeight="true" outlineLevel="0" collapsed="false"/>
    <row r="3924" customFormat="false" ht="12.75" hidden="false" customHeight="true" outlineLevel="0" collapsed="false"/>
    <row r="3925" customFormat="false" ht="12.75" hidden="false" customHeight="true" outlineLevel="0" collapsed="false"/>
    <row r="3926" customFormat="false" ht="12.75" hidden="false" customHeight="true" outlineLevel="0" collapsed="false"/>
    <row r="3927" customFormat="false" ht="12.75" hidden="false" customHeight="true" outlineLevel="0" collapsed="false"/>
    <row r="3928" customFormat="false" ht="12.75" hidden="false" customHeight="true" outlineLevel="0" collapsed="false"/>
    <row r="3929" customFormat="false" ht="12.75" hidden="false" customHeight="true" outlineLevel="0" collapsed="false"/>
    <row r="3930" customFormat="false" ht="12.75" hidden="false" customHeight="true" outlineLevel="0" collapsed="false"/>
    <row r="3931" customFormat="false" ht="12.75" hidden="false" customHeight="true" outlineLevel="0" collapsed="false"/>
    <row r="3932" customFormat="false" ht="12.75" hidden="false" customHeight="true" outlineLevel="0" collapsed="false"/>
    <row r="3933" customFormat="false" ht="12.75" hidden="false" customHeight="true" outlineLevel="0" collapsed="false"/>
    <row r="3934" customFormat="false" ht="12.75" hidden="false" customHeight="true" outlineLevel="0" collapsed="false"/>
    <row r="3935" customFormat="false" ht="12.75" hidden="false" customHeight="true" outlineLevel="0" collapsed="false"/>
    <row r="3936" customFormat="false" ht="12.75" hidden="false" customHeight="true" outlineLevel="0" collapsed="false"/>
    <row r="3937" customFormat="false" ht="12.75" hidden="false" customHeight="true" outlineLevel="0" collapsed="false"/>
    <row r="3938" customFormat="false" ht="12.75" hidden="false" customHeight="true" outlineLevel="0" collapsed="false"/>
    <row r="3939" customFormat="false" ht="12.75" hidden="false" customHeight="true" outlineLevel="0" collapsed="false"/>
    <row r="3940" customFormat="false" ht="12.75" hidden="false" customHeight="true" outlineLevel="0" collapsed="false"/>
    <row r="3941" customFormat="false" ht="12.75" hidden="false" customHeight="true" outlineLevel="0" collapsed="false"/>
    <row r="3942" customFormat="false" ht="12.75" hidden="false" customHeight="true" outlineLevel="0" collapsed="false"/>
    <row r="3943" customFormat="false" ht="12.75" hidden="false" customHeight="true" outlineLevel="0" collapsed="false"/>
    <row r="3944" customFormat="false" ht="12.75" hidden="false" customHeight="true" outlineLevel="0" collapsed="false"/>
    <row r="3945" customFormat="false" ht="12.75" hidden="false" customHeight="true" outlineLevel="0" collapsed="false"/>
    <row r="3946" customFormat="false" ht="12.75" hidden="false" customHeight="true" outlineLevel="0" collapsed="false"/>
    <row r="3947" customFormat="false" ht="12.75" hidden="false" customHeight="true" outlineLevel="0" collapsed="false"/>
    <row r="3948" customFormat="false" ht="12.75" hidden="false" customHeight="true" outlineLevel="0" collapsed="false"/>
    <row r="3949" customFormat="false" ht="12.75" hidden="false" customHeight="true" outlineLevel="0" collapsed="false"/>
    <row r="3950" customFormat="false" ht="12.75" hidden="false" customHeight="true" outlineLevel="0" collapsed="false"/>
    <row r="3951" customFormat="false" ht="12.75" hidden="false" customHeight="true" outlineLevel="0" collapsed="false"/>
    <row r="3952" customFormat="false" ht="12.75" hidden="false" customHeight="true" outlineLevel="0" collapsed="false"/>
    <row r="3953" customFormat="false" ht="12.75" hidden="false" customHeight="true" outlineLevel="0" collapsed="false"/>
    <row r="3954" customFormat="false" ht="12.75" hidden="false" customHeight="true" outlineLevel="0" collapsed="false"/>
    <row r="3955" customFormat="false" ht="12.75" hidden="false" customHeight="true" outlineLevel="0" collapsed="false"/>
    <row r="3956" customFormat="false" ht="12.75" hidden="false" customHeight="true" outlineLevel="0" collapsed="false"/>
    <row r="3957" customFormat="false" ht="12.75" hidden="false" customHeight="true" outlineLevel="0" collapsed="false"/>
    <row r="3958" customFormat="false" ht="12.75" hidden="false" customHeight="true" outlineLevel="0" collapsed="false"/>
    <row r="3959" customFormat="false" ht="12.75" hidden="false" customHeight="true" outlineLevel="0" collapsed="false"/>
    <row r="3960" customFormat="false" ht="12.75" hidden="false" customHeight="true" outlineLevel="0" collapsed="false"/>
    <row r="3961" customFormat="false" ht="12.75" hidden="false" customHeight="true" outlineLevel="0" collapsed="false"/>
    <row r="3962" customFormat="false" ht="12.75" hidden="false" customHeight="true" outlineLevel="0" collapsed="false"/>
    <row r="3963" customFormat="false" ht="12.75" hidden="false" customHeight="true" outlineLevel="0" collapsed="false"/>
    <row r="3964" customFormat="false" ht="12.75" hidden="false" customHeight="true" outlineLevel="0" collapsed="false"/>
    <row r="3965" customFormat="false" ht="12.75" hidden="false" customHeight="true" outlineLevel="0" collapsed="false"/>
    <row r="3966" customFormat="false" ht="12.75" hidden="false" customHeight="true" outlineLevel="0" collapsed="false"/>
    <row r="3967" customFormat="false" ht="12.75" hidden="false" customHeight="true" outlineLevel="0" collapsed="false"/>
    <row r="3968" customFormat="false" ht="12.75" hidden="false" customHeight="true" outlineLevel="0" collapsed="false"/>
    <row r="3969" customFormat="false" ht="12.75" hidden="false" customHeight="true" outlineLevel="0" collapsed="false"/>
    <row r="3970" customFormat="false" ht="12.75" hidden="false" customHeight="true" outlineLevel="0" collapsed="false"/>
    <row r="3971" customFormat="false" ht="12.75" hidden="false" customHeight="true" outlineLevel="0" collapsed="false"/>
    <row r="3972" customFormat="false" ht="12.75" hidden="false" customHeight="true" outlineLevel="0" collapsed="false"/>
    <row r="3973" customFormat="false" ht="12.75" hidden="false" customHeight="true" outlineLevel="0" collapsed="false"/>
    <row r="3974" customFormat="false" ht="12.75" hidden="false" customHeight="true" outlineLevel="0" collapsed="false"/>
    <row r="3975" customFormat="false" ht="12.75" hidden="false" customHeight="true" outlineLevel="0" collapsed="false"/>
    <row r="3976" customFormat="false" ht="12.75" hidden="false" customHeight="true" outlineLevel="0" collapsed="false"/>
    <row r="3977" customFormat="false" ht="12.75" hidden="false" customHeight="true" outlineLevel="0" collapsed="false"/>
    <row r="3978" customFormat="false" ht="12.75" hidden="false" customHeight="true" outlineLevel="0" collapsed="false"/>
    <row r="3979" customFormat="false" ht="12.75" hidden="false" customHeight="true" outlineLevel="0" collapsed="false"/>
    <row r="3980" customFormat="false" ht="12.75" hidden="false" customHeight="true" outlineLevel="0" collapsed="false"/>
    <row r="3981" customFormat="false" ht="12.75" hidden="false" customHeight="true" outlineLevel="0" collapsed="false"/>
    <row r="3982" customFormat="false" ht="12.75" hidden="false" customHeight="true" outlineLevel="0" collapsed="false"/>
    <row r="3983" customFormat="false" ht="12.75" hidden="false" customHeight="true" outlineLevel="0" collapsed="false"/>
    <row r="3984" customFormat="false" ht="12.75" hidden="false" customHeight="true" outlineLevel="0" collapsed="false"/>
    <row r="3985" customFormat="false" ht="12.75" hidden="false" customHeight="true" outlineLevel="0" collapsed="false"/>
    <row r="3986" customFormat="false" ht="12.75" hidden="false" customHeight="true" outlineLevel="0" collapsed="false"/>
    <row r="3987" customFormat="false" ht="12.75" hidden="false" customHeight="true" outlineLevel="0" collapsed="false"/>
    <row r="3988" customFormat="false" ht="12.75" hidden="false" customHeight="true" outlineLevel="0" collapsed="false"/>
    <row r="3989" customFormat="false" ht="12.75" hidden="false" customHeight="true" outlineLevel="0" collapsed="false"/>
    <row r="3990" customFormat="false" ht="12.75" hidden="false" customHeight="true" outlineLevel="0" collapsed="false"/>
    <row r="3991" customFormat="false" ht="12.75" hidden="false" customHeight="true" outlineLevel="0" collapsed="false"/>
    <row r="3992" customFormat="false" ht="12.75" hidden="false" customHeight="true" outlineLevel="0" collapsed="false"/>
    <row r="3993" customFormat="false" ht="12.75" hidden="false" customHeight="true" outlineLevel="0" collapsed="false"/>
    <row r="3994" customFormat="false" ht="12.75" hidden="false" customHeight="true" outlineLevel="0" collapsed="false"/>
    <row r="3995" customFormat="false" ht="12.75" hidden="false" customHeight="true" outlineLevel="0" collapsed="false"/>
    <row r="3996" customFormat="false" ht="12.75" hidden="false" customHeight="true" outlineLevel="0" collapsed="false"/>
    <row r="3997" customFormat="false" ht="12.75" hidden="false" customHeight="true" outlineLevel="0" collapsed="false"/>
    <row r="3998" customFormat="false" ht="12.75" hidden="false" customHeight="true" outlineLevel="0" collapsed="false"/>
    <row r="3999" customFormat="false" ht="12.75" hidden="false" customHeight="true" outlineLevel="0" collapsed="false"/>
    <row r="4000" customFormat="false" ht="12.75" hidden="false" customHeight="true" outlineLevel="0" collapsed="false"/>
    <row r="4001" customFormat="false" ht="12.75" hidden="false" customHeight="true" outlineLevel="0" collapsed="false"/>
    <row r="4002" customFormat="false" ht="12.75" hidden="false" customHeight="true" outlineLevel="0" collapsed="false"/>
    <row r="4003" customFormat="false" ht="12.75" hidden="false" customHeight="true" outlineLevel="0" collapsed="false"/>
    <row r="4004" customFormat="false" ht="12.75" hidden="false" customHeight="true" outlineLevel="0" collapsed="false"/>
    <row r="4005" customFormat="false" ht="12.75" hidden="false" customHeight="true" outlineLevel="0" collapsed="false"/>
    <row r="4006" customFormat="false" ht="12.75" hidden="false" customHeight="true" outlineLevel="0" collapsed="false"/>
    <row r="4007" customFormat="false" ht="12.75" hidden="false" customHeight="true" outlineLevel="0" collapsed="false"/>
    <row r="4008" customFormat="false" ht="12.75" hidden="false" customHeight="true" outlineLevel="0" collapsed="false"/>
    <row r="4009" customFormat="false" ht="12.75" hidden="false" customHeight="true" outlineLevel="0" collapsed="false"/>
    <row r="4010" customFormat="false" ht="12.75" hidden="false" customHeight="true" outlineLevel="0" collapsed="false"/>
    <row r="4011" customFormat="false" ht="12.75" hidden="false" customHeight="true" outlineLevel="0" collapsed="false"/>
    <row r="4012" customFormat="false" ht="12.75" hidden="false" customHeight="true" outlineLevel="0" collapsed="false"/>
    <row r="4013" customFormat="false" ht="12.75" hidden="false" customHeight="true" outlineLevel="0" collapsed="false"/>
    <row r="4014" customFormat="false" ht="12.75" hidden="false" customHeight="true" outlineLevel="0" collapsed="false"/>
    <row r="4015" customFormat="false" ht="12.75" hidden="false" customHeight="true" outlineLevel="0" collapsed="false"/>
    <row r="4016" customFormat="false" ht="12.75" hidden="false" customHeight="true" outlineLevel="0" collapsed="false"/>
    <row r="4017" customFormat="false" ht="12.75" hidden="false" customHeight="true" outlineLevel="0" collapsed="false"/>
    <row r="4018" customFormat="false" ht="12.75" hidden="false" customHeight="true" outlineLevel="0" collapsed="false"/>
    <row r="4019" customFormat="false" ht="12.75" hidden="false" customHeight="true" outlineLevel="0" collapsed="false"/>
    <row r="4020" customFormat="false" ht="12.75" hidden="false" customHeight="true" outlineLevel="0" collapsed="false"/>
    <row r="4021" customFormat="false" ht="12.75" hidden="false" customHeight="true" outlineLevel="0" collapsed="false"/>
    <row r="4022" customFormat="false" ht="12.75" hidden="false" customHeight="true" outlineLevel="0" collapsed="false"/>
    <row r="4023" customFormat="false" ht="12.75" hidden="false" customHeight="true" outlineLevel="0" collapsed="false"/>
    <row r="4024" customFormat="false" ht="12.75" hidden="false" customHeight="true" outlineLevel="0" collapsed="false"/>
    <row r="4025" customFormat="false" ht="12.75" hidden="false" customHeight="true" outlineLevel="0" collapsed="false"/>
    <row r="4026" customFormat="false" ht="12.75" hidden="false" customHeight="true" outlineLevel="0" collapsed="false"/>
    <row r="4027" customFormat="false" ht="12.75" hidden="false" customHeight="true" outlineLevel="0" collapsed="false"/>
    <row r="4028" customFormat="false" ht="12.75" hidden="false" customHeight="true" outlineLevel="0" collapsed="false"/>
    <row r="4029" customFormat="false" ht="12.75" hidden="false" customHeight="true" outlineLevel="0" collapsed="false"/>
    <row r="4030" customFormat="false" ht="12.75" hidden="false" customHeight="true" outlineLevel="0" collapsed="false"/>
    <row r="4031" customFormat="false" ht="12.75" hidden="false" customHeight="true" outlineLevel="0" collapsed="false"/>
    <row r="4032" customFormat="false" ht="12.75" hidden="false" customHeight="true" outlineLevel="0" collapsed="false"/>
    <row r="4033" customFormat="false" ht="12.75" hidden="false" customHeight="true" outlineLevel="0" collapsed="false"/>
    <row r="4034" customFormat="false" ht="12.75" hidden="false" customHeight="true" outlineLevel="0" collapsed="false"/>
    <row r="4035" customFormat="false" ht="12.75" hidden="false" customHeight="true" outlineLevel="0" collapsed="false"/>
    <row r="4036" customFormat="false" ht="12.75" hidden="false" customHeight="true" outlineLevel="0" collapsed="false"/>
    <row r="4037" customFormat="false" ht="12.75" hidden="false" customHeight="true" outlineLevel="0" collapsed="false"/>
    <row r="4038" customFormat="false" ht="12.75" hidden="false" customHeight="true" outlineLevel="0" collapsed="false"/>
    <row r="4039" customFormat="false" ht="12.75" hidden="false" customHeight="true" outlineLevel="0" collapsed="false"/>
    <row r="4040" customFormat="false" ht="12.75" hidden="false" customHeight="true" outlineLevel="0" collapsed="false"/>
    <row r="4041" customFormat="false" ht="12.75" hidden="false" customHeight="true" outlineLevel="0" collapsed="false"/>
    <row r="4042" customFormat="false" ht="12.75" hidden="false" customHeight="true" outlineLevel="0" collapsed="false"/>
    <row r="4043" customFormat="false" ht="12.75" hidden="false" customHeight="true" outlineLevel="0" collapsed="false"/>
    <row r="4044" customFormat="false" ht="12.75" hidden="false" customHeight="true" outlineLevel="0" collapsed="false"/>
    <row r="4045" customFormat="false" ht="12.75" hidden="false" customHeight="true" outlineLevel="0" collapsed="false"/>
    <row r="4046" customFormat="false" ht="12.75" hidden="false" customHeight="true" outlineLevel="0" collapsed="false"/>
    <row r="4047" customFormat="false" ht="12.75" hidden="false" customHeight="true" outlineLevel="0" collapsed="false"/>
    <row r="4048" customFormat="false" ht="12.75" hidden="false" customHeight="true" outlineLevel="0" collapsed="false"/>
    <row r="4049" customFormat="false" ht="12.75" hidden="false" customHeight="true" outlineLevel="0" collapsed="false"/>
    <row r="4050" customFormat="false" ht="12.75" hidden="false" customHeight="true" outlineLevel="0" collapsed="false"/>
    <row r="4051" customFormat="false" ht="12.75" hidden="false" customHeight="true" outlineLevel="0" collapsed="false"/>
    <row r="4052" customFormat="false" ht="12.75" hidden="false" customHeight="true" outlineLevel="0" collapsed="false"/>
    <row r="4053" customFormat="false" ht="12.75" hidden="false" customHeight="true" outlineLevel="0" collapsed="false"/>
    <row r="4054" customFormat="false" ht="12.75" hidden="false" customHeight="true" outlineLevel="0" collapsed="false"/>
    <row r="4055" customFormat="false" ht="12.75" hidden="false" customHeight="true" outlineLevel="0" collapsed="false"/>
    <row r="4056" customFormat="false" ht="12.75" hidden="false" customHeight="true" outlineLevel="0" collapsed="false"/>
    <row r="4057" customFormat="false" ht="12.75" hidden="false" customHeight="true" outlineLevel="0" collapsed="false"/>
    <row r="4058" customFormat="false" ht="12.75" hidden="false" customHeight="true" outlineLevel="0" collapsed="false"/>
    <row r="4059" customFormat="false" ht="12.75" hidden="false" customHeight="true" outlineLevel="0" collapsed="false"/>
    <row r="4060" customFormat="false" ht="12.75" hidden="false" customHeight="true" outlineLevel="0" collapsed="false"/>
    <row r="4061" customFormat="false" ht="12.75" hidden="false" customHeight="true" outlineLevel="0" collapsed="false"/>
    <row r="4062" customFormat="false" ht="12.75" hidden="false" customHeight="true" outlineLevel="0" collapsed="false"/>
    <row r="4063" customFormat="false" ht="12.75" hidden="false" customHeight="true" outlineLevel="0" collapsed="false"/>
    <row r="4064" customFormat="false" ht="12.75" hidden="false" customHeight="true" outlineLevel="0" collapsed="false"/>
    <row r="4065" customFormat="false" ht="12.75" hidden="false" customHeight="true" outlineLevel="0" collapsed="false"/>
    <row r="4066" customFormat="false" ht="12.75" hidden="false" customHeight="true" outlineLevel="0" collapsed="false"/>
    <row r="4067" customFormat="false" ht="12.75" hidden="false" customHeight="true" outlineLevel="0" collapsed="false"/>
    <row r="4068" customFormat="false" ht="12.75" hidden="false" customHeight="true" outlineLevel="0" collapsed="false"/>
    <row r="4069" customFormat="false" ht="12.75" hidden="false" customHeight="true" outlineLevel="0" collapsed="false"/>
    <row r="4070" customFormat="false" ht="12.75" hidden="false" customHeight="true" outlineLevel="0" collapsed="false"/>
    <row r="4071" customFormat="false" ht="12.75" hidden="false" customHeight="true" outlineLevel="0" collapsed="false"/>
    <row r="4072" customFormat="false" ht="12.75" hidden="false" customHeight="true" outlineLevel="0" collapsed="false"/>
    <row r="4073" customFormat="false" ht="12.75" hidden="false" customHeight="true" outlineLevel="0" collapsed="false"/>
    <row r="4074" customFormat="false" ht="12.75" hidden="false" customHeight="true" outlineLevel="0" collapsed="false"/>
    <row r="4075" customFormat="false" ht="12.75" hidden="false" customHeight="true" outlineLevel="0" collapsed="false"/>
    <row r="4076" customFormat="false" ht="12.75" hidden="false" customHeight="true" outlineLevel="0" collapsed="false"/>
    <row r="4077" customFormat="false" ht="12.75" hidden="false" customHeight="true" outlineLevel="0" collapsed="false"/>
    <row r="4078" customFormat="false" ht="12.75" hidden="false" customHeight="true" outlineLevel="0" collapsed="false"/>
    <row r="4079" customFormat="false" ht="12.75" hidden="false" customHeight="true" outlineLevel="0" collapsed="false"/>
    <row r="4080" customFormat="false" ht="12.75" hidden="false" customHeight="true" outlineLevel="0" collapsed="false"/>
    <row r="4081" customFormat="false" ht="12.75" hidden="false" customHeight="true" outlineLevel="0" collapsed="false"/>
    <row r="4082" customFormat="false" ht="12.75" hidden="false" customHeight="true" outlineLevel="0" collapsed="false"/>
    <row r="4083" customFormat="false" ht="12.75" hidden="false" customHeight="true" outlineLevel="0" collapsed="false"/>
    <row r="4084" customFormat="false" ht="12.75" hidden="false" customHeight="true" outlineLevel="0" collapsed="false"/>
    <row r="4085" customFormat="false" ht="12.75" hidden="false" customHeight="true" outlineLevel="0" collapsed="false"/>
    <row r="4086" customFormat="false" ht="12.75" hidden="false" customHeight="true" outlineLevel="0" collapsed="false"/>
    <row r="4087" customFormat="false" ht="12.75" hidden="false" customHeight="true" outlineLevel="0" collapsed="false"/>
    <row r="4088" customFormat="false" ht="12.75" hidden="false" customHeight="true" outlineLevel="0" collapsed="false"/>
    <row r="4089" customFormat="false" ht="12.75" hidden="false" customHeight="true" outlineLevel="0" collapsed="false"/>
    <row r="4090" customFormat="false" ht="12.75" hidden="false" customHeight="true" outlineLevel="0" collapsed="false"/>
    <row r="4091" customFormat="false" ht="12.75" hidden="false" customHeight="true" outlineLevel="0" collapsed="false"/>
    <row r="4092" customFormat="false" ht="12.75" hidden="false" customHeight="true" outlineLevel="0" collapsed="false"/>
    <row r="4093" customFormat="false" ht="12.75" hidden="false" customHeight="true" outlineLevel="0" collapsed="false"/>
    <row r="4094" customFormat="false" ht="12.75" hidden="false" customHeight="true" outlineLevel="0" collapsed="false"/>
    <row r="4095" customFormat="false" ht="12.75" hidden="false" customHeight="true" outlineLevel="0" collapsed="false"/>
    <row r="4096" customFormat="false" ht="12.75" hidden="false" customHeight="true" outlineLevel="0" collapsed="false"/>
    <row r="4097" customFormat="false" ht="12.75" hidden="false" customHeight="true" outlineLevel="0" collapsed="false"/>
    <row r="4098" customFormat="false" ht="12.75" hidden="false" customHeight="true" outlineLevel="0" collapsed="false"/>
    <row r="4099" customFormat="false" ht="12.75" hidden="false" customHeight="true" outlineLevel="0" collapsed="false"/>
    <row r="4100" customFormat="false" ht="12.75" hidden="false" customHeight="true" outlineLevel="0" collapsed="false"/>
    <row r="4101" customFormat="false" ht="12.75" hidden="false" customHeight="true" outlineLevel="0" collapsed="false"/>
    <row r="4102" customFormat="false" ht="12.75" hidden="false" customHeight="true" outlineLevel="0" collapsed="false"/>
    <row r="4103" customFormat="false" ht="12.75" hidden="false" customHeight="true" outlineLevel="0" collapsed="false"/>
    <row r="4104" customFormat="false" ht="12.75" hidden="false" customHeight="true" outlineLevel="0" collapsed="false"/>
    <row r="4105" customFormat="false" ht="12.75" hidden="false" customHeight="true" outlineLevel="0" collapsed="false"/>
    <row r="4106" customFormat="false" ht="12.75" hidden="false" customHeight="true" outlineLevel="0" collapsed="false"/>
    <row r="4107" customFormat="false" ht="12.75" hidden="false" customHeight="true" outlineLevel="0" collapsed="false"/>
    <row r="4108" customFormat="false" ht="12.75" hidden="false" customHeight="true" outlineLevel="0" collapsed="false"/>
    <row r="4109" customFormat="false" ht="12.75" hidden="false" customHeight="true" outlineLevel="0" collapsed="false"/>
    <row r="4110" customFormat="false" ht="12.75" hidden="false" customHeight="true" outlineLevel="0" collapsed="false"/>
    <row r="4111" customFormat="false" ht="12.75" hidden="false" customHeight="true" outlineLevel="0" collapsed="false"/>
    <row r="4112" customFormat="false" ht="12.75" hidden="false" customHeight="true" outlineLevel="0" collapsed="false"/>
    <row r="4113" customFormat="false" ht="12.75" hidden="false" customHeight="true" outlineLevel="0" collapsed="false"/>
    <row r="4114" customFormat="false" ht="12.75" hidden="false" customHeight="true" outlineLevel="0" collapsed="false"/>
    <row r="4115" customFormat="false" ht="12.75" hidden="false" customHeight="true" outlineLevel="0" collapsed="false"/>
    <row r="4116" customFormat="false" ht="12.75" hidden="false" customHeight="true" outlineLevel="0" collapsed="false"/>
    <row r="4117" customFormat="false" ht="12.75" hidden="false" customHeight="true" outlineLevel="0" collapsed="false"/>
    <row r="4118" customFormat="false" ht="12.75" hidden="false" customHeight="true" outlineLevel="0" collapsed="false"/>
    <row r="4119" customFormat="false" ht="12.75" hidden="false" customHeight="true" outlineLevel="0" collapsed="false"/>
    <row r="4120" customFormat="false" ht="12.75" hidden="false" customHeight="true" outlineLevel="0" collapsed="false"/>
    <row r="4121" customFormat="false" ht="12.75" hidden="false" customHeight="true" outlineLevel="0" collapsed="false"/>
    <row r="4122" customFormat="false" ht="12.75" hidden="false" customHeight="true" outlineLevel="0" collapsed="false"/>
    <row r="4123" customFormat="false" ht="12.75" hidden="false" customHeight="true" outlineLevel="0" collapsed="false"/>
    <row r="4124" customFormat="false" ht="12.75" hidden="false" customHeight="true" outlineLevel="0" collapsed="false"/>
    <row r="4125" customFormat="false" ht="12.75" hidden="false" customHeight="true" outlineLevel="0" collapsed="false"/>
    <row r="4126" customFormat="false" ht="12.75" hidden="false" customHeight="true" outlineLevel="0" collapsed="false"/>
    <row r="4127" customFormat="false" ht="12.75" hidden="false" customHeight="true" outlineLevel="0" collapsed="false"/>
    <row r="4128" customFormat="false" ht="12.75" hidden="false" customHeight="true" outlineLevel="0" collapsed="false"/>
    <row r="4129" customFormat="false" ht="12.75" hidden="false" customHeight="true" outlineLevel="0" collapsed="false"/>
    <row r="4130" customFormat="false" ht="12.75" hidden="false" customHeight="true" outlineLevel="0" collapsed="false"/>
    <row r="4131" customFormat="false" ht="12.75" hidden="false" customHeight="true" outlineLevel="0" collapsed="false"/>
    <row r="4132" customFormat="false" ht="12.75" hidden="false" customHeight="true" outlineLevel="0" collapsed="false"/>
    <row r="4133" customFormat="false" ht="12.75" hidden="false" customHeight="true" outlineLevel="0" collapsed="false"/>
    <row r="4134" customFormat="false" ht="12.75" hidden="false" customHeight="true" outlineLevel="0" collapsed="false"/>
    <row r="4135" customFormat="false" ht="12.75" hidden="false" customHeight="true" outlineLevel="0" collapsed="false"/>
    <row r="4136" customFormat="false" ht="12.75" hidden="false" customHeight="true" outlineLevel="0" collapsed="false"/>
    <row r="4137" customFormat="false" ht="12.75" hidden="false" customHeight="true" outlineLevel="0" collapsed="false"/>
    <row r="4138" customFormat="false" ht="12.75" hidden="false" customHeight="true" outlineLevel="0" collapsed="false"/>
    <row r="4139" customFormat="false" ht="12.75" hidden="false" customHeight="true" outlineLevel="0" collapsed="false"/>
    <row r="4140" customFormat="false" ht="12.75" hidden="false" customHeight="true" outlineLevel="0" collapsed="false"/>
    <row r="4141" customFormat="false" ht="12.75" hidden="false" customHeight="true" outlineLevel="0" collapsed="false"/>
    <row r="4142" customFormat="false" ht="12.75" hidden="false" customHeight="true" outlineLevel="0" collapsed="false"/>
    <row r="4143" customFormat="false" ht="12.75" hidden="false" customHeight="true" outlineLevel="0" collapsed="false"/>
    <row r="4144" customFormat="false" ht="12.75" hidden="false" customHeight="true" outlineLevel="0" collapsed="false"/>
    <row r="4145" customFormat="false" ht="12.75" hidden="false" customHeight="true" outlineLevel="0" collapsed="false"/>
    <row r="4146" customFormat="false" ht="12.75" hidden="false" customHeight="true" outlineLevel="0" collapsed="false"/>
    <row r="4147" customFormat="false" ht="12.75" hidden="false" customHeight="true" outlineLevel="0" collapsed="false"/>
    <row r="4148" customFormat="false" ht="12.75" hidden="false" customHeight="true" outlineLevel="0" collapsed="false"/>
    <row r="4149" customFormat="false" ht="12.75" hidden="false" customHeight="true" outlineLevel="0" collapsed="false"/>
    <row r="4150" customFormat="false" ht="12.75" hidden="false" customHeight="true" outlineLevel="0" collapsed="false"/>
    <row r="4151" customFormat="false" ht="12.75" hidden="false" customHeight="true" outlineLevel="0" collapsed="false"/>
    <row r="4152" customFormat="false" ht="12.75" hidden="false" customHeight="true" outlineLevel="0" collapsed="false"/>
    <row r="4153" customFormat="false" ht="12.75" hidden="false" customHeight="true" outlineLevel="0" collapsed="false"/>
    <row r="4154" customFormat="false" ht="12.75" hidden="false" customHeight="true" outlineLevel="0" collapsed="false"/>
    <row r="4155" customFormat="false" ht="12.75" hidden="false" customHeight="true" outlineLevel="0" collapsed="false"/>
    <row r="4156" customFormat="false" ht="12.75" hidden="false" customHeight="true" outlineLevel="0" collapsed="false"/>
    <row r="4157" customFormat="false" ht="12.75" hidden="false" customHeight="true" outlineLevel="0" collapsed="false"/>
    <row r="4158" customFormat="false" ht="12.75" hidden="false" customHeight="true" outlineLevel="0" collapsed="false"/>
    <row r="4159" customFormat="false" ht="12.75" hidden="false" customHeight="true" outlineLevel="0" collapsed="false"/>
    <row r="4160" customFormat="false" ht="12.75" hidden="false" customHeight="true" outlineLevel="0" collapsed="false"/>
    <row r="4161" customFormat="false" ht="12.75" hidden="false" customHeight="true" outlineLevel="0" collapsed="false"/>
    <row r="4162" customFormat="false" ht="12.75" hidden="false" customHeight="true" outlineLevel="0" collapsed="false"/>
    <row r="4163" customFormat="false" ht="12.75" hidden="false" customHeight="true" outlineLevel="0" collapsed="false"/>
    <row r="4164" customFormat="false" ht="12.75" hidden="false" customHeight="true" outlineLevel="0" collapsed="false"/>
    <row r="4165" customFormat="false" ht="12.75" hidden="false" customHeight="true" outlineLevel="0" collapsed="false"/>
    <row r="4166" customFormat="false" ht="12.75" hidden="false" customHeight="true" outlineLevel="0" collapsed="false"/>
    <row r="4167" customFormat="false" ht="12.75" hidden="false" customHeight="true" outlineLevel="0" collapsed="false"/>
    <row r="4168" customFormat="false" ht="12.75" hidden="false" customHeight="true" outlineLevel="0" collapsed="false"/>
    <row r="4169" customFormat="false" ht="12.75" hidden="false" customHeight="true" outlineLevel="0" collapsed="false"/>
    <row r="4170" customFormat="false" ht="12.75" hidden="false" customHeight="true" outlineLevel="0" collapsed="false"/>
    <row r="4171" customFormat="false" ht="12.75" hidden="false" customHeight="true" outlineLevel="0" collapsed="false"/>
    <row r="4172" customFormat="false" ht="12.75" hidden="false" customHeight="true" outlineLevel="0" collapsed="false"/>
    <row r="4173" customFormat="false" ht="12.75" hidden="false" customHeight="true" outlineLevel="0" collapsed="false"/>
    <row r="4174" customFormat="false" ht="12.75" hidden="false" customHeight="true" outlineLevel="0" collapsed="false"/>
    <row r="4175" customFormat="false" ht="12.75" hidden="false" customHeight="true" outlineLevel="0" collapsed="false"/>
    <row r="4176" customFormat="false" ht="12.75" hidden="false" customHeight="true" outlineLevel="0" collapsed="false"/>
    <row r="4177" customFormat="false" ht="12.75" hidden="false" customHeight="true" outlineLevel="0" collapsed="false"/>
    <row r="4178" customFormat="false" ht="12.75" hidden="false" customHeight="true" outlineLevel="0" collapsed="false"/>
    <row r="4179" customFormat="false" ht="12.75" hidden="false" customHeight="true" outlineLevel="0" collapsed="false"/>
    <row r="4180" customFormat="false" ht="12.75" hidden="false" customHeight="true" outlineLevel="0" collapsed="false"/>
    <row r="4181" customFormat="false" ht="12.75" hidden="false" customHeight="true" outlineLevel="0" collapsed="false"/>
    <row r="4182" customFormat="false" ht="12.75" hidden="false" customHeight="true" outlineLevel="0" collapsed="false"/>
    <row r="4183" customFormat="false" ht="12.75" hidden="false" customHeight="true" outlineLevel="0" collapsed="false"/>
    <row r="4184" customFormat="false" ht="12.75" hidden="false" customHeight="true" outlineLevel="0" collapsed="false"/>
    <row r="4185" customFormat="false" ht="12.75" hidden="false" customHeight="true" outlineLevel="0" collapsed="false"/>
    <row r="4186" customFormat="false" ht="12.75" hidden="false" customHeight="true" outlineLevel="0" collapsed="false"/>
    <row r="4187" customFormat="false" ht="12.75" hidden="false" customHeight="true" outlineLevel="0" collapsed="false"/>
    <row r="4188" customFormat="false" ht="12.75" hidden="false" customHeight="true" outlineLevel="0" collapsed="false"/>
    <row r="4189" customFormat="false" ht="12.75" hidden="false" customHeight="true" outlineLevel="0" collapsed="false"/>
    <row r="4190" customFormat="false" ht="12.75" hidden="false" customHeight="true" outlineLevel="0" collapsed="false"/>
    <row r="4191" customFormat="false" ht="12.75" hidden="false" customHeight="true" outlineLevel="0" collapsed="false"/>
    <row r="4192" customFormat="false" ht="12.75" hidden="false" customHeight="true" outlineLevel="0" collapsed="false"/>
    <row r="4193" customFormat="false" ht="12.75" hidden="false" customHeight="true" outlineLevel="0" collapsed="false"/>
    <row r="4194" customFormat="false" ht="12.75" hidden="false" customHeight="true" outlineLevel="0" collapsed="false"/>
    <row r="4195" customFormat="false" ht="12.75" hidden="false" customHeight="true" outlineLevel="0" collapsed="false"/>
    <row r="4196" customFormat="false" ht="12.75" hidden="false" customHeight="true" outlineLevel="0" collapsed="false"/>
    <row r="4197" customFormat="false" ht="12.75" hidden="false" customHeight="true" outlineLevel="0" collapsed="false"/>
    <row r="4198" customFormat="false" ht="12.75" hidden="false" customHeight="true" outlineLevel="0" collapsed="false"/>
    <row r="4199" customFormat="false" ht="12.75" hidden="false" customHeight="true" outlineLevel="0" collapsed="false"/>
    <row r="4200" customFormat="false" ht="12.75" hidden="false" customHeight="true" outlineLevel="0" collapsed="false"/>
    <row r="4201" customFormat="false" ht="12.75" hidden="false" customHeight="true" outlineLevel="0" collapsed="false"/>
    <row r="4202" customFormat="false" ht="12.75" hidden="false" customHeight="true" outlineLevel="0" collapsed="false"/>
    <row r="4203" customFormat="false" ht="12.75" hidden="false" customHeight="true" outlineLevel="0" collapsed="false"/>
    <row r="4204" customFormat="false" ht="12.75" hidden="false" customHeight="true" outlineLevel="0" collapsed="false"/>
    <row r="4205" customFormat="false" ht="12.75" hidden="false" customHeight="true" outlineLevel="0" collapsed="false"/>
    <row r="4206" customFormat="false" ht="12.75" hidden="false" customHeight="true" outlineLevel="0" collapsed="false"/>
    <row r="4207" customFormat="false" ht="12.75" hidden="false" customHeight="true" outlineLevel="0" collapsed="false"/>
    <row r="4208" customFormat="false" ht="12.75" hidden="false" customHeight="true" outlineLevel="0" collapsed="false"/>
    <row r="4209" customFormat="false" ht="12.75" hidden="false" customHeight="true" outlineLevel="0" collapsed="false"/>
    <row r="4210" customFormat="false" ht="12.75" hidden="false" customHeight="true" outlineLevel="0" collapsed="false"/>
    <row r="4211" customFormat="false" ht="12.75" hidden="false" customHeight="true" outlineLevel="0" collapsed="false"/>
    <row r="4212" customFormat="false" ht="12.75" hidden="false" customHeight="true" outlineLevel="0" collapsed="false"/>
    <row r="4213" customFormat="false" ht="12.75" hidden="false" customHeight="true" outlineLevel="0" collapsed="false"/>
    <row r="4214" customFormat="false" ht="12.75" hidden="false" customHeight="true" outlineLevel="0" collapsed="false"/>
    <row r="4215" customFormat="false" ht="12.75" hidden="false" customHeight="true" outlineLevel="0" collapsed="false"/>
    <row r="4216" customFormat="false" ht="12.75" hidden="false" customHeight="true" outlineLevel="0" collapsed="false"/>
    <row r="4217" customFormat="false" ht="12.75" hidden="false" customHeight="true" outlineLevel="0" collapsed="false"/>
    <row r="4218" customFormat="false" ht="12.75" hidden="false" customHeight="true" outlineLevel="0" collapsed="false"/>
    <row r="4219" customFormat="false" ht="12.75" hidden="false" customHeight="true" outlineLevel="0" collapsed="false"/>
    <row r="4220" customFormat="false" ht="12.75" hidden="false" customHeight="true" outlineLevel="0" collapsed="false"/>
    <row r="4221" customFormat="false" ht="12.75" hidden="false" customHeight="true" outlineLevel="0" collapsed="false"/>
    <row r="4222" customFormat="false" ht="12.75" hidden="false" customHeight="true" outlineLevel="0" collapsed="false"/>
    <row r="4223" customFormat="false" ht="12.75" hidden="false" customHeight="true" outlineLevel="0" collapsed="false"/>
    <row r="4224" customFormat="false" ht="12.75" hidden="false" customHeight="true" outlineLevel="0" collapsed="false"/>
    <row r="4225" customFormat="false" ht="12.75" hidden="false" customHeight="true" outlineLevel="0" collapsed="false"/>
    <row r="4226" customFormat="false" ht="12.75" hidden="false" customHeight="true" outlineLevel="0" collapsed="false"/>
    <row r="4227" customFormat="false" ht="12.75" hidden="false" customHeight="true" outlineLevel="0" collapsed="false"/>
    <row r="4228" customFormat="false" ht="12.75" hidden="false" customHeight="true" outlineLevel="0" collapsed="false"/>
    <row r="4229" customFormat="false" ht="12.75" hidden="false" customHeight="true" outlineLevel="0" collapsed="false"/>
    <row r="4230" customFormat="false" ht="12.75" hidden="false" customHeight="true" outlineLevel="0" collapsed="false"/>
    <row r="4231" customFormat="false" ht="12.75" hidden="false" customHeight="true" outlineLevel="0" collapsed="false"/>
    <row r="4232" customFormat="false" ht="12.75" hidden="false" customHeight="true" outlineLevel="0" collapsed="false"/>
    <row r="4233" customFormat="false" ht="12.75" hidden="false" customHeight="true" outlineLevel="0" collapsed="false"/>
    <row r="4234" customFormat="false" ht="12.75" hidden="false" customHeight="true" outlineLevel="0" collapsed="false"/>
    <row r="4235" customFormat="false" ht="12.75" hidden="false" customHeight="true" outlineLevel="0" collapsed="false"/>
    <row r="4236" customFormat="false" ht="12.75" hidden="false" customHeight="true" outlineLevel="0" collapsed="false"/>
    <row r="4237" customFormat="false" ht="12.75" hidden="false" customHeight="true" outlineLevel="0" collapsed="false"/>
    <row r="4238" customFormat="false" ht="12.75" hidden="false" customHeight="true" outlineLevel="0" collapsed="false"/>
    <row r="4239" customFormat="false" ht="12.75" hidden="false" customHeight="true" outlineLevel="0" collapsed="false"/>
    <row r="4240" customFormat="false" ht="12.75" hidden="false" customHeight="true" outlineLevel="0" collapsed="false"/>
    <row r="4241" customFormat="false" ht="12.75" hidden="false" customHeight="true" outlineLevel="0" collapsed="false"/>
    <row r="4242" customFormat="false" ht="12.75" hidden="false" customHeight="true" outlineLevel="0" collapsed="false"/>
    <row r="4243" customFormat="false" ht="12.75" hidden="false" customHeight="true" outlineLevel="0" collapsed="false"/>
    <row r="4244" customFormat="false" ht="12.75" hidden="false" customHeight="true" outlineLevel="0" collapsed="false"/>
    <row r="4245" customFormat="false" ht="12.75" hidden="false" customHeight="true" outlineLevel="0" collapsed="false"/>
    <row r="4246" customFormat="false" ht="12.75" hidden="false" customHeight="true" outlineLevel="0" collapsed="false"/>
    <row r="4247" customFormat="false" ht="12.75" hidden="false" customHeight="true" outlineLevel="0" collapsed="false"/>
    <row r="4248" customFormat="false" ht="12.75" hidden="false" customHeight="true" outlineLevel="0" collapsed="false"/>
    <row r="4249" customFormat="false" ht="12.75" hidden="false" customHeight="true" outlineLevel="0" collapsed="false"/>
    <row r="4250" customFormat="false" ht="12.75" hidden="false" customHeight="true" outlineLevel="0" collapsed="false"/>
    <row r="4251" customFormat="false" ht="12.75" hidden="false" customHeight="true" outlineLevel="0" collapsed="false"/>
    <row r="4252" customFormat="false" ht="12.75" hidden="false" customHeight="true" outlineLevel="0" collapsed="false"/>
    <row r="4253" customFormat="false" ht="12.75" hidden="false" customHeight="true" outlineLevel="0" collapsed="false"/>
    <row r="4254" customFormat="false" ht="12.75" hidden="false" customHeight="true" outlineLevel="0" collapsed="false"/>
    <row r="4255" customFormat="false" ht="12.75" hidden="false" customHeight="true" outlineLevel="0" collapsed="false"/>
    <row r="4256" customFormat="false" ht="12.75" hidden="false" customHeight="true" outlineLevel="0" collapsed="false"/>
    <row r="4257" customFormat="false" ht="12.75" hidden="false" customHeight="true" outlineLevel="0" collapsed="false"/>
    <row r="4258" customFormat="false" ht="12.75" hidden="false" customHeight="true" outlineLevel="0" collapsed="false"/>
    <row r="4259" customFormat="false" ht="12.75" hidden="false" customHeight="true" outlineLevel="0" collapsed="false"/>
    <row r="4260" customFormat="false" ht="12.75" hidden="false" customHeight="true" outlineLevel="0" collapsed="false"/>
    <row r="4261" customFormat="false" ht="12.75" hidden="false" customHeight="true" outlineLevel="0" collapsed="false"/>
    <row r="4262" customFormat="false" ht="12.75" hidden="false" customHeight="true" outlineLevel="0" collapsed="false"/>
    <row r="4263" customFormat="false" ht="12.75" hidden="false" customHeight="true" outlineLevel="0" collapsed="false"/>
    <row r="4264" customFormat="false" ht="12.75" hidden="false" customHeight="true" outlineLevel="0" collapsed="false"/>
    <row r="4265" customFormat="false" ht="12.75" hidden="false" customHeight="true" outlineLevel="0" collapsed="false"/>
    <row r="4266" customFormat="false" ht="12.75" hidden="false" customHeight="true" outlineLevel="0" collapsed="false"/>
    <row r="4267" customFormat="false" ht="12.75" hidden="false" customHeight="true" outlineLevel="0" collapsed="false"/>
    <row r="4268" customFormat="false" ht="12.75" hidden="false" customHeight="true" outlineLevel="0" collapsed="false"/>
    <row r="4269" customFormat="false" ht="12.75" hidden="false" customHeight="true" outlineLevel="0" collapsed="false"/>
    <row r="4270" customFormat="false" ht="12.75" hidden="false" customHeight="true" outlineLevel="0" collapsed="false"/>
    <row r="4271" customFormat="false" ht="12.75" hidden="false" customHeight="true" outlineLevel="0" collapsed="false"/>
    <row r="4272" customFormat="false" ht="12.75" hidden="false" customHeight="true" outlineLevel="0" collapsed="false"/>
    <row r="4273" customFormat="false" ht="12.75" hidden="false" customHeight="true" outlineLevel="0" collapsed="false"/>
    <row r="4274" customFormat="false" ht="12.75" hidden="false" customHeight="true" outlineLevel="0" collapsed="false"/>
    <row r="4275" customFormat="false" ht="12.75" hidden="false" customHeight="true" outlineLevel="0" collapsed="false"/>
    <row r="4276" customFormat="false" ht="12.75" hidden="false" customHeight="true" outlineLevel="0" collapsed="false"/>
    <row r="4277" customFormat="false" ht="12.75" hidden="false" customHeight="true" outlineLevel="0" collapsed="false"/>
    <row r="4278" customFormat="false" ht="12.75" hidden="false" customHeight="true" outlineLevel="0" collapsed="false"/>
    <row r="4279" customFormat="false" ht="12.75" hidden="false" customHeight="true" outlineLevel="0" collapsed="false"/>
    <row r="4280" customFormat="false" ht="12.75" hidden="false" customHeight="true" outlineLevel="0" collapsed="false"/>
    <row r="4281" customFormat="false" ht="12.75" hidden="false" customHeight="true" outlineLevel="0" collapsed="false"/>
    <row r="4291" customFormat="false" ht="12.75" hidden="false" customHeight="true" outlineLevel="0" collapsed="false"/>
    <row r="4292" customFormat="false" ht="12.75" hidden="false" customHeight="true" outlineLevel="0" collapsed="false"/>
    <row r="4293" customFormat="false" ht="12.75" hidden="false" customHeight="true" outlineLevel="0" collapsed="false"/>
    <row r="4294" customFormat="false" ht="12.75" hidden="false" customHeight="true" outlineLevel="0" collapsed="false"/>
    <row r="60952" customFormat="false" ht="12.75" hidden="false" customHeight="true" outlineLevel="0" collapsed="false"/>
    <row r="60968" customFormat="false" ht="12.75" hidden="false" customHeight="true" outlineLevel="0" collapsed="false"/>
    <row r="60984" customFormat="false" ht="12.75" hidden="false" customHeight="true" outlineLevel="0" collapsed="false"/>
    <row r="61000" customFormat="false" ht="12.75" hidden="false" customHeight="true" outlineLevel="0" collapsed="false"/>
    <row r="61013" customFormat="false" ht="12.75" hidden="false" customHeight="true" outlineLevel="0" collapsed="false"/>
    <row r="61014" customFormat="false" ht="12.75" hidden="false" customHeight="true" outlineLevel="0" collapsed="false"/>
    <row r="61016" customFormat="false" ht="12.75" hidden="false" customHeight="true" outlineLevel="0" collapsed="false"/>
    <row r="61027" customFormat="false" ht="12.75" hidden="false" customHeight="true" outlineLevel="0" collapsed="false"/>
    <row r="61028" customFormat="false" ht="12.75" hidden="false" customHeight="true" outlineLevel="0" collapsed="false"/>
    <row r="61029" customFormat="false" ht="12.75" hidden="false" customHeight="true" outlineLevel="0" collapsed="false"/>
    <row r="61030" customFormat="false" ht="12.75" hidden="false" customHeight="true" outlineLevel="0" collapsed="false"/>
    <row r="61032" customFormat="false" ht="12.75" hidden="false" customHeight="true" outlineLevel="0" collapsed="false"/>
    <row r="61043" customFormat="false" ht="12.75" hidden="false" customHeight="true" outlineLevel="0" collapsed="false"/>
    <row r="61044" customFormat="false" ht="12.75" hidden="false" customHeight="true" outlineLevel="0" collapsed="false"/>
    <row r="61045" customFormat="false" ht="12.75" hidden="false" customHeight="true" outlineLevel="0" collapsed="false"/>
    <row r="61046" customFormat="false" ht="12.75" hidden="false" customHeight="true" outlineLevel="0" collapsed="false"/>
    <row r="61048" customFormat="false" ht="12.75" hidden="false" customHeight="true" outlineLevel="0" collapsed="false"/>
    <row r="61059" customFormat="false" ht="12.75" hidden="false" customHeight="true" outlineLevel="0" collapsed="false"/>
    <row r="61060" customFormat="false" ht="12.75" hidden="false" customHeight="true" outlineLevel="0" collapsed="false"/>
    <row r="61061" customFormat="false" ht="12.75" hidden="false" customHeight="true" outlineLevel="0" collapsed="false"/>
    <row r="61062" customFormat="false" ht="12.75" hidden="false" customHeight="true" outlineLevel="0" collapsed="false"/>
    <row r="61064" customFormat="false" ht="12.75" hidden="false" customHeight="true" outlineLevel="0" collapsed="false"/>
    <row r="61075" customFormat="false" ht="12.75" hidden="false" customHeight="true" outlineLevel="0" collapsed="false"/>
    <row r="61076" customFormat="false" ht="12.75" hidden="false" customHeight="true" outlineLevel="0" collapsed="false"/>
    <row r="61077" customFormat="false" ht="12.75" hidden="false" customHeight="true" outlineLevel="0" collapsed="false"/>
    <row r="61078" customFormat="false" ht="12.75" hidden="false" customHeight="true" outlineLevel="0" collapsed="false"/>
    <row r="61080" customFormat="false" ht="12.75" hidden="false" customHeight="true" outlineLevel="0" collapsed="false"/>
    <row r="61091" customFormat="false" ht="12.75" hidden="false" customHeight="true" outlineLevel="0" collapsed="false"/>
    <row r="61092" customFormat="false" ht="12.75" hidden="false" customHeight="true" outlineLevel="0" collapsed="false"/>
    <row r="61093" customFormat="false" ht="12.75" hidden="false" customHeight="true" outlineLevel="0" collapsed="false"/>
    <row r="61094" customFormat="false" ht="12.75" hidden="false" customHeight="true" outlineLevel="0" collapsed="false"/>
    <row r="61096" customFormat="false" ht="12.75" hidden="false" customHeight="true" outlineLevel="0" collapsed="false"/>
    <row r="61107" customFormat="false" ht="12.75" hidden="false" customHeight="true" outlineLevel="0" collapsed="false"/>
    <row r="61108" customFormat="false" ht="12.75" hidden="false" customHeight="true" outlineLevel="0" collapsed="false"/>
    <row r="61109" customFormat="false" ht="12.75" hidden="false" customHeight="true" outlineLevel="0" collapsed="false"/>
    <row r="61110" customFormat="false" ht="12.75" hidden="false" customHeight="true" outlineLevel="0" collapsed="false"/>
    <row r="61112" customFormat="false" ht="12.75" hidden="false" customHeight="true" outlineLevel="0" collapsed="false"/>
    <row r="61123" customFormat="false" ht="12.75" hidden="false" customHeight="true" outlineLevel="0" collapsed="false"/>
    <row r="61124" customFormat="false" ht="12.75" hidden="false" customHeight="true" outlineLevel="0" collapsed="false"/>
    <row r="61125" customFormat="false" ht="12.75" hidden="false" customHeight="true" outlineLevel="0" collapsed="false"/>
    <row r="61126" customFormat="false" ht="12.75" hidden="false" customHeight="true" outlineLevel="0" collapsed="false"/>
    <row r="61128" customFormat="false" ht="12.75" hidden="false" customHeight="true" outlineLevel="0" collapsed="false"/>
    <row r="61139" customFormat="false" ht="12.75" hidden="false" customHeight="true" outlineLevel="0" collapsed="false"/>
    <row r="61140" customFormat="false" ht="12.75" hidden="false" customHeight="true" outlineLevel="0" collapsed="false"/>
    <row r="61141" customFormat="false" ht="12.75" hidden="false" customHeight="true" outlineLevel="0" collapsed="false"/>
    <row r="61142" customFormat="false" ht="12.75" hidden="false" customHeight="true" outlineLevel="0" collapsed="false"/>
    <row r="61144" customFormat="false" ht="12.75" hidden="false" customHeight="true" outlineLevel="0" collapsed="false"/>
    <row r="61152" customFormat="false" ht="12.75" hidden="false" customHeight="true" outlineLevel="0" collapsed="false"/>
    <row r="61155" customFormat="false" ht="12.75" hidden="false" customHeight="true" outlineLevel="0" collapsed="false"/>
    <row r="61156" customFormat="false" ht="12.75" hidden="false" customHeight="true" outlineLevel="0" collapsed="false"/>
    <row r="61157" customFormat="false" ht="12.75" hidden="false" customHeight="true" outlineLevel="0" collapsed="false"/>
    <row r="61158" customFormat="false" ht="12.75" hidden="false" customHeight="true" outlineLevel="0" collapsed="false"/>
    <row r="61160" customFormat="false" ht="12.75" hidden="false" customHeight="true" outlineLevel="0" collapsed="false"/>
    <row r="61168" customFormat="false" ht="12.75" hidden="false" customHeight="true" outlineLevel="0" collapsed="false"/>
    <row r="61171" customFormat="false" ht="12.75" hidden="false" customHeight="true" outlineLevel="0" collapsed="false"/>
    <row r="61172" customFormat="false" ht="12.75" hidden="false" customHeight="true" outlineLevel="0" collapsed="false"/>
    <row r="61173" customFormat="false" ht="12.75" hidden="false" customHeight="true" outlineLevel="0" collapsed="false"/>
    <row r="61174" customFormat="false" ht="12.75" hidden="false" customHeight="true" outlineLevel="0" collapsed="false"/>
    <row r="61176" customFormat="false" ht="12.75" hidden="false" customHeight="true" outlineLevel="0" collapsed="false"/>
    <row r="61184" customFormat="false" ht="12.75" hidden="false" customHeight="true" outlineLevel="0" collapsed="false"/>
    <row r="61185" customFormat="false" ht="12.75" hidden="false" customHeight="true" outlineLevel="0" collapsed="false"/>
    <row r="61187" customFormat="false" ht="12.75" hidden="false" customHeight="true" outlineLevel="0" collapsed="false"/>
    <row r="61188" customFormat="false" ht="12.75" hidden="false" customHeight="true" outlineLevel="0" collapsed="false"/>
    <row r="61189" customFormat="false" ht="12.75" hidden="false" customHeight="true" outlineLevel="0" collapsed="false"/>
    <row r="61190" customFormat="false" ht="12.75" hidden="false" customHeight="true" outlineLevel="0" collapsed="false"/>
    <row r="61192" customFormat="false" ht="12.75" hidden="false" customHeight="true" outlineLevel="0" collapsed="false"/>
    <row r="61200" customFormat="false" ht="12.75" hidden="false" customHeight="true" outlineLevel="0" collapsed="false"/>
    <row r="61201" customFormat="false" ht="12.75" hidden="false" customHeight="true" outlineLevel="0" collapsed="false"/>
    <row r="61202" customFormat="false" ht="12.75" hidden="false" customHeight="true" outlineLevel="0" collapsed="false"/>
    <row r="61203" customFormat="false" ht="12.75" hidden="false" customHeight="true" outlineLevel="0" collapsed="false"/>
    <row r="61204" customFormat="false" ht="12.75" hidden="false" customHeight="true" outlineLevel="0" collapsed="false"/>
    <row r="61205" customFormat="false" ht="12.75" hidden="false" customHeight="true" outlineLevel="0" collapsed="false"/>
    <row r="61206" customFormat="false" ht="12.75" hidden="false" customHeight="true" outlineLevel="0" collapsed="false"/>
    <row r="61208" customFormat="false" ht="12.75" hidden="false" customHeight="true" outlineLevel="0" collapsed="false"/>
    <row r="61216" customFormat="false" ht="12.75" hidden="false" customHeight="true" outlineLevel="0" collapsed="false"/>
    <row r="61217" customFormat="false" ht="12.75" hidden="false" customHeight="true" outlineLevel="0" collapsed="false"/>
    <row r="61218" customFormat="false" ht="12.75" hidden="false" customHeight="true" outlineLevel="0" collapsed="false"/>
    <row r="61219" customFormat="false" ht="12.75" hidden="false" customHeight="true" outlineLevel="0" collapsed="false"/>
    <row r="61220" customFormat="false" ht="12.75" hidden="false" customHeight="true" outlineLevel="0" collapsed="false"/>
    <row r="61221" customFormat="false" ht="12.75" hidden="false" customHeight="true" outlineLevel="0" collapsed="false"/>
    <row r="61222" customFormat="false" ht="12.75" hidden="false" customHeight="true" outlineLevel="0" collapsed="false"/>
    <row r="61224" customFormat="false" ht="12.75" hidden="false" customHeight="true" outlineLevel="0" collapsed="false"/>
    <row r="61230" customFormat="false" ht="12.75" hidden="false" customHeight="true" outlineLevel="0" collapsed="false"/>
    <row r="61231" customFormat="false" ht="12.75" hidden="false" customHeight="true" outlineLevel="0" collapsed="false"/>
    <row r="61232" customFormat="false" ht="12.75" hidden="false" customHeight="true" outlineLevel="0" collapsed="false"/>
    <row r="61233" customFormat="false" ht="12.75" hidden="false" customHeight="true" outlineLevel="0" collapsed="false"/>
    <row r="61234" customFormat="false" ht="12.75" hidden="false" customHeight="true" outlineLevel="0" collapsed="false"/>
    <row r="61235" customFormat="false" ht="12.75" hidden="false" customHeight="true" outlineLevel="0" collapsed="false"/>
    <row r="61236" customFormat="false" ht="12.75" hidden="false" customHeight="true" outlineLevel="0" collapsed="false"/>
    <row r="61237" customFormat="false" ht="12.75" hidden="false" customHeight="true" outlineLevel="0" collapsed="false"/>
    <row r="61238" customFormat="false" ht="12.75" hidden="false" customHeight="true" outlineLevel="0" collapsed="false"/>
    <row r="61239" customFormat="false" ht="12.75" hidden="false" customHeight="true" outlineLevel="0" collapsed="false"/>
    <row r="61240" customFormat="false" ht="12.75" hidden="false" customHeight="true" outlineLevel="0" collapsed="false"/>
    <row r="61241" customFormat="false" ht="12.75" hidden="false" customHeight="true" outlineLevel="0" collapsed="false"/>
    <row r="61246" customFormat="false" ht="12.75" hidden="false" customHeight="true" outlineLevel="0" collapsed="false"/>
    <row r="61247" customFormat="false" ht="12.75" hidden="false" customHeight="true" outlineLevel="0" collapsed="false"/>
    <row r="61248" customFormat="false" ht="12.75" hidden="false" customHeight="true" outlineLevel="0" collapsed="false"/>
    <row r="61249" customFormat="false" ht="12.75" hidden="false" customHeight="true" outlineLevel="0" collapsed="false"/>
    <row r="61250" customFormat="false" ht="12.75" hidden="false" customHeight="true" outlineLevel="0" collapsed="false"/>
    <row r="61251" customFormat="false" ht="12.75" hidden="false" customHeight="true" outlineLevel="0" collapsed="false"/>
    <row r="61252" customFormat="false" ht="12.75" hidden="false" customHeight="true" outlineLevel="0" collapsed="false"/>
    <row r="61253" customFormat="false" ht="12.75" hidden="false" customHeight="true" outlineLevel="0" collapsed="false"/>
    <row r="61254" customFormat="false" ht="12.75" hidden="false" customHeight="true" outlineLevel="0" collapsed="false"/>
    <row r="61255" customFormat="false" ht="12.75" hidden="false" customHeight="true" outlineLevel="0" collapsed="false"/>
    <row r="61256" customFormat="false" ht="12.75" hidden="false" customHeight="true" outlineLevel="0" collapsed="false"/>
    <row r="61257" customFormat="false" ht="12.75" hidden="false" customHeight="true" outlineLevel="0" collapsed="false"/>
    <row r="61262" customFormat="false" ht="12.75" hidden="false" customHeight="true" outlineLevel="0" collapsed="false"/>
    <row r="61263" customFormat="false" ht="12.75" hidden="false" customHeight="true" outlineLevel="0" collapsed="false"/>
    <row r="61264" customFormat="false" ht="12.75" hidden="false" customHeight="true" outlineLevel="0" collapsed="false"/>
    <row r="61265" customFormat="false" ht="12.75" hidden="false" customHeight="true" outlineLevel="0" collapsed="false"/>
    <row r="61266" customFormat="false" ht="12.75" hidden="false" customHeight="true" outlineLevel="0" collapsed="false"/>
    <row r="61267" customFormat="false" ht="12.75" hidden="false" customHeight="true" outlineLevel="0" collapsed="false"/>
    <row r="61268" customFormat="false" ht="12.75" hidden="false" customHeight="true" outlineLevel="0" collapsed="false"/>
    <row r="61269" customFormat="false" ht="12.75" hidden="false" customHeight="true" outlineLevel="0" collapsed="false"/>
    <row r="61270" customFormat="false" ht="12.75" hidden="false" customHeight="true" outlineLevel="0" collapsed="false"/>
    <row r="61271" customFormat="false" ht="12.75" hidden="false" customHeight="true" outlineLevel="0" collapsed="false"/>
    <row r="61272" customFormat="false" ht="12.75" hidden="false" customHeight="true" outlineLevel="0" collapsed="false"/>
    <row r="61273" customFormat="false" ht="12.75" hidden="false" customHeight="true" outlineLevel="0" collapsed="false"/>
    <row r="61278" customFormat="false" ht="12.75" hidden="false" customHeight="true" outlineLevel="0" collapsed="false"/>
    <row r="61279" customFormat="false" ht="12.75" hidden="false" customHeight="true" outlineLevel="0" collapsed="false"/>
    <row r="61280" customFormat="false" ht="12.75" hidden="false" customHeight="true" outlineLevel="0" collapsed="false"/>
    <row r="61281" customFormat="false" ht="12.75" hidden="false" customHeight="true" outlineLevel="0" collapsed="false"/>
    <row r="61282" customFormat="false" ht="12.75" hidden="false" customHeight="true" outlineLevel="0" collapsed="false"/>
    <row r="61283" customFormat="false" ht="12.75" hidden="false" customHeight="true" outlineLevel="0" collapsed="false"/>
    <row r="61284" customFormat="false" ht="12.75" hidden="false" customHeight="true" outlineLevel="0" collapsed="false"/>
    <row r="61285" customFormat="false" ht="12.75" hidden="false" customHeight="true" outlineLevel="0" collapsed="false"/>
    <row r="61286" customFormat="false" ht="12.75" hidden="false" customHeight="true" outlineLevel="0" collapsed="false"/>
    <row r="61287" customFormat="false" ht="12.75" hidden="false" customHeight="true" outlineLevel="0" collapsed="false"/>
    <row r="61288" customFormat="false" ht="12.75" hidden="false" customHeight="true" outlineLevel="0" collapsed="false"/>
    <row r="61289" customFormat="false" ht="12.75" hidden="false" customHeight="true" outlineLevel="0" collapsed="false"/>
    <row r="61293" customFormat="false" ht="12.75" hidden="false" customHeight="true" outlineLevel="0" collapsed="false"/>
    <row r="61294" customFormat="false" ht="12.75" hidden="false" customHeight="true" outlineLevel="0" collapsed="false"/>
    <row r="61295" customFormat="false" ht="12.75" hidden="false" customHeight="true" outlineLevel="0" collapsed="false"/>
    <row r="61296" customFormat="false" ht="12.75" hidden="false" customHeight="true" outlineLevel="0" collapsed="false"/>
    <row r="61297" customFormat="false" ht="12.75" hidden="false" customHeight="true" outlineLevel="0" collapsed="false"/>
    <row r="61298" customFormat="false" ht="12.75" hidden="false" customHeight="true" outlineLevel="0" collapsed="false"/>
    <row r="61299" customFormat="false" ht="12.75" hidden="false" customHeight="true" outlineLevel="0" collapsed="false"/>
    <row r="61300" customFormat="false" ht="12.75" hidden="false" customHeight="true" outlineLevel="0" collapsed="false"/>
    <row r="61301" customFormat="false" ht="12.75" hidden="false" customHeight="true" outlineLevel="0" collapsed="false"/>
    <row r="61302" customFormat="false" ht="12.75" hidden="false" customHeight="true" outlineLevel="0" collapsed="false"/>
    <row r="61303" customFormat="false" ht="12.75" hidden="false" customHeight="true" outlineLevel="0" collapsed="false"/>
    <row r="61304" customFormat="false" ht="12.75" hidden="false" customHeight="true" outlineLevel="0" collapsed="false"/>
    <row r="61305" customFormat="false" ht="12.75" hidden="false" customHeight="true" outlineLevel="0" collapsed="false"/>
    <row r="61309" customFormat="false" ht="12.75" hidden="false" customHeight="true" outlineLevel="0" collapsed="false"/>
    <row r="61310" customFormat="false" ht="12.75" hidden="false" customHeight="true" outlineLevel="0" collapsed="false"/>
    <row r="61311" customFormat="false" ht="12.75" hidden="false" customHeight="true" outlineLevel="0" collapsed="false"/>
    <row r="61312" customFormat="false" ht="12.75" hidden="false" customHeight="true" outlineLevel="0" collapsed="false"/>
    <row r="61313" customFormat="false" ht="12.75" hidden="false" customHeight="true" outlineLevel="0" collapsed="false"/>
    <row r="61314" customFormat="false" ht="12.75" hidden="false" customHeight="true" outlineLevel="0" collapsed="false"/>
    <row r="61315" customFormat="false" ht="12.75" hidden="false" customHeight="true" outlineLevel="0" collapsed="false"/>
    <row r="61316" customFormat="false" ht="12.75" hidden="false" customHeight="true" outlineLevel="0" collapsed="false"/>
    <row r="61317" customFormat="false" ht="12.75" hidden="false" customHeight="true" outlineLevel="0" collapsed="false"/>
    <row r="61318" customFormat="false" ht="12.75" hidden="false" customHeight="true" outlineLevel="0" collapsed="false"/>
    <row r="61319" customFormat="false" ht="12.75" hidden="false" customHeight="true" outlineLevel="0" collapsed="false"/>
    <row r="61320" customFormat="false" ht="12.75" hidden="false" customHeight="true" outlineLevel="0" collapsed="false"/>
    <row r="61321" customFormat="false" ht="12.75" hidden="false" customHeight="true" outlineLevel="0" collapsed="false"/>
    <row r="61325" customFormat="false" ht="12.75" hidden="false" customHeight="true" outlineLevel="0" collapsed="false"/>
    <row r="61326" customFormat="false" ht="12.75" hidden="false" customHeight="true" outlineLevel="0" collapsed="false"/>
    <row r="61327" customFormat="false" ht="12.75" hidden="false" customHeight="true" outlineLevel="0" collapsed="false"/>
    <row r="61328" customFormat="false" ht="12.75" hidden="false" customHeight="true" outlineLevel="0" collapsed="false"/>
    <row r="61329" customFormat="false" ht="12.75" hidden="false" customHeight="true" outlineLevel="0" collapsed="false"/>
    <row r="61330" customFormat="false" ht="12.75" hidden="false" customHeight="true" outlineLevel="0" collapsed="false"/>
    <row r="61331" customFormat="false" ht="12.75" hidden="false" customHeight="true" outlineLevel="0" collapsed="false"/>
    <row r="61332" customFormat="false" ht="12.75" hidden="false" customHeight="true" outlineLevel="0" collapsed="false"/>
    <row r="61333" customFormat="false" ht="12.75" hidden="false" customHeight="true" outlineLevel="0" collapsed="false"/>
    <row r="61334" customFormat="false" ht="12.75" hidden="false" customHeight="true" outlineLevel="0" collapsed="false"/>
    <row r="61335" customFormat="false" ht="12.75" hidden="false" customHeight="true" outlineLevel="0" collapsed="false"/>
    <row r="61336" customFormat="false" ht="12.75" hidden="false" customHeight="true" outlineLevel="0" collapsed="false"/>
    <row r="61337" customFormat="false" ht="12.75" hidden="false" customHeight="true" outlineLevel="0" collapsed="false"/>
    <row r="61341" customFormat="false" ht="12.75" hidden="false" customHeight="true" outlineLevel="0" collapsed="false"/>
    <row r="61342" customFormat="false" ht="12.75" hidden="false" customHeight="true" outlineLevel="0" collapsed="false"/>
    <row r="61343" customFormat="false" ht="12.75" hidden="false" customHeight="true" outlineLevel="0" collapsed="false"/>
    <row r="61344" customFormat="false" ht="12.75" hidden="false" customHeight="true" outlineLevel="0" collapsed="false"/>
    <row r="61345" customFormat="false" ht="12.75" hidden="false" customHeight="true" outlineLevel="0" collapsed="false"/>
    <row r="61346" customFormat="false" ht="12.75" hidden="false" customHeight="true" outlineLevel="0" collapsed="false"/>
    <row r="61347" customFormat="false" ht="12.75" hidden="false" customHeight="true" outlineLevel="0" collapsed="false"/>
    <row r="61348" customFormat="false" ht="12.75" hidden="false" customHeight="true" outlineLevel="0" collapsed="false"/>
    <row r="61349" customFormat="false" ht="12.75" hidden="false" customHeight="true" outlineLevel="0" collapsed="false"/>
    <row r="61350" customFormat="false" ht="12.75" hidden="false" customHeight="true" outlineLevel="0" collapsed="false"/>
    <row r="61351" customFormat="false" ht="12.75" hidden="false" customHeight="true" outlineLevel="0" collapsed="false"/>
    <row r="61352" customFormat="false" ht="12.75" hidden="false" customHeight="true" outlineLevel="0" collapsed="false"/>
    <row r="61353" customFormat="false" ht="12.75" hidden="false" customHeight="true" outlineLevel="0" collapsed="false"/>
    <row r="61357" customFormat="false" ht="12.75" hidden="false" customHeight="true" outlineLevel="0" collapsed="false"/>
    <row r="61358" customFormat="false" ht="12.75" hidden="false" customHeight="true" outlineLevel="0" collapsed="false"/>
    <row r="61359" customFormat="false" ht="12.75" hidden="false" customHeight="true" outlineLevel="0" collapsed="false"/>
    <row r="61360" customFormat="false" ht="12.75" hidden="false" customHeight="true" outlineLevel="0" collapsed="false"/>
    <row r="61361" customFormat="false" ht="12.75" hidden="false" customHeight="true" outlineLevel="0" collapsed="false"/>
    <row r="61362" customFormat="false" ht="12.75" hidden="false" customHeight="true" outlineLevel="0" collapsed="false"/>
    <row r="61363" customFormat="false" ht="12.75" hidden="false" customHeight="true" outlineLevel="0" collapsed="false"/>
    <row r="61364" customFormat="false" ht="12.75" hidden="false" customHeight="true" outlineLevel="0" collapsed="false"/>
    <row r="61365" customFormat="false" ht="12.75" hidden="false" customHeight="true" outlineLevel="0" collapsed="false"/>
    <row r="61366" customFormat="false" ht="12.75" hidden="false" customHeight="true" outlineLevel="0" collapsed="false"/>
    <row r="61367" customFormat="false" ht="12.75" hidden="false" customHeight="true" outlineLevel="0" collapsed="false"/>
    <row r="61368" customFormat="false" ht="12.75" hidden="false" customHeight="true" outlineLevel="0" collapsed="false"/>
    <row r="61369" customFormat="false" ht="12.75" hidden="false" customHeight="true" outlineLevel="0" collapsed="false"/>
    <row r="61373" customFormat="false" ht="12.75" hidden="false" customHeight="true" outlineLevel="0" collapsed="false"/>
    <row r="61374" customFormat="false" ht="12.75" hidden="false" customHeight="true" outlineLevel="0" collapsed="false"/>
    <row r="61375" customFormat="false" ht="12.75" hidden="false" customHeight="true" outlineLevel="0" collapsed="false"/>
    <row r="61376" customFormat="false" ht="12.75" hidden="false" customHeight="true" outlineLevel="0" collapsed="false"/>
    <row r="61377" customFormat="false" ht="12.75" hidden="false" customHeight="true" outlineLevel="0" collapsed="false"/>
    <row r="61378" customFormat="false" ht="12.75" hidden="false" customHeight="true" outlineLevel="0" collapsed="false"/>
    <row r="61379" customFormat="false" ht="12.75" hidden="false" customHeight="true" outlineLevel="0" collapsed="false"/>
    <row r="61380" customFormat="false" ht="12.75" hidden="false" customHeight="true" outlineLevel="0" collapsed="false"/>
    <row r="61381" customFormat="false" ht="12.75" hidden="false" customHeight="true" outlineLevel="0" collapsed="false"/>
    <row r="61382" customFormat="false" ht="12.75" hidden="false" customHeight="true" outlineLevel="0" collapsed="false"/>
    <row r="61383" customFormat="false" ht="12.75" hidden="false" customHeight="true" outlineLevel="0" collapsed="false"/>
    <row r="61384" customFormat="false" ht="12.75" hidden="false" customHeight="true" outlineLevel="0" collapsed="false"/>
    <row r="61385" customFormat="false" ht="12.75" hidden="false" customHeight="true" outlineLevel="0" collapsed="false"/>
    <row r="61389" customFormat="false" ht="12.75" hidden="false" customHeight="true" outlineLevel="0" collapsed="false"/>
    <row r="61390" customFormat="false" ht="12.75" hidden="false" customHeight="true" outlineLevel="0" collapsed="false"/>
    <row r="61391" customFormat="false" ht="12.75" hidden="false" customHeight="true" outlineLevel="0" collapsed="false"/>
    <row r="61392" customFormat="false" ht="12.75" hidden="false" customHeight="true" outlineLevel="0" collapsed="false"/>
    <row r="61393" customFormat="false" ht="12.75" hidden="false" customHeight="true" outlineLevel="0" collapsed="false"/>
    <row r="61394" customFormat="false" ht="12.75" hidden="false" customHeight="true" outlineLevel="0" collapsed="false"/>
    <row r="61395" customFormat="false" ht="12.75" hidden="false" customHeight="true" outlineLevel="0" collapsed="false"/>
    <row r="61396" customFormat="false" ht="12.75" hidden="false" customHeight="true" outlineLevel="0" collapsed="false"/>
    <row r="61397" customFormat="false" ht="12.75" hidden="false" customHeight="true" outlineLevel="0" collapsed="false"/>
    <row r="61398" customFormat="false" ht="12.75" hidden="false" customHeight="true" outlineLevel="0" collapsed="false"/>
    <row r="61399" customFormat="false" ht="12.75" hidden="false" customHeight="true" outlineLevel="0" collapsed="false"/>
    <row r="61400" customFormat="false" ht="12.75" hidden="false" customHeight="true" outlineLevel="0" collapsed="false"/>
    <row r="61401" customFormat="false" ht="12.75" hidden="false" customHeight="true" outlineLevel="0" collapsed="false"/>
    <row r="61405" customFormat="false" ht="12.75" hidden="false" customHeight="true" outlineLevel="0" collapsed="false"/>
    <row r="61406" customFormat="false" ht="12.75" hidden="false" customHeight="true" outlineLevel="0" collapsed="false"/>
    <row r="61407" customFormat="false" ht="12.75" hidden="false" customHeight="true" outlineLevel="0" collapsed="false"/>
    <row r="61408" customFormat="false" ht="12.75" hidden="false" customHeight="true" outlineLevel="0" collapsed="false"/>
    <row r="61409" customFormat="false" ht="12.75" hidden="false" customHeight="true" outlineLevel="0" collapsed="false"/>
    <row r="61410" customFormat="false" ht="12.75" hidden="false" customHeight="true" outlineLevel="0" collapsed="false"/>
    <row r="61411" customFormat="false" ht="12.75" hidden="false" customHeight="true" outlineLevel="0" collapsed="false"/>
    <row r="61412" customFormat="false" ht="12.75" hidden="false" customHeight="true" outlineLevel="0" collapsed="false"/>
    <row r="61413" customFormat="false" ht="12.75" hidden="false" customHeight="true" outlineLevel="0" collapsed="false"/>
    <row r="61414" customFormat="false" ht="12.75" hidden="false" customHeight="true" outlineLevel="0" collapsed="false"/>
    <row r="61415" customFormat="false" ht="12.75" hidden="false" customHeight="true" outlineLevel="0" collapsed="false"/>
    <row r="61416" customFormat="false" ht="12.75" hidden="false" customHeight="true" outlineLevel="0" collapsed="false"/>
    <row r="61417" customFormat="false" ht="12.75" hidden="false" customHeight="true" outlineLevel="0" collapsed="false"/>
    <row r="61418" customFormat="false" ht="12.75" hidden="false" customHeight="true" outlineLevel="0" collapsed="false"/>
    <row r="61421" customFormat="false" ht="12.75" hidden="false" customHeight="true" outlineLevel="0" collapsed="false"/>
    <row r="61422" customFormat="false" ht="12.75" hidden="false" customHeight="true" outlineLevel="0" collapsed="false"/>
    <row r="61423" customFormat="false" ht="12.75" hidden="false" customHeight="true" outlineLevel="0" collapsed="false"/>
    <row r="61424" customFormat="false" ht="12.75" hidden="false" customHeight="true" outlineLevel="0" collapsed="false"/>
    <row r="61425" customFormat="false" ht="12.75" hidden="false" customHeight="true" outlineLevel="0" collapsed="false"/>
    <row r="61426" customFormat="false" ht="12.75" hidden="false" customHeight="true" outlineLevel="0" collapsed="false"/>
    <row r="61427" customFormat="false" ht="12.75" hidden="false" customHeight="true" outlineLevel="0" collapsed="false"/>
    <row r="61428" customFormat="false" ht="12.75" hidden="false" customHeight="true" outlineLevel="0" collapsed="false"/>
    <row r="61429" customFormat="false" ht="12.75" hidden="false" customHeight="true" outlineLevel="0" collapsed="false"/>
    <row r="61430" customFormat="false" ht="12.75" hidden="false" customHeight="true" outlineLevel="0" collapsed="false"/>
    <row r="61431" customFormat="false" ht="12.75" hidden="false" customHeight="true" outlineLevel="0" collapsed="false"/>
    <row r="61432" customFormat="false" ht="12.75" hidden="false" customHeight="true" outlineLevel="0" collapsed="false"/>
    <row r="61433" customFormat="false" ht="12.75" hidden="false" customHeight="true" outlineLevel="0" collapsed="false"/>
    <row r="61434" customFormat="false" ht="12.75" hidden="false" customHeight="true" outlineLevel="0" collapsed="false"/>
    <row r="61437" customFormat="false" ht="12.75" hidden="false" customHeight="true" outlineLevel="0" collapsed="false"/>
    <row r="61438" customFormat="false" ht="12.75" hidden="false" customHeight="true" outlineLevel="0" collapsed="false"/>
    <row r="61439" customFormat="false" ht="12.75" hidden="false" customHeight="true" outlineLevel="0" collapsed="false"/>
    <row r="61440" customFormat="false" ht="12.75" hidden="false" customHeight="true" outlineLevel="0" collapsed="false"/>
    <row r="61441" customFormat="false" ht="12.75" hidden="false" customHeight="true" outlineLevel="0" collapsed="false"/>
    <row r="61442" customFormat="false" ht="12.75" hidden="false" customHeight="true" outlineLevel="0" collapsed="false"/>
    <row r="61443" customFormat="false" ht="12.75" hidden="false" customHeight="true" outlineLevel="0" collapsed="false"/>
    <row r="61444" customFormat="false" ht="12.75" hidden="false" customHeight="true" outlineLevel="0" collapsed="false"/>
    <row r="61445" customFormat="false" ht="12.75" hidden="false" customHeight="true" outlineLevel="0" collapsed="false"/>
    <row r="61446" customFormat="false" ht="12.75" hidden="false" customHeight="true" outlineLevel="0" collapsed="false"/>
    <row r="61447" customFormat="false" ht="12.75" hidden="false" customHeight="true" outlineLevel="0" collapsed="false"/>
    <row r="61448" customFormat="false" ht="12.75" hidden="false" customHeight="true" outlineLevel="0" collapsed="false"/>
    <row r="61449" customFormat="false" ht="12.75" hidden="false" customHeight="true" outlineLevel="0" collapsed="false"/>
    <row r="61450" customFormat="false" ht="12.75" hidden="false" customHeight="true" outlineLevel="0" collapsed="false"/>
    <row r="61451" customFormat="false" ht="12.75" hidden="false" customHeight="true" outlineLevel="0" collapsed="false"/>
    <row r="61453" customFormat="false" ht="12.75" hidden="false" customHeight="true" outlineLevel="0" collapsed="false"/>
    <row r="61454" customFormat="false" ht="12.75" hidden="false" customHeight="true" outlineLevel="0" collapsed="false"/>
    <row r="61455" customFormat="false" ht="12.75" hidden="false" customHeight="true" outlineLevel="0" collapsed="false"/>
    <row r="61456" customFormat="false" ht="12.75" hidden="false" customHeight="true" outlineLevel="0" collapsed="false"/>
    <row r="61457" customFormat="false" ht="12.75" hidden="false" customHeight="true" outlineLevel="0" collapsed="false"/>
    <row r="61458" customFormat="false" ht="12.75" hidden="false" customHeight="true" outlineLevel="0" collapsed="false"/>
    <row r="61459" customFormat="false" ht="12.75" hidden="false" customHeight="true" outlineLevel="0" collapsed="false"/>
    <row r="61460" customFormat="false" ht="12.75" hidden="false" customHeight="true" outlineLevel="0" collapsed="false"/>
    <row r="61461" customFormat="false" ht="12.75" hidden="false" customHeight="true" outlineLevel="0" collapsed="false"/>
    <row r="61462" customFormat="false" ht="12.75" hidden="false" customHeight="true" outlineLevel="0" collapsed="false"/>
    <row r="61463" customFormat="false" ht="12.75" hidden="false" customHeight="true" outlineLevel="0" collapsed="false"/>
    <row r="61464" customFormat="false" ht="12.75" hidden="false" customHeight="true" outlineLevel="0" collapsed="false"/>
    <row r="61465" customFormat="false" ht="12.75" hidden="false" customHeight="true" outlineLevel="0" collapsed="false"/>
    <row r="61466" customFormat="false" ht="12.75" hidden="false" customHeight="true" outlineLevel="0" collapsed="false"/>
    <row r="61467" customFormat="false" ht="12.75" hidden="false" customHeight="true" outlineLevel="0" collapsed="false"/>
    <row r="61468" customFormat="false" ht="12.75" hidden="false" customHeight="true" outlineLevel="0" collapsed="false"/>
    <row r="61469" customFormat="false" ht="12.75" hidden="false" customHeight="true" outlineLevel="0" collapsed="false"/>
    <row r="61470" customFormat="false" ht="12.75" hidden="false" customHeight="true" outlineLevel="0" collapsed="false"/>
    <row r="61471" customFormat="false" ht="12.75" hidden="false" customHeight="true" outlineLevel="0" collapsed="false"/>
    <row r="61472" customFormat="false" ht="12.75" hidden="false" customHeight="true" outlineLevel="0" collapsed="false"/>
    <row r="61473" customFormat="false" ht="12.75" hidden="false" customHeight="true" outlineLevel="0" collapsed="false"/>
    <row r="61474" customFormat="false" ht="12.75" hidden="false" customHeight="true" outlineLevel="0" collapsed="false"/>
    <row r="61475" customFormat="false" ht="12.75" hidden="false" customHeight="true" outlineLevel="0" collapsed="false"/>
    <row r="61476" customFormat="false" ht="12.75" hidden="false" customHeight="true" outlineLevel="0" collapsed="false"/>
    <row r="61477" customFormat="false" ht="12.75" hidden="false" customHeight="true" outlineLevel="0" collapsed="false"/>
    <row r="61478" customFormat="false" ht="12.75" hidden="false" customHeight="true" outlineLevel="0" collapsed="false"/>
    <row r="61479" customFormat="false" ht="12.75" hidden="false" customHeight="true" outlineLevel="0" collapsed="false"/>
    <row r="61480" customFormat="false" ht="12.75" hidden="false" customHeight="true" outlineLevel="0" collapsed="false"/>
    <row r="61481" customFormat="false" ht="12.75" hidden="false" customHeight="true" outlineLevel="0" collapsed="false"/>
    <row r="61482" customFormat="false" ht="12.75" hidden="false" customHeight="true" outlineLevel="0" collapsed="false"/>
    <row r="61483" customFormat="false" ht="12.75" hidden="false" customHeight="true" outlineLevel="0" collapsed="false"/>
    <row r="61484" customFormat="false" ht="12.75" hidden="false" customHeight="true" outlineLevel="0" collapsed="false"/>
    <row r="61485" customFormat="false" ht="12.75" hidden="false" customHeight="true" outlineLevel="0" collapsed="false"/>
    <row r="61486" customFormat="false" ht="12.75" hidden="false" customHeight="true" outlineLevel="0" collapsed="false"/>
    <row r="61487" customFormat="false" ht="12.75" hidden="false" customHeight="true" outlineLevel="0" collapsed="false"/>
    <row r="61488" customFormat="false" ht="12.75" hidden="false" customHeight="true" outlineLevel="0" collapsed="false"/>
    <row r="61489" customFormat="false" ht="12.75" hidden="false" customHeight="true" outlineLevel="0" collapsed="false"/>
    <row r="61490" customFormat="false" ht="12.75" hidden="false" customHeight="true" outlineLevel="0" collapsed="false"/>
    <row r="61491" customFormat="false" ht="12.75" hidden="false" customHeight="true" outlineLevel="0" collapsed="false"/>
    <row r="61492" customFormat="false" ht="12.75" hidden="false" customHeight="true" outlineLevel="0" collapsed="false"/>
    <row r="61493" customFormat="false" ht="12.75" hidden="false" customHeight="true" outlineLevel="0" collapsed="false"/>
    <row r="61494" customFormat="false" ht="12.75" hidden="false" customHeight="true" outlineLevel="0" collapsed="false"/>
    <row r="61495" customFormat="false" ht="12.75" hidden="false" customHeight="true" outlineLevel="0" collapsed="false"/>
    <row r="61496" customFormat="false" ht="12.75" hidden="false" customHeight="true" outlineLevel="0" collapsed="false"/>
    <row r="61497" customFormat="false" ht="12.75" hidden="false" customHeight="true" outlineLevel="0" collapsed="false"/>
    <row r="61498" customFormat="false" ht="12.75" hidden="false" customHeight="true" outlineLevel="0" collapsed="false"/>
    <row r="61499" customFormat="false" ht="12.75" hidden="false" customHeight="true" outlineLevel="0" collapsed="false"/>
    <row r="61500" customFormat="false" ht="12.75" hidden="false" customHeight="true" outlineLevel="0" collapsed="false"/>
    <row r="61501" customFormat="false" ht="12.75" hidden="false" customHeight="true" outlineLevel="0" collapsed="false"/>
    <row r="61502" customFormat="false" ht="12.75" hidden="false" customHeight="true" outlineLevel="0" collapsed="false"/>
    <row r="61503" customFormat="false" ht="12.75" hidden="false" customHeight="true" outlineLevel="0" collapsed="false"/>
    <row r="61504" customFormat="false" ht="12.75" hidden="false" customHeight="true" outlineLevel="0" collapsed="false"/>
    <row r="61505" customFormat="false" ht="12.75" hidden="false" customHeight="true" outlineLevel="0" collapsed="false"/>
    <row r="61506" customFormat="false" ht="12.75" hidden="false" customHeight="true" outlineLevel="0" collapsed="false"/>
    <row r="61507" customFormat="false" ht="12.75" hidden="false" customHeight="true" outlineLevel="0" collapsed="false"/>
    <row r="61508" customFormat="false" ht="12.75" hidden="false" customHeight="true" outlineLevel="0" collapsed="false"/>
    <row r="61509" customFormat="false" ht="12.75" hidden="false" customHeight="true" outlineLevel="0" collapsed="false"/>
    <row r="61510" customFormat="false" ht="12.75" hidden="false" customHeight="true" outlineLevel="0" collapsed="false"/>
    <row r="61511" customFormat="false" ht="12.75" hidden="false" customHeight="true" outlineLevel="0" collapsed="false"/>
    <row r="61512" customFormat="false" ht="12.75" hidden="false" customHeight="true" outlineLevel="0" collapsed="false"/>
    <row r="61513" customFormat="false" ht="12.75" hidden="false" customHeight="true" outlineLevel="0" collapsed="false"/>
    <row r="61514" customFormat="false" ht="12.75" hidden="false" customHeight="true" outlineLevel="0" collapsed="false"/>
    <row r="61515" customFormat="false" ht="12.75" hidden="false" customHeight="true" outlineLevel="0" collapsed="false"/>
    <row r="61516" customFormat="false" ht="12.75" hidden="false" customHeight="true" outlineLevel="0" collapsed="false"/>
    <row r="61517" customFormat="false" ht="12.75" hidden="false" customHeight="true" outlineLevel="0" collapsed="false"/>
    <row r="61518" customFormat="false" ht="12.75" hidden="false" customHeight="true" outlineLevel="0" collapsed="false"/>
    <row r="61519" customFormat="false" ht="12.75" hidden="false" customHeight="true" outlineLevel="0" collapsed="false"/>
    <row r="61520" customFormat="false" ht="12.75" hidden="false" customHeight="true" outlineLevel="0" collapsed="false"/>
    <row r="61521" customFormat="false" ht="12.75" hidden="false" customHeight="true" outlineLevel="0" collapsed="false"/>
    <row r="61522" customFormat="false" ht="12.75" hidden="false" customHeight="true" outlineLevel="0" collapsed="false"/>
    <row r="61523" customFormat="false" ht="12.75" hidden="false" customHeight="true" outlineLevel="0" collapsed="false"/>
    <row r="61524" customFormat="false" ht="12.75" hidden="false" customHeight="true" outlineLevel="0" collapsed="false"/>
    <row r="61525" customFormat="false" ht="12.75" hidden="false" customHeight="true" outlineLevel="0" collapsed="false"/>
    <row r="61526" customFormat="false" ht="12.75" hidden="false" customHeight="true" outlineLevel="0" collapsed="false"/>
    <row r="61527" customFormat="false" ht="12.75" hidden="false" customHeight="true" outlineLevel="0" collapsed="false"/>
    <row r="61528" customFormat="false" ht="12.75" hidden="false" customHeight="true" outlineLevel="0" collapsed="false"/>
    <row r="61529" customFormat="false" ht="12.75" hidden="false" customHeight="true" outlineLevel="0" collapsed="false"/>
    <row r="61530" customFormat="false" ht="12.75" hidden="false" customHeight="true" outlineLevel="0" collapsed="false"/>
    <row r="61531" customFormat="false" ht="12.75" hidden="false" customHeight="true" outlineLevel="0" collapsed="false"/>
    <row r="61532" customFormat="false" ht="12.75" hidden="false" customHeight="true" outlineLevel="0" collapsed="false"/>
    <row r="61533" customFormat="false" ht="12.75" hidden="false" customHeight="true" outlineLevel="0" collapsed="false"/>
    <row r="61534" customFormat="false" ht="12.75" hidden="false" customHeight="true" outlineLevel="0" collapsed="false"/>
    <row r="61535" customFormat="false" ht="12.75" hidden="false" customHeight="true" outlineLevel="0" collapsed="false"/>
    <row r="61536" customFormat="false" ht="12.75" hidden="false" customHeight="true" outlineLevel="0" collapsed="false"/>
    <row r="61537" customFormat="false" ht="12.75" hidden="false" customHeight="true" outlineLevel="0" collapsed="false"/>
    <row r="61538" customFormat="false" ht="12.75" hidden="false" customHeight="true" outlineLevel="0" collapsed="false"/>
    <row r="61539" customFormat="false" ht="12.75" hidden="false" customHeight="true" outlineLevel="0" collapsed="false"/>
    <row r="61540" customFormat="false" ht="12.75" hidden="false" customHeight="true" outlineLevel="0" collapsed="false"/>
    <row r="61541" customFormat="false" ht="12.75" hidden="false" customHeight="true" outlineLevel="0" collapsed="false"/>
    <row r="61542" customFormat="false" ht="12.75" hidden="false" customHeight="true" outlineLevel="0" collapsed="false"/>
    <row r="61543" customFormat="false" ht="12.75" hidden="false" customHeight="true" outlineLevel="0" collapsed="false"/>
    <row r="61544" customFormat="false" ht="12.75" hidden="false" customHeight="true" outlineLevel="0" collapsed="false"/>
    <row r="61545" customFormat="false" ht="12.75" hidden="false" customHeight="true" outlineLevel="0" collapsed="false"/>
    <row r="61546" customFormat="false" ht="12.75" hidden="false" customHeight="true" outlineLevel="0" collapsed="false"/>
    <row r="61547" customFormat="false" ht="12.75" hidden="false" customHeight="true" outlineLevel="0" collapsed="false"/>
    <row r="61548" customFormat="false" ht="12.75" hidden="false" customHeight="true" outlineLevel="0" collapsed="false"/>
    <row r="61549" customFormat="false" ht="12.75" hidden="false" customHeight="true" outlineLevel="0" collapsed="false"/>
    <row r="61550" customFormat="false" ht="12.75" hidden="false" customHeight="true" outlineLevel="0" collapsed="false"/>
    <row r="61551" customFormat="false" ht="12.75" hidden="false" customHeight="true" outlineLevel="0" collapsed="false"/>
    <row r="61552" customFormat="false" ht="12.75" hidden="false" customHeight="true" outlineLevel="0" collapsed="false"/>
    <row r="61553" customFormat="false" ht="12.75" hidden="false" customHeight="true" outlineLevel="0" collapsed="false"/>
    <row r="61554" customFormat="false" ht="12.75" hidden="false" customHeight="true" outlineLevel="0" collapsed="false"/>
    <row r="61555" customFormat="false" ht="12.75" hidden="false" customHeight="true" outlineLevel="0" collapsed="false"/>
    <row r="61556" customFormat="false" ht="12.75" hidden="false" customHeight="true" outlineLevel="0" collapsed="false"/>
    <row r="61557" customFormat="false" ht="12.75" hidden="false" customHeight="true" outlineLevel="0" collapsed="false"/>
    <row r="61558" customFormat="false" ht="12.75" hidden="false" customHeight="true" outlineLevel="0" collapsed="false"/>
    <row r="61559" customFormat="false" ht="12.75" hidden="false" customHeight="true" outlineLevel="0" collapsed="false"/>
    <row r="61560" customFormat="false" ht="12.75" hidden="false" customHeight="true" outlineLevel="0" collapsed="false"/>
    <row r="61561" customFormat="false" ht="12.75" hidden="false" customHeight="true" outlineLevel="0" collapsed="false"/>
    <row r="61562" customFormat="false" ht="12.75" hidden="false" customHeight="true" outlineLevel="0" collapsed="false"/>
    <row r="61563" customFormat="false" ht="12.75" hidden="false" customHeight="true" outlineLevel="0" collapsed="false"/>
    <row r="61564" customFormat="false" ht="12.75" hidden="false" customHeight="true" outlineLevel="0" collapsed="false"/>
    <row r="61565" customFormat="false" ht="12.75" hidden="false" customHeight="true" outlineLevel="0" collapsed="false"/>
    <row r="61566" customFormat="false" ht="12.75" hidden="false" customHeight="true" outlineLevel="0" collapsed="false"/>
    <row r="61567" customFormat="false" ht="12.75" hidden="false" customHeight="true" outlineLevel="0" collapsed="false"/>
    <row r="61568" customFormat="false" ht="12.75" hidden="false" customHeight="true" outlineLevel="0" collapsed="false"/>
    <row r="61569" customFormat="false" ht="12.75" hidden="false" customHeight="true" outlineLevel="0" collapsed="false"/>
    <row r="61570" customFormat="false" ht="12.75" hidden="false" customHeight="true" outlineLevel="0" collapsed="false"/>
    <row r="61571" customFormat="false" ht="12.75" hidden="false" customHeight="true" outlineLevel="0" collapsed="false"/>
    <row r="61572" customFormat="false" ht="12.75" hidden="false" customHeight="true" outlineLevel="0" collapsed="false"/>
    <row r="61573" customFormat="false" ht="12.75" hidden="false" customHeight="true" outlineLevel="0" collapsed="false"/>
    <row r="61574" customFormat="false" ht="12.75" hidden="false" customHeight="true" outlineLevel="0" collapsed="false"/>
    <row r="61575" customFormat="false" ht="12.75" hidden="false" customHeight="true" outlineLevel="0" collapsed="false"/>
    <row r="61576" customFormat="false" ht="12.75" hidden="false" customHeight="true" outlineLevel="0" collapsed="false"/>
    <row r="61577" customFormat="false" ht="12.75" hidden="false" customHeight="true" outlineLevel="0" collapsed="false"/>
    <row r="61578" customFormat="false" ht="12.75" hidden="false" customHeight="true" outlineLevel="0" collapsed="false"/>
    <row r="61579" customFormat="false" ht="12.75" hidden="false" customHeight="true" outlineLevel="0" collapsed="false"/>
    <row r="61580" customFormat="false" ht="12.75" hidden="false" customHeight="true" outlineLevel="0" collapsed="false"/>
    <row r="61581" customFormat="false" ht="12.75" hidden="false" customHeight="true" outlineLevel="0" collapsed="false"/>
    <row r="61582" customFormat="false" ht="12.75" hidden="false" customHeight="true" outlineLevel="0" collapsed="false"/>
    <row r="61583" customFormat="false" ht="12.75" hidden="false" customHeight="true" outlineLevel="0" collapsed="false"/>
    <row r="61584" customFormat="false" ht="12.75" hidden="false" customHeight="true" outlineLevel="0" collapsed="false"/>
    <row r="61585" customFormat="false" ht="12.75" hidden="false" customHeight="true" outlineLevel="0" collapsed="false"/>
    <row r="61586" customFormat="false" ht="12.75" hidden="false" customHeight="true" outlineLevel="0" collapsed="false"/>
    <row r="61587" customFormat="false" ht="12.75" hidden="false" customHeight="true" outlineLevel="0" collapsed="false"/>
    <row r="61588" customFormat="false" ht="12.75" hidden="false" customHeight="true" outlineLevel="0" collapsed="false"/>
    <row r="61589" customFormat="false" ht="12.75" hidden="false" customHeight="true" outlineLevel="0" collapsed="false"/>
    <row r="61590" customFormat="false" ht="12.75" hidden="false" customHeight="true" outlineLevel="0" collapsed="false"/>
    <row r="61591" customFormat="false" ht="12.75" hidden="false" customHeight="true" outlineLevel="0" collapsed="false"/>
    <row r="61592" customFormat="false" ht="12.75" hidden="false" customHeight="true" outlineLevel="0" collapsed="false"/>
    <row r="61593" customFormat="false" ht="12.75" hidden="false" customHeight="true" outlineLevel="0" collapsed="false"/>
    <row r="61594" customFormat="false" ht="12.75" hidden="false" customHeight="true" outlineLevel="0" collapsed="false"/>
    <row r="61595" customFormat="false" ht="12.75" hidden="false" customHeight="true" outlineLevel="0" collapsed="false"/>
    <row r="61596" customFormat="false" ht="12.75" hidden="false" customHeight="true" outlineLevel="0" collapsed="false"/>
    <row r="61597" customFormat="false" ht="12.75" hidden="false" customHeight="true" outlineLevel="0" collapsed="false"/>
    <row r="61598" customFormat="false" ht="12.75" hidden="false" customHeight="true" outlineLevel="0" collapsed="false"/>
    <row r="61599" customFormat="false" ht="12.75" hidden="false" customHeight="true" outlineLevel="0" collapsed="false"/>
    <row r="61600" customFormat="false" ht="12.75" hidden="false" customHeight="true" outlineLevel="0" collapsed="false"/>
    <row r="61601" customFormat="false" ht="12.75" hidden="false" customHeight="true" outlineLevel="0" collapsed="false"/>
    <row r="61602" customFormat="false" ht="12.75" hidden="false" customHeight="true" outlineLevel="0" collapsed="false"/>
    <row r="61603" customFormat="false" ht="12.75" hidden="false" customHeight="true" outlineLevel="0" collapsed="false"/>
    <row r="61604" customFormat="false" ht="12.75" hidden="false" customHeight="true" outlineLevel="0" collapsed="false"/>
    <row r="61605" customFormat="false" ht="12.75" hidden="false" customHeight="true" outlineLevel="0" collapsed="false"/>
    <row r="61606" customFormat="false" ht="12.75" hidden="false" customHeight="true" outlineLevel="0" collapsed="false"/>
    <row r="61607" customFormat="false" ht="12.75" hidden="false" customHeight="true" outlineLevel="0" collapsed="false"/>
    <row r="61608" customFormat="false" ht="12.75" hidden="false" customHeight="true" outlineLevel="0" collapsed="false"/>
    <row r="61609" customFormat="false" ht="12.75" hidden="false" customHeight="true" outlineLevel="0" collapsed="false"/>
    <row r="61610" customFormat="false" ht="12.75" hidden="false" customHeight="true" outlineLevel="0" collapsed="false"/>
    <row r="61611" customFormat="false" ht="12.75" hidden="false" customHeight="true" outlineLevel="0" collapsed="false"/>
    <row r="61612" customFormat="false" ht="12.75" hidden="false" customHeight="true" outlineLevel="0" collapsed="false"/>
    <row r="61613" customFormat="false" ht="12.75" hidden="false" customHeight="true" outlineLevel="0" collapsed="false"/>
    <row r="61614" customFormat="false" ht="12.75" hidden="false" customHeight="true" outlineLevel="0" collapsed="false"/>
    <row r="61615" customFormat="false" ht="12.75" hidden="false" customHeight="true" outlineLevel="0" collapsed="false"/>
    <row r="61616" customFormat="false" ht="12.75" hidden="false" customHeight="true" outlineLevel="0" collapsed="false"/>
    <row r="61617" customFormat="false" ht="12.75" hidden="false" customHeight="true" outlineLevel="0" collapsed="false"/>
    <row r="61618" customFormat="false" ht="12.75" hidden="false" customHeight="true" outlineLevel="0" collapsed="false"/>
    <row r="61619" customFormat="false" ht="12.75" hidden="false" customHeight="true" outlineLevel="0" collapsed="false"/>
    <row r="61620" customFormat="false" ht="12.75" hidden="false" customHeight="true" outlineLevel="0" collapsed="false"/>
    <row r="61621" customFormat="false" ht="12.75" hidden="false" customHeight="true" outlineLevel="0" collapsed="false"/>
    <row r="61622" customFormat="false" ht="12.75" hidden="false" customHeight="true" outlineLevel="0" collapsed="false"/>
    <row r="61623" customFormat="false" ht="12.75" hidden="false" customHeight="true" outlineLevel="0" collapsed="false"/>
    <row r="61624" customFormat="false" ht="12.75" hidden="false" customHeight="true" outlineLevel="0" collapsed="false"/>
    <row r="61625" customFormat="false" ht="12.75" hidden="false" customHeight="true" outlineLevel="0" collapsed="false"/>
    <row r="61626" customFormat="false" ht="12.75" hidden="false" customHeight="true" outlineLevel="0" collapsed="false"/>
    <row r="61627" customFormat="false" ht="12.75" hidden="false" customHeight="true" outlineLevel="0" collapsed="false"/>
    <row r="61628" customFormat="false" ht="12.75" hidden="false" customHeight="true" outlineLevel="0" collapsed="false"/>
    <row r="61629" customFormat="false" ht="12.75" hidden="false" customHeight="true" outlineLevel="0" collapsed="false"/>
    <row r="61630" customFormat="false" ht="12.75" hidden="false" customHeight="true" outlineLevel="0" collapsed="false"/>
    <row r="61631" customFormat="false" ht="12.75" hidden="false" customHeight="true" outlineLevel="0" collapsed="false"/>
    <row r="61632" customFormat="false" ht="12.75" hidden="false" customHeight="true" outlineLevel="0" collapsed="false"/>
    <row r="61633" customFormat="false" ht="12.75" hidden="false" customHeight="true" outlineLevel="0" collapsed="false"/>
    <row r="61634" customFormat="false" ht="12.75" hidden="false" customHeight="true" outlineLevel="0" collapsed="false"/>
    <row r="61635" customFormat="false" ht="12.75" hidden="false" customHeight="true" outlineLevel="0" collapsed="false"/>
    <row r="61636" customFormat="false" ht="12.75" hidden="false" customHeight="true" outlineLevel="0" collapsed="false"/>
    <row r="61637" customFormat="false" ht="12.75" hidden="false" customHeight="true" outlineLevel="0" collapsed="false"/>
    <row r="61638" customFormat="false" ht="12.75" hidden="false" customHeight="true" outlineLevel="0" collapsed="false"/>
    <row r="61639" customFormat="false" ht="12.75" hidden="false" customHeight="true" outlineLevel="0" collapsed="false"/>
    <row r="61640" customFormat="false" ht="12.75" hidden="false" customHeight="true" outlineLevel="0" collapsed="false"/>
    <row r="61641" customFormat="false" ht="12.75" hidden="false" customHeight="true" outlineLevel="0" collapsed="false"/>
    <row r="61642" customFormat="false" ht="12.75" hidden="false" customHeight="true" outlineLevel="0" collapsed="false"/>
    <row r="61643" customFormat="false" ht="12.75" hidden="false" customHeight="true" outlineLevel="0" collapsed="false"/>
    <row r="61644" customFormat="false" ht="12.75" hidden="false" customHeight="true" outlineLevel="0" collapsed="false"/>
    <row r="61645" customFormat="false" ht="12.75" hidden="false" customHeight="true" outlineLevel="0" collapsed="false"/>
    <row r="61646" customFormat="false" ht="12.75" hidden="false" customHeight="true" outlineLevel="0" collapsed="false"/>
    <row r="61647" customFormat="false" ht="12.75" hidden="false" customHeight="true" outlineLevel="0" collapsed="false"/>
    <row r="61648" customFormat="false" ht="12.75" hidden="false" customHeight="true" outlineLevel="0" collapsed="false"/>
    <row r="61649" customFormat="false" ht="12.75" hidden="false" customHeight="true" outlineLevel="0" collapsed="false"/>
    <row r="61650" customFormat="false" ht="12.75" hidden="false" customHeight="true" outlineLevel="0" collapsed="false"/>
    <row r="61651" customFormat="false" ht="12.75" hidden="false" customHeight="true" outlineLevel="0" collapsed="false"/>
    <row r="61652" customFormat="false" ht="12.75" hidden="false" customHeight="true" outlineLevel="0" collapsed="false"/>
    <row r="61653" customFormat="false" ht="12.75" hidden="false" customHeight="true" outlineLevel="0" collapsed="false"/>
    <row r="61654" customFormat="false" ht="12.75" hidden="false" customHeight="true" outlineLevel="0" collapsed="false"/>
    <row r="61655" customFormat="false" ht="12.75" hidden="false" customHeight="true" outlineLevel="0" collapsed="false"/>
    <row r="61656" customFormat="false" ht="12.75" hidden="false" customHeight="true" outlineLevel="0" collapsed="false"/>
    <row r="61657" customFormat="false" ht="12.75" hidden="false" customHeight="true" outlineLevel="0" collapsed="false"/>
    <row r="61658" customFormat="false" ht="12.75" hidden="false" customHeight="true" outlineLevel="0" collapsed="false"/>
    <row r="61659" customFormat="false" ht="12.75" hidden="false" customHeight="true" outlineLevel="0" collapsed="false"/>
    <row r="61660" customFormat="false" ht="12.75" hidden="false" customHeight="true" outlineLevel="0" collapsed="false"/>
    <row r="61661" customFormat="false" ht="12.75" hidden="false" customHeight="true" outlineLevel="0" collapsed="false"/>
    <row r="61662" customFormat="false" ht="12.75" hidden="false" customHeight="true" outlineLevel="0" collapsed="false"/>
    <row r="61663" customFormat="false" ht="12.75" hidden="false" customHeight="true" outlineLevel="0" collapsed="false"/>
    <row r="61664" customFormat="false" ht="12.75" hidden="false" customHeight="true" outlineLevel="0" collapsed="false"/>
    <row r="61665" customFormat="false" ht="12.75" hidden="false" customHeight="true" outlineLevel="0" collapsed="false"/>
    <row r="61666" customFormat="false" ht="12.75" hidden="false" customHeight="true" outlineLevel="0" collapsed="false"/>
    <row r="61667" customFormat="false" ht="12.75" hidden="false" customHeight="true" outlineLevel="0" collapsed="false"/>
    <row r="61668" customFormat="false" ht="12.75" hidden="false" customHeight="true" outlineLevel="0" collapsed="false"/>
    <row r="61669" customFormat="false" ht="12.75" hidden="false" customHeight="true" outlineLevel="0" collapsed="false"/>
    <row r="61670" customFormat="false" ht="12.75" hidden="false" customHeight="true" outlineLevel="0" collapsed="false"/>
    <row r="61671" customFormat="false" ht="12.75" hidden="false" customHeight="true" outlineLevel="0" collapsed="false"/>
    <row r="61672" customFormat="false" ht="12.75" hidden="false" customHeight="true" outlineLevel="0" collapsed="false"/>
    <row r="61673" customFormat="false" ht="12.75" hidden="false" customHeight="true" outlineLevel="0" collapsed="false"/>
    <row r="61674" customFormat="false" ht="12.75" hidden="false" customHeight="true" outlineLevel="0" collapsed="false"/>
    <row r="61675" customFormat="false" ht="12.75" hidden="false" customHeight="true" outlineLevel="0" collapsed="false"/>
    <row r="61676" customFormat="false" ht="12.75" hidden="false" customHeight="true" outlineLevel="0" collapsed="false"/>
    <row r="61677" customFormat="false" ht="12.75" hidden="false" customHeight="true" outlineLevel="0" collapsed="false"/>
    <row r="61678" customFormat="false" ht="12.75" hidden="false" customHeight="true" outlineLevel="0" collapsed="false"/>
    <row r="61679" customFormat="false" ht="12.75" hidden="false" customHeight="true" outlineLevel="0" collapsed="false"/>
    <row r="61680" customFormat="false" ht="12.75" hidden="false" customHeight="true" outlineLevel="0" collapsed="false"/>
    <row r="61681" customFormat="false" ht="12.75" hidden="false" customHeight="true" outlineLevel="0" collapsed="false"/>
    <row r="61682" customFormat="false" ht="12.75" hidden="false" customHeight="true" outlineLevel="0" collapsed="false"/>
    <row r="61683" customFormat="false" ht="12.75" hidden="false" customHeight="true" outlineLevel="0" collapsed="false"/>
    <row r="61684" customFormat="false" ht="12.75" hidden="false" customHeight="true" outlineLevel="0" collapsed="false"/>
    <row r="61685" customFormat="false" ht="12.75" hidden="false" customHeight="true" outlineLevel="0" collapsed="false"/>
    <row r="61686" customFormat="false" ht="12.75" hidden="false" customHeight="true" outlineLevel="0" collapsed="false"/>
    <row r="61687" customFormat="false" ht="12.75" hidden="false" customHeight="true" outlineLevel="0" collapsed="false"/>
    <row r="61688" customFormat="false" ht="12.75" hidden="false" customHeight="true" outlineLevel="0" collapsed="false"/>
    <row r="61689" customFormat="false" ht="12.75" hidden="false" customHeight="true" outlineLevel="0" collapsed="false"/>
    <row r="61690" customFormat="false" ht="12.75" hidden="false" customHeight="true" outlineLevel="0" collapsed="false"/>
    <row r="61691" customFormat="false" ht="12.75" hidden="false" customHeight="true" outlineLevel="0" collapsed="false"/>
    <row r="61692" customFormat="false" ht="12.75" hidden="false" customHeight="true" outlineLevel="0" collapsed="false"/>
    <row r="61693" customFormat="false" ht="12.75" hidden="false" customHeight="true" outlineLevel="0" collapsed="false"/>
    <row r="61694" customFormat="false" ht="12.75" hidden="false" customHeight="true" outlineLevel="0" collapsed="false"/>
    <row r="61695" customFormat="false" ht="12.75" hidden="false" customHeight="true" outlineLevel="0" collapsed="false"/>
    <row r="61696" customFormat="false" ht="12.75" hidden="false" customHeight="true" outlineLevel="0" collapsed="false"/>
    <row r="61697" customFormat="false" ht="12.75" hidden="false" customHeight="true" outlineLevel="0" collapsed="false"/>
    <row r="61698" customFormat="false" ht="12.75" hidden="false" customHeight="true" outlineLevel="0" collapsed="false"/>
    <row r="61699" customFormat="false" ht="12.75" hidden="false" customHeight="true" outlineLevel="0" collapsed="false"/>
    <row r="61700" customFormat="false" ht="12.75" hidden="false" customHeight="true" outlineLevel="0" collapsed="false"/>
    <row r="61701" customFormat="false" ht="12.75" hidden="false" customHeight="true" outlineLevel="0" collapsed="false"/>
    <row r="61702" customFormat="false" ht="12.75" hidden="false" customHeight="true" outlineLevel="0" collapsed="false"/>
    <row r="61703" customFormat="false" ht="12.75" hidden="false" customHeight="true" outlineLevel="0" collapsed="false"/>
    <row r="61704" customFormat="false" ht="12.75" hidden="false" customHeight="true" outlineLevel="0" collapsed="false"/>
    <row r="61705" customFormat="false" ht="12.75" hidden="false" customHeight="true" outlineLevel="0" collapsed="false"/>
    <row r="61706" customFormat="false" ht="12.75" hidden="false" customHeight="true" outlineLevel="0" collapsed="false"/>
    <row r="61707" customFormat="false" ht="12.75" hidden="false" customHeight="true" outlineLevel="0" collapsed="false"/>
    <row r="61708" customFormat="false" ht="12.75" hidden="false" customHeight="true" outlineLevel="0" collapsed="false"/>
    <row r="61709" customFormat="false" ht="12.75" hidden="false" customHeight="true" outlineLevel="0" collapsed="false"/>
    <row r="61710" customFormat="false" ht="12.75" hidden="false" customHeight="true" outlineLevel="0" collapsed="false"/>
    <row r="61711" customFormat="false" ht="12.75" hidden="false" customHeight="true" outlineLevel="0" collapsed="false"/>
    <row r="61712" customFormat="false" ht="12.75" hidden="false" customHeight="true" outlineLevel="0" collapsed="false"/>
    <row r="61713" customFormat="false" ht="12.75" hidden="false" customHeight="true" outlineLevel="0" collapsed="false"/>
    <row r="61714" customFormat="false" ht="12.75" hidden="false" customHeight="true" outlineLevel="0" collapsed="false"/>
    <row r="61715" customFormat="false" ht="12.75" hidden="false" customHeight="true" outlineLevel="0" collapsed="false"/>
    <row r="61716" customFormat="false" ht="12.75" hidden="false" customHeight="true" outlineLevel="0" collapsed="false"/>
    <row r="61717" customFormat="false" ht="12.75" hidden="false" customHeight="true" outlineLevel="0" collapsed="false"/>
    <row r="61718" customFormat="false" ht="12.75" hidden="false" customHeight="true" outlineLevel="0" collapsed="false"/>
    <row r="61719" customFormat="false" ht="12.75" hidden="false" customHeight="true" outlineLevel="0" collapsed="false"/>
    <row r="61720" customFormat="false" ht="12.75" hidden="false" customHeight="true" outlineLevel="0" collapsed="false"/>
    <row r="61721" customFormat="false" ht="12.75" hidden="false" customHeight="true" outlineLevel="0" collapsed="false"/>
    <row r="61722" customFormat="false" ht="12.75" hidden="false" customHeight="true" outlineLevel="0" collapsed="false"/>
    <row r="61723" customFormat="false" ht="12.75" hidden="false" customHeight="true" outlineLevel="0" collapsed="false"/>
    <row r="61724" customFormat="false" ht="12.75" hidden="false" customHeight="true" outlineLevel="0" collapsed="false"/>
    <row r="61725" customFormat="false" ht="12.75" hidden="false" customHeight="true" outlineLevel="0" collapsed="false"/>
    <row r="61726" customFormat="false" ht="12.75" hidden="false" customHeight="true" outlineLevel="0" collapsed="false"/>
    <row r="61727" customFormat="false" ht="12.75" hidden="false" customHeight="true" outlineLevel="0" collapsed="false"/>
    <row r="61728" customFormat="false" ht="12.75" hidden="false" customHeight="true" outlineLevel="0" collapsed="false"/>
    <row r="61729" customFormat="false" ht="12.75" hidden="false" customHeight="true" outlineLevel="0" collapsed="false"/>
    <row r="61730" customFormat="false" ht="12.75" hidden="false" customHeight="true" outlineLevel="0" collapsed="false"/>
    <row r="61731" customFormat="false" ht="12.75" hidden="false" customHeight="true" outlineLevel="0" collapsed="false"/>
    <row r="61732" customFormat="false" ht="12.75" hidden="false" customHeight="true" outlineLevel="0" collapsed="false"/>
    <row r="61733" customFormat="false" ht="12.75" hidden="false" customHeight="true" outlineLevel="0" collapsed="false"/>
    <row r="61734" customFormat="false" ht="12.75" hidden="false" customHeight="true" outlineLevel="0" collapsed="false"/>
    <row r="61735" customFormat="false" ht="12.75" hidden="false" customHeight="true" outlineLevel="0" collapsed="false"/>
    <row r="61736" customFormat="false" ht="12.75" hidden="false" customHeight="true" outlineLevel="0" collapsed="false"/>
    <row r="61737" customFormat="false" ht="12.75" hidden="false" customHeight="true" outlineLevel="0" collapsed="false"/>
    <row r="61738" customFormat="false" ht="12.75" hidden="false" customHeight="true" outlineLevel="0" collapsed="false"/>
    <row r="61739" customFormat="false" ht="12.75" hidden="false" customHeight="true" outlineLevel="0" collapsed="false"/>
    <row r="61740" customFormat="false" ht="12.75" hidden="false" customHeight="true" outlineLevel="0" collapsed="false"/>
    <row r="61741" customFormat="false" ht="12.75" hidden="false" customHeight="true" outlineLevel="0" collapsed="false"/>
    <row r="61742" customFormat="false" ht="12.75" hidden="false" customHeight="true" outlineLevel="0" collapsed="false"/>
    <row r="61743" customFormat="false" ht="12.75" hidden="false" customHeight="true" outlineLevel="0" collapsed="false"/>
    <row r="61744" customFormat="false" ht="12.75" hidden="false" customHeight="true" outlineLevel="0" collapsed="false"/>
    <row r="61745" customFormat="false" ht="12.75" hidden="false" customHeight="true" outlineLevel="0" collapsed="false"/>
    <row r="61746" customFormat="false" ht="12.75" hidden="false" customHeight="true" outlineLevel="0" collapsed="false"/>
    <row r="61747" customFormat="false" ht="12.75" hidden="false" customHeight="true" outlineLevel="0" collapsed="false"/>
    <row r="61748" customFormat="false" ht="12.75" hidden="false" customHeight="true" outlineLevel="0" collapsed="false"/>
    <row r="61749" customFormat="false" ht="12.75" hidden="false" customHeight="true" outlineLevel="0" collapsed="false"/>
    <row r="61750" customFormat="false" ht="12.75" hidden="false" customHeight="true" outlineLevel="0" collapsed="false"/>
    <row r="61751" customFormat="false" ht="12.75" hidden="false" customHeight="true" outlineLevel="0" collapsed="false"/>
    <row r="61752" customFormat="false" ht="12.75" hidden="false" customHeight="true" outlineLevel="0" collapsed="false"/>
    <row r="61753" customFormat="false" ht="12.75" hidden="false" customHeight="true" outlineLevel="0" collapsed="false"/>
    <row r="61754" customFormat="false" ht="12.75" hidden="false" customHeight="true" outlineLevel="0" collapsed="false"/>
    <row r="61755" customFormat="false" ht="12.75" hidden="false" customHeight="true" outlineLevel="0" collapsed="false"/>
    <row r="61756" customFormat="false" ht="12.75" hidden="false" customHeight="true" outlineLevel="0" collapsed="false"/>
    <row r="61757" customFormat="false" ht="12.75" hidden="false" customHeight="true" outlineLevel="0" collapsed="false"/>
    <row r="61758" customFormat="false" ht="12.75" hidden="false" customHeight="true" outlineLevel="0" collapsed="false"/>
    <row r="61759" customFormat="false" ht="12.75" hidden="false" customHeight="true" outlineLevel="0" collapsed="false"/>
    <row r="61760" customFormat="false" ht="12.75" hidden="false" customHeight="true" outlineLevel="0" collapsed="false"/>
    <row r="61761" customFormat="false" ht="12.75" hidden="false" customHeight="true" outlineLevel="0" collapsed="false"/>
    <row r="61762" customFormat="false" ht="12.75" hidden="false" customHeight="true" outlineLevel="0" collapsed="false"/>
    <row r="61763" customFormat="false" ht="12.75" hidden="false" customHeight="true" outlineLevel="0" collapsed="false"/>
    <row r="61764" customFormat="false" ht="12.75" hidden="false" customHeight="true" outlineLevel="0" collapsed="false"/>
    <row r="61765" customFormat="false" ht="12.75" hidden="false" customHeight="true" outlineLevel="0" collapsed="false"/>
    <row r="61766" customFormat="false" ht="12.75" hidden="false" customHeight="true" outlineLevel="0" collapsed="false"/>
    <row r="61767" customFormat="false" ht="12.75" hidden="false" customHeight="true" outlineLevel="0" collapsed="false"/>
    <row r="61768" customFormat="false" ht="12.75" hidden="false" customHeight="true" outlineLevel="0" collapsed="false"/>
    <row r="61769" customFormat="false" ht="12.75" hidden="false" customHeight="true" outlineLevel="0" collapsed="false"/>
    <row r="61770" customFormat="false" ht="12.75" hidden="false" customHeight="true" outlineLevel="0" collapsed="false"/>
    <row r="61771" customFormat="false" ht="12.75" hidden="false" customHeight="true" outlineLevel="0" collapsed="false"/>
    <row r="61772" customFormat="false" ht="12.75" hidden="false" customHeight="true" outlineLevel="0" collapsed="false"/>
    <row r="61773" customFormat="false" ht="12.75" hidden="false" customHeight="true" outlineLevel="0" collapsed="false"/>
    <row r="61774" customFormat="false" ht="12.75" hidden="false" customHeight="true" outlineLevel="0" collapsed="false"/>
    <row r="61775" customFormat="false" ht="12.75" hidden="false" customHeight="true" outlineLevel="0" collapsed="false"/>
    <row r="61776" customFormat="false" ht="12.75" hidden="false" customHeight="true" outlineLevel="0" collapsed="false"/>
    <row r="61777" customFormat="false" ht="12.75" hidden="false" customHeight="true" outlineLevel="0" collapsed="false"/>
    <row r="61778" customFormat="false" ht="12.75" hidden="false" customHeight="true" outlineLevel="0" collapsed="false"/>
    <row r="61779" customFormat="false" ht="12.75" hidden="false" customHeight="true" outlineLevel="0" collapsed="false"/>
    <row r="61780" customFormat="false" ht="12.75" hidden="false" customHeight="true" outlineLevel="0" collapsed="false"/>
    <row r="61781" customFormat="false" ht="12.75" hidden="false" customHeight="true" outlineLevel="0" collapsed="false"/>
    <row r="61782" customFormat="false" ht="12.75" hidden="false" customHeight="true" outlineLevel="0" collapsed="false"/>
    <row r="61783" customFormat="false" ht="12.75" hidden="false" customHeight="true" outlineLevel="0" collapsed="false"/>
    <row r="61784" customFormat="false" ht="12.75" hidden="false" customHeight="true" outlineLevel="0" collapsed="false"/>
    <row r="61785" customFormat="false" ht="12.75" hidden="false" customHeight="true" outlineLevel="0" collapsed="false"/>
    <row r="61786" customFormat="false" ht="12.75" hidden="false" customHeight="true" outlineLevel="0" collapsed="false"/>
    <row r="61787" customFormat="false" ht="12.75" hidden="false" customHeight="true" outlineLevel="0" collapsed="false"/>
    <row r="61788" customFormat="false" ht="12.75" hidden="false" customHeight="true" outlineLevel="0" collapsed="false"/>
    <row r="61789" customFormat="false" ht="12.75" hidden="false" customHeight="true" outlineLevel="0" collapsed="false"/>
    <row r="61790" customFormat="false" ht="12.75" hidden="false" customHeight="true" outlineLevel="0" collapsed="false"/>
    <row r="61791" customFormat="false" ht="12.75" hidden="false" customHeight="true" outlineLevel="0" collapsed="false"/>
    <row r="61792" customFormat="false" ht="12.75" hidden="false" customHeight="true" outlineLevel="0" collapsed="false"/>
    <row r="61793" customFormat="false" ht="12.75" hidden="false" customHeight="true" outlineLevel="0" collapsed="false"/>
    <row r="61794" customFormat="false" ht="12.75" hidden="false" customHeight="true" outlineLevel="0" collapsed="false"/>
    <row r="61795" customFormat="false" ht="12.75" hidden="false" customHeight="true" outlineLevel="0" collapsed="false"/>
    <row r="61796" customFormat="false" ht="12.75" hidden="false" customHeight="true" outlineLevel="0" collapsed="false"/>
    <row r="61797" customFormat="false" ht="12.75" hidden="false" customHeight="true" outlineLevel="0" collapsed="false"/>
    <row r="61798" customFormat="false" ht="12.75" hidden="false" customHeight="true" outlineLevel="0" collapsed="false"/>
    <row r="61799" customFormat="false" ht="12.75" hidden="false" customHeight="true" outlineLevel="0" collapsed="false"/>
    <row r="61800" customFormat="false" ht="12.75" hidden="false" customHeight="true" outlineLevel="0" collapsed="false"/>
    <row r="61801" customFormat="false" ht="12.75" hidden="false" customHeight="true" outlineLevel="0" collapsed="false"/>
    <row r="61802" customFormat="false" ht="12.75" hidden="false" customHeight="true" outlineLevel="0" collapsed="false"/>
    <row r="61803" customFormat="false" ht="12.75" hidden="false" customHeight="true" outlineLevel="0" collapsed="false"/>
    <row r="61804" customFormat="false" ht="12.75" hidden="false" customHeight="true" outlineLevel="0" collapsed="false"/>
    <row r="61805" customFormat="false" ht="12.75" hidden="false" customHeight="true" outlineLevel="0" collapsed="false"/>
    <row r="61806" customFormat="false" ht="12.75" hidden="false" customHeight="true" outlineLevel="0" collapsed="false"/>
    <row r="61807" customFormat="false" ht="12.75" hidden="false" customHeight="true" outlineLevel="0" collapsed="false"/>
    <row r="61808" customFormat="false" ht="12.75" hidden="false" customHeight="true" outlineLevel="0" collapsed="false"/>
    <row r="61809" customFormat="false" ht="12.75" hidden="false" customHeight="true" outlineLevel="0" collapsed="false"/>
    <row r="61810" customFormat="false" ht="12.75" hidden="false" customHeight="true" outlineLevel="0" collapsed="false"/>
    <row r="61811" customFormat="false" ht="12.75" hidden="false" customHeight="true" outlineLevel="0" collapsed="false"/>
    <row r="61812" customFormat="false" ht="12.75" hidden="false" customHeight="true" outlineLevel="0" collapsed="false"/>
    <row r="61813" customFormat="false" ht="12.75" hidden="false" customHeight="true" outlineLevel="0" collapsed="false"/>
    <row r="61814" customFormat="false" ht="12.75" hidden="false" customHeight="true" outlineLevel="0" collapsed="false"/>
    <row r="61815" customFormat="false" ht="12.75" hidden="false" customHeight="true" outlineLevel="0" collapsed="false"/>
    <row r="61816" customFormat="false" ht="12.75" hidden="false" customHeight="true" outlineLevel="0" collapsed="false"/>
    <row r="61817" customFormat="false" ht="12.75" hidden="false" customHeight="true" outlineLevel="0" collapsed="false"/>
    <row r="61818" customFormat="false" ht="12.75" hidden="false" customHeight="true" outlineLevel="0" collapsed="false"/>
    <row r="61819" customFormat="false" ht="12.75" hidden="false" customHeight="true" outlineLevel="0" collapsed="false"/>
    <row r="61820" customFormat="false" ht="12.75" hidden="false" customHeight="true" outlineLevel="0" collapsed="false"/>
    <row r="61821" customFormat="false" ht="12.75" hidden="false" customHeight="true" outlineLevel="0" collapsed="false"/>
    <row r="61822" customFormat="false" ht="12.75" hidden="false" customHeight="true" outlineLevel="0" collapsed="false"/>
    <row r="61823" customFormat="false" ht="12.75" hidden="false" customHeight="true" outlineLevel="0" collapsed="false"/>
    <row r="61824" customFormat="false" ht="12.75" hidden="false" customHeight="true" outlineLevel="0" collapsed="false"/>
    <row r="61825" customFormat="false" ht="12.75" hidden="false" customHeight="true" outlineLevel="0" collapsed="false"/>
    <row r="61826" customFormat="false" ht="12.75" hidden="false" customHeight="true" outlineLevel="0" collapsed="false"/>
    <row r="61827" customFormat="false" ht="12.75" hidden="false" customHeight="true" outlineLevel="0" collapsed="false"/>
    <row r="61828" customFormat="false" ht="12.75" hidden="false" customHeight="true" outlineLevel="0" collapsed="false"/>
    <row r="61829" customFormat="false" ht="12.75" hidden="false" customHeight="true" outlineLevel="0" collapsed="false"/>
    <row r="61830" customFormat="false" ht="12.75" hidden="false" customHeight="true" outlineLevel="0" collapsed="false"/>
    <row r="61831" customFormat="false" ht="12.75" hidden="false" customHeight="true" outlineLevel="0" collapsed="false"/>
    <row r="61832" customFormat="false" ht="12.75" hidden="false" customHeight="true" outlineLevel="0" collapsed="false"/>
    <row r="61833" customFormat="false" ht="12.75" hidden="false" customHeight="true" outlineLevel="0" collapsed="false"/>
    <row r="61834" customFormat="false" ht="12.75" hidden="false" customHeight="true" outlineLevel="0" collapsed="false"/>
    <row r="61835" customFormat="false" ht="12.75" hidden="false" customHeight="true" outlineLevel="0" collapsed="false"/>
    <row r="61836" customFormat="false" ht="12.75" hidden="false" customHeight="true" outlineLevel="0" collapsed="false"/>
    <row r="61837" customFormat="false" ht="12.75" hidden="false" customHeight="true" outlineLevel="0" collapsed="false"/>
    <row r="61838" customFormat="false" ht="12.75" hidden="false" customHeight="true" outlineLevel="0" collapsed="false"/>
    <row r="61839" customFormat="false" ht="12.75" hidden="false" customHeight="true" outlineLevel="0" collapsed="false"/>
    <row r="61840" customFormat="false" ht="12.75" hidden="false" customHeight="true" outlineLevel="0" collapsed="false"/>
    <row r="61841" customFormat="false" ht="12.75" hidden="false" customHeight="true" outlineLevel="0" collapsed="false"/>
    <row r="61842" customFormat="false" ht="12.75" hidden="false" customHeight="true" outlineLevel="0" collapsed="false"/>
    <row r="61843" customFormat="false" ht="12.75" hidden="false" customHeight="true" outlineLevel="0" collapsed="false"/>
    <row r="61844" customFormat="false" ht="12.75" hidden="false" customHeight="true" outlineLevel="0" collapsed="false"/>
    <row r="61845" customFormat="false" ht="12.75" hidden="false" customHeight="true" outlineLevel="0" collapsed="false"/>
    <row r="61846" customFormat="false" ht="12.75" hidden="false" customHeight="true" outlineLevel="0" collapsed="false"/>
    <row r="61847" customFormat="false" ht="12.75" hidden="false" customHeight="true" outlineLevel="0" collapsed="false"/>
    <row r="61848" customFormat="false" ht="12.75" hidden="false" customHeight="true" outlineLevel="0" collapsed="false"/>
    <row r="61849" customFormat="false" ht="12.75" hidden="false" customHeight="true" outlineLevel="0" collapsed="false"/>
    <row r="61850" customFormat="false" ht="12.75" hidden="false" customHeight="true" outlineLevel="0" collapsed="false"/>
    <row r="61851" customFormat="false" ht="12.75" hidden="false" customHeight="true" outlineLevel="0" collapsed="false"/>
    <row r="61852" customFormat="false" ht="12.75" hidden="false" customHeight="true" outlineLevel="0" collapsed="false"/>
    <row r="61853" customFormat="false" ht="12.75" hidden="false" customHeight="true" outlineLevel="0" collapsed="false"/>
    <row r="61854" customFormat="false" ht="12.75" hidden="false" customHeight="true" outlineLevel="0" collapsed="false"/>
    <row r="61855" customFormat="false" ht="12.75" hidden="false" customHeight="true" outlineLevel="0" collapsed="false"/>
    <row r="61856" customFormat="false" ht="12.75" hidden="false" customHeight="true" outlineLevel="0" collapsed="false"/>
    <row r="61857" customFormat="false" ht="12.75" hidden="false" customHeight="true" outlineLevel="0" collapsed="false"/>
    <row r="61858" customFormat="false" ht="12.75" hidden="false" customHeight="true" outlineLevel="0" collapsed="false"/>
    <row r="61859" customFormat="false" ht="12.75" hidden="false" customHeight="true" outlineLevel="0" collapsed="false"/>
    <row r="61860" customFormat="false" ht="12.75" hidden="false" customHeight="true" outlineLevel="0" collapsed="false"/>
    <row r="61861" customFormat="false" ht="12.75" hidden="false" customHeight="true" outlineLevel="0" collapsed="false"/>
    <row r="61862" customFormat="false" ht="12.75" hidden="false" customHeight="true" outlineLevel="0" collapsed="false"/>
    <row r="61863" customFormat="false" ht="12.75" hidden="false" customHeight="true" outlineLevel="0" collapsed="false"/>
    <row r="61864" customFormat="false" ht="12.75" hidden="false" customHeight="true" outlineLevel="0" collapsed="false"/>
    <row r="61865" customFormat="false" ht="12.75" hidden="false" customHeight="true" outlineLevel="0" collapsed="false"/>
    <row r="61866" customFormat="false" ht="12.75" hidden="false" customHeight="true" outlineLevel="0" collapsed="false"/>
    <row r="61867" customFormat="false" ht="12.75" hidden="false" customHeight="true" outlineLevel="0" collapsed="false"/>
    <row r="61868" customFormat="false" ht="12.75" hidden="false" customHeight="true" outlineLevel="0" collapsed="false"/>
    <row r="61869" customFormat="false" ht="12.75" hidden="false" customHeight="true" outlineLevel="0" collapsed="false"/>
    <row r="61870" customFormat="false" ht="12.75" hidden="false" customHeight="true" outlineLevel="0" collapsed="false"/>
    <row r="61871" customFormat="false" ht="12.75" hidden="false" customHeight="true" outlineLevel="0" collapsed="false"/>
    <row r="61872" customFormat="false" ht="12.75" hidden="false" customHeight="true" outlineLevel="0" collapsed="false"/>
    <row r="61873" customFormat="false" ht="12.75" hidden="false" customHeight="true" outlineLevel="0" collapsed="false"/>
    <row r="61874" customFormat="false" ht="12.75" hidden="false" customHeight="true" outlineLevel="0" collapsed="false"/>
    <row r="61875" customFormat="false" ht="12.75" hidden="false" customHeight="true" outlineLevel="0" collapsed="false"/>
    <row r="61876" customFormat="false" ht="12.75" hidden="false" customHeight="true" outlineLevel="0" collapsed="false"/>
    <row r="61877" customFormat="false" ht="12.75" hidden="false" customHeight="true" outlineLevel="0" collapsed="false"/>
    <row r="61878" customFormat="false" ht="12.75" hidden="false" customHeight="true" outlineLevel="0" collapsed="false"/>
    <row r="61879" customFormat="false" ht="12.75" hidden="false" customHeight="true" outlineLevel="0" collapsed="false"/>
    <row r="61880" customFormat="false" ht="12.75" hidden="false" customHeight="true" outlineLevel="0" collapsed="false"/>
    <row r="61881" customFormat="false" ht="12.75" hidden="false" customHeight="true" outlineLevel="0" collapsed="false"/>
    <row r="61882" customFormat="false" ht="12.75" hidden="false" customHeight="true" outlineLevel="0" collapsed="false"/>
    <row r="61883" customFormat="false" ht="12.75" hidden="false" customHeight="true" outlineLevel="0" collapsed="false"/>
    <row r="61884" customFormat="false" ht="12.75" hidden="false" customHeight="true" outlineLevel="0" collapsed="false"/>
    <row r="61885" customFormat="false" ht="12.75" hidden="false" customHeight="true" outlineLevel="0" collapsed="false"/>
    <row r="61886" customFormat="false" ht="12.75" hidden="false" customHeight="true" outlineLevel="0" collapsed="false"/>
    <row r="61887" customFormat="false" ht="12.75" hidden="false" customHeight="true" outlineLevel="0" collapsed="false"/>
    <row r="61888" customFormat="false" ht="12.75" hidden="false" customHeight="true" outlineLevel="0" collapsed="false"/>
    <row r="61889" customFormat="false" ht="12.75" hidden="false" customHeight="true" outlineLevel="0" collapsed="false"/>
    <row r="61890" customFormat="false" ht="12.75" hidden="false" customHeight="true" outlineLevel="0" collapsed="false"/>
    <row r="61891" customFormat="false" ht="12.75" hidden="false" customHeight="true" outlineLevel="0" collapsed="false"/>
    <row r="61892" customFormat="false" ht="12.75" hidden="false" customHeight="true" outlineLevel="0" collapsed="false"/>
    <row r="61893" customFormat="false" ht="12.75" hidden="false" customHeight="true" outlineLevel="0" collapsed="false"/>
    <row r="61894" customFormat="false" ht="12.75" hidden="false" customHeight="true" outlineLevel="0" collapsed="false"/>
    <row r="61895" customFormat="false" ht="12.75" hidden="false" customHeight="true" outlineLevel="0" collapsed="false"/>
    <row r="61896" customFormat="false" ht="12.75" hidden="false" customHeight="true" outlineLevel="0" collapsed="false"/>
    <row r="61897" customFormat="false" ht="12.75" hidden="false" customHeight="true" outlineLevel="0" collapsed="false"/>
    <row r="61898" customFormat="false" ht="12.75" hidden="false" customHeight="true" outlineLevel="0" collapsed="false"/>
    <row r="61899" customFormat="false" ht="12.75" hidden="false" customHeight="true" outlineLevel="0" collapsed="false"/>
    <row r="61900" customFormat="false" ht="12.75" hidden="false" customHeight="true" outlineLevel="0" collapsed="false"/>
    <row r="61901" customFormat="false" ht="12.75" hidden="false" customHeight="true" outlineLevel="0" collapsed="false"/>
    <row r="61902" customFormat="false" ht="12.75" hidden="false" customHeight="true" outlineLevel="0" collapsed="false"/>
    <row r="61903" customFormat="false" ht="12.75" hidden="false" customHeight="true" outlineLevel="0" collapsed="false"/>
    <row r="61904" customFormat="false" ht="12.75" hidden="false" customHeight="true" outlineLevel="0" collapsed="false"/>
    <row r="61905" customFormat="false" ht="12.75" hidden="false" customHeight="true" outlineLevel="0" collapsed="false"/>
    <row r="61906" customFormat="false" ht="12.75" hidden="false" customHeight="true" outlineLevel="0" collapsed="false"/>
    <row r="61907" customFormat="false" ht="12.75" hidden="false" customHeight="true" outlineLevel="0" collapsed="false"/>
    <row r="61908" customFormat="false" ht="12.75" hidden="false" customHeight="true" outlineLevel="0" collapsed="false"/>
    <row r="61909" customFormat="false" ht="12.75" hidden="false" customHeight="true" outlineLevel="0" collapsed="false"/>
    <row r="61910" customFormat="false" ht="12.75" hidden="false" customHeight="true" outlineLevel="0" collapsed="false"/>
    <row r="61911" customFormat="false" ht="12.75" hidden="false" customHeight="true" outlineLevel="0" collapsed="false"/>
    <row r="61912" customFormat="false" ht="12.75" hidden="false" customHeight="true" outlineLevel="0" collapsed="false"/>
    <row r="61913" customFormat="false" ht="12.75" hidden="false" customHeight="true" outlineLevel="0" collapsed="false"/>
    <row r="61914" customFormat="false" ht="12.75" hidden="false" customHeight="true" outlineLevel="0" collapsed="false"/>
    <row r="61915" customFormat="false" ht="12.75" hidden="false" customHeight="true" outlineLevel="0" collapsed="false"/>
    <row r="61916" customFormat="false" ht="12.75" hidden="false" customHeight="true" outlineLevel="0" collapsed="false"/>
    <row r="61917" customFormat="false" ht="12.75" hidden="false" customHeight="true" outlineLevel="0" collapsed="false"/>
    <row r="61918" customFormat="false" ht="12.75" hidden="false" customHeight="true" outlineLevel="0" collapsed="false"/>
    <row r="61919" customFormat="false" ht="12.75" hidden="false" customHeight="true" outlineLevel="0" collapsed="false"/>
    <row r="61920" customFormat="false" ht="12.75" hidden="false" customHeight="true" outlineLevel="0" collapsed="false"/>
    <row r="61921" customFormat="false" ht="12.75" hidden="false" customHeight="true" outlineLevel="0" collapsed="false"/>
    <row r="61922" customFormat="false" ht="12.75" hidden="false" customHeight="true" outlineLevel="0" collapsed="false"/>
    <row r="61923" customFormat="false" ht="12.75" hidden="false" customHeight="true" outlineLevel="0" collapsed="false"/>
    <row r="61924" customFormat="false" ht="12.75" hidden="false" customHeight="true" outlineLevel="0" collapsed="false"/>
    <row r="61925" customFormat="false" ht="12.75" hidden="false" customHeight="true" outlineLevel="0" collapsed="false"/>
    <row r="61926" customFormat="false" ht="12.75" hidden="false" customHeight="true" outlineLevel="0" collapsed="false"/>
    <row r="61927" customFormat="false" ht="12.75" hidden="false" customHeight="true" outlineLevel="0" collapsed="false"/>
    <row r="61928" customFormat="false" ht="12.75" hidden="false" customHeight="true" outlineLevel="0" collapsed="false"/>
    <row r="61929" customFormat="false" ht="12.75" hidden="false" customHeight="true" outlineLevel="0" collapsed="false"/>
    <row r="61930" customFormat="false" ht="12.75" hidden="false" customHeight="true" outlineLevel="0" collapsed="false"/>
    <row r="61931" customFormat="false" ht="12.75" hidden="false" customHeight="true" outlineLevel="0" collapsed="false"/>
    <row r="61932" customFormat="false" ht="12.75" hidden="false" customHeight="true" outlineLevel="0" collapsed="false"/>
    <row r="61933" customFormat="false" ht="12.75" hidden="false" customHeight="true" outlineLevel="0" collapsed="false"/>
    <row r="61934" customFormat="false" ht="12.75" hidden="false" customHeight="true" outlineLevel="0" collapsed="false"/>
    <row r="61935" customFormat="false" ht="12.75" hidden="false" customHeight="true" outlineLevel="0" collapsed="false"/>
    <row r="61936" customFormat="false" ht="12.75" hidden="false" customHeight="true" outlineLevel="0" collapsed="false"/>
    <row r="61937" customFormat="false" ht="12.75" hidden="false" customHeight="true" outlineLevel="0" collapsed="false"/>
    <row r="61938" customFormat="false" ht="12.75" hidden="false" customHeight="true" outlineLevel="0" collapsed="false"/>
    <row r="61939" customFormat="false" ht="12.75" hidden="false" customHeight="true" outlineLevel="0" collapsed="false"/>
    <row r="61940" customFormat="false" ht="12.75" hidden="false" customHeight="true" outlineLevel="0" collapsed="false"/>
    <row r="61941" customFormat="false" ht="12.75" hidden="false" customHeight="true" outlineLevel="0" collapsed="false"/>
    <row r="61942" customFormat="false" ht="12.75" hidden="false" customHeight="true" outlineLevel="0" collapsed="false"/>
    <row r="61943" customFormat="false" ht="12.75" hidden="false" customHeight="true" outlineLevel="0" collapsed="false"/>
    <row r="61944" customFormat="false" ht="12.75" hidden="false" customHeight="true" outlineLevel="0" collapsed="false"/>
    <row r="61945" customFormat="false" ht="12.75" hidden="false" customHeight="true" outlineLevel="0" collapsed="false"/>
    <row r="61946" customFormat="false" ht="12.75" hidden="false" customHeight="true" outlineLevel="0" collapsed="false"/>
    <row r="61947" customFormat="false" ht="12.75" hidden="false" customHeight="true" outlineLevel="0" collapsed="false"/>
    <row r="61948" customFormat="false" ht="12.75" hidden="false" customHeight="true" outlineLevel="0" collapsed="false"/>
    <row r="61949" customFormat="false" ht="12.75" hidden="false" customHeight="true" outlineLevel="0" collapsed="false"/>
    <row r="61950" customFormat="false" ht="12.75" hidden="false" customHeight="true" outlineLevel="0" collapsed="false"/>
    <row r="61951" customFormat="false" ht="12.75" hidden="false" customHeight="true" outlineLevel="0" collapsed="false"/>
    <row r="61952" customFormat="false" ht="12.75" hidden="false" customHeight="true" outlineLevel="0" collapsed="false"/>
    <row r="61953" customFormat="false" ht="12.75" hidden="false" customHeight="true" outlineLevel="0" collapsed="false"/>
    <row r="61954" customFormat="false" ht="12.75" hidden="false" customHeight="true" outlineLevel="0" collapsed="false"/>
    <row r="61955" customFormat="false" ht="12.75" hidden="false" customHeight="true" outlineLevel="0" collapsed="false"/>
    <row r="61956" customFormat="false" ht="12.75" hidden="false" customHeight="true" outlineLevel="0" collapsed="false"/>
    <row r="61957" customFormat="false" ht="12.75" hidden="false" customHeight="true" outlineLevel="0" collapsed="false"/>
    <row r="61958" customFormat="false" ht="12.75" hidden="false" customHeight="true" outlineLevel="0" collapsed="false"/>
    <row r="61959" customFormat="false" ht="12.75" hidden="false" customHeight="true" outlineLevel="0" collapsed="false"/>
    <row r="61960" customFormat="false" ht="12.75" hidden="false" customHeight="true" outlineLevel="0" collapsed="false"/>
    <row r="61961" customFormat="false" ht="12.75" hidden="false" customHeight="true" outlineLevel="0" collapsed="false"/>
    <row r="61962" customFormat="false" ht="12.75" hidden="false" customHeight="true" outlineLevel="0" collapsed="false"/>
    <row r="61963" customFormat="false" ht="12.75" hidden="false" customHeight="true" outlineLevel="0" collapsed="false"/>
    <row r="61964" customFormat="false" ht="12.75" hidden="false" customHeight="true" outlineLevel="0" collapsed="false"/>
    <row r="61965" customFormat="false" ht="12.75" hidden="false" customHeight="true" outlineLevel="0" collapsed="false"/>
    <row r="61966" customFormat="false" ht="12.75" hidden="false" customHeight="true" outlineLevel="0" collapsed="false"/>
    <row r="61967" customFormat="false" ht="12.75" hidden="false" customHeight="true" outlineLevel="0" collapsed="false"/>
    <row r="61968" customFormat="false" ht="12.75" hidden="false" customHeight="true" outlineLevel="0" collapsed="false"/>
    <row r="61969" customFormat="false" ht="12.75" hidden="false" customHeight="true" outlineLevel="0" collapsed="false"/>
    <row r="61970" customFormat="false" ht="12.75" hidden="false" customHeight="true" outlineLevel="0" collapsed="false"/>
    <row r="61971" customFormat="false" ht="12.75" hidden="false" customHeight="true" outlineLevel="0" collapsed="false"/>
    <row r="61972" customFormat="false" ht="12.75" hidden="false" customHeight="true" outlineLevel="0" collapsed="false"/>
    <row r="61973" customFormat="false" ht="12.75" hidden="false" customHeight="true" outlineLevel="0" collapsed="false"/>
    <row r="61974" customFormat="false" ht="12.75" hidden="false" customHeight="true" outlineLevel="0" collapsed="false"/>
    <row r="61975" customFormat="false" ht="12.75" hidden="false" customHeight="true" outlineLevel="0" collapsed="false"/>
    <row r="61976" customFormat="false" ht="12.75" hidden="false" customHeight="true" outlineLevel="0" collapsed="false"/>
    <row r="61977" customFormat="false" ht="12.75" hidden="false" customHeight="true" outlineLevel="0" collapsed="false"/>
    <row r="61978" customFormat="false" ht="12.75" hidden="false" customHeight="true" outlineLevel="0" collapsed="false"/>
    <row r="61979" customFormat="false" ht="12.75" hidden="false" customHeight="true" outlineLevel="0" collapsed="false"/>
    <row r="61980" customFormat="false" ht="12.75" hidden="false" customHeight="true" outlineLevel="0" collapsed="false"/>
    <row r="61981" customFormat="false" ht="12.75" hidden="false" customHeight="true" outlineLevel="0" collapsed="false"/>
    <row r="61982" customFormat="false" ht="12.75" hidden="false" customHeight="true" outlineLevel="0" collapsed="false"/>
    <row r="61983" customFormat="false" ht="12.75" hidden="false" customHeight="true" outlineLevel="0" collapsed="false"/>
    <row r="61984" customFormat="false" ht="12.75" hidden="false" customHeight="true" outlineLevel="0" collapsed="false"/>
    <row r="61985" customFormat="false" ht="12.75" hidden="false" customHeight="true" outlineLevel="0" collapsed="false"/>
    <row r="61986" customFormat="false" ht="12.75" hidden="false" customHeight="true" outlineLevel="0" collapsed="false"/>
    <row r="61987" customFormat="false" ht="12.75" hidden="false" customHeight="true" outlineLevel="0" collapsed="false"/>
    <row r="61988" customFormat="false" ht="12.75" hidden="false" customHeight="true" outlineLevel="0" collapsed="false"/>
    <row r="61989" customFormat="false" ht="12.75" hidden="false" customHeight="true" outlineLevel="0" collapsed="false"/>
    <row r="61990" customFormat="false" ht="12.75" hidden="false" customHeight="true" outlineLevel="0" collapsed="false"/>
    <row r="61991" customFormat="false" ht="12.75" hidden="false" customHeight="true" outlineLevel="0" collapsed="false"/>
    <row r="61992" customFormat="false" ht="12.75" hidden="false" customHeight="true" outlineLevel="0" collapsed="false"/>
    <row r="61993" customFormat="false" ht="12.75" hidden="false" customHeight="true" outlineLevel="0" collapsed="false"/>
    <row r="61994" customFormat="false" ht="12.75" hidden="false" customHeight="true" outlineLevel="0" collapsed="false"/>
    <row r="61995" customFormat="false" ht="12.75" hidden="false" customHeight="true" outlineLevel="0" collapsed="false"/>
    <row r="61996" customFormat="false" ht="12.75" hidden="false" customHeight="true" outlineLevel="0" collapsed="false"/>
    <row r="61997" customFormat="false" ht="12.75" hidden="false" customHeight="true" outlineLevel="0" collapsed="false"/>
    <row r="61998" customFormat="false" ht="12.75" hidden="false" customHeight="true" outlineLevel="0" collapsed="false"/>
    <row r="61999" customFormat="false" ht="12.75" hidden="false" customHeight="true" outlineLevel="0" collapsed="false"/>
    <row r="62000" customFormat="false" ht="12.75" hidden="false" customHeight="true" outlineLevel="0" collapsed="false"/>
    <row r="62001" customFormat="false" ht="12.75" hidden="false" customHeight="true" outlineLevel="0" collapsed="false"/>
    <row r="62002" customFormat="false" ht="12.75" hidden="false" customHeight="true" outlineLevel="0" collapsed="false"/>
    <row r="62003" customFormat="false" ht="12.75" hidden="false" customHeight="true" outlineLevel="0" collapsed="false"/>
    <row r="62004" customFormat="false" ht="12.75" hidden="false" customHeight="true" outlineLevel="0" collapsed="false"/>
    <row r="62005" customFormat="false" ht="12.75" hidden="false" customHeight="true" outlineLevel="0" collapsed="false"/>
    <row r="62006" customFormat="false" ht="12.75" hidden="false" customHeight="true" outlineLevel="0" collapsed="false"/>
    <row r="62007" customFormat="false" ht="12.75" hidden="false" customHeight="true" outlineLevel="0" collapsed="false"/>
    <row r="62008" customFormat="false" ht="12.75" hidden="false" customHeight="true" outlineLevel="0" collapsed="false"/>
    <row r="62009" customFormat="false" ht="12.75" hidden="false" customHeight="true" outlineLevel="0" collapsed="false"/>
    <row r="62010" customFormat="false" ht="12.75" hidden="false" customHeight="true" outlineLevel="0" collapsed="false"/>
    <row r="62011" customFormat="false" ht="12.75" hidden="false" customHeight="true" outlineLevel="0" collapsed="false"/>
    <row r="62012" customFormat="false" ht="12.75" hidden="false" customHeight="true" outlineLevel="0" collapsed="false"/>
    <row r="62013" customFormat="false" ht="12.75" hidden="false" customHeight="true" outlineLevel="0" collapsed="false"/>
    <row r="62014" customFormat="false" ht="12.75" hidden="false" customHeight="true" outlineLevel="0" collapsed="false"/>
    <row r="62015" customFormat="false" ht="12.75" hidden="false" customHeight="true" outlineLevel="0" collapsed="false"/>
    <row r="62016" customFormat="false" ht="12.75" hidden="false" customHeight="true" outlineLevel="0" collapsed="false"/>
    <row r="62017" customFormat="false" ht="12.75" hidden="false" customHeight="true" outlineLevel="0" collapsed="false"/>
    <row r="62018" customFormat="false" ht="12.75" hidden="false" customHeight="true" outlineLevel="0" collapsed="false"/>
    <row r="62019" customFormat="false" ht="12.75" hidden="false" customHeight="true" outlineLevel="0" collapsed="false"/>
    <row r="62020" customFormat="false" ht="12.75" hidden="false" customHeight="true" outlineLevel="0" collapsed="false"/>
    <row r="62021" customFormat="false" ht="12.75" hidden="false" customHeight="true" outlineLevel="0" collapsed="false"/>
    <row r="62022" customFormat="false" ht="12.75" hidden="false" customHeight="true" outlineLevel="0" collapsed="false"/>
    <row r="62023" customFormat="false" ht="12.75" hidden="false" customHeight="true" outlineLevel="0" collapsed="false"/>
    <row r="62024" customFormat="false" ht="12.75" hidden="false" customHeight="true" outlineLevel="0" collapsed="false"/>
    <row r="62025" customFormat="false" ht="12.75" hidden="false" customHeight="true" outlineLevel="0" collapsed="false"/>
    <row r="62026" customFormat="false" ht="12.75" hidden="false" customHeight="true" outlineLevel="0" collapsed="false"/>
    <row r="62027" customFormat="false" ht="12.75" hidden="false" customHeight="true" outlineLevel="0" collapsed="false"/>
    <row r="62028" customFormat="false" ht="12.75" hidden="false" customHeight="true" outlineLevel="0" collapsed="false"/>
    <row r="62029" customFormat="false" ht="12.75" hidden="false" customHeight="true" outlineLevel="0" collapsed="false"/>
    <row r="62030" customFormat="false" ht="12.75" hidden="false" customHeight="true" outlineLevel="0" collapsed="false"/>
    <row r="62031" customFormat="false" ht="12.75" hidden="false" customHeight="true" outlineLevel="0" collapsed="false"/>
    <row r="62032" customFormat="false" ht="12.75" hidden="false" customHeight="true" outlineLevel="0" collapsed="false"/>
    <row r="62033" customFormat="false" ht="12.75" hidden="false" customHeight="true" outlineLevel="0" collapsed="false"/>
    <row r="62034" customFormat="false" ht="12.75" hidden="false" customHeight="true" outlineLevel="0" collapsed="false"/>
    <row r="62035" customFormat="false" ht="12.75" hidden="false" customHeight="true" outlineLevel="0" collapsed="false"/>
    <row r="62036" customFormat="false" ht="12.75" hidden="false" customHeight="true" outlineLevel="0" collapsed="false"/>
    <row r="62037" customFormat="false" ht="12.75" hidden="false" customHeight="true" outlineLevel="0" collapsed="false"/>
    <row r="62038" customFormat="false" ht="12.75" hidden="false" customHeight="true" outlineLevel="0" collapsed="false"/>
    <row r="62039" customFormat="false" ht="12.75" hidden="false" customHeight="true" outlineLevel="0" collapsed="false"/>
    <row r="62040" customFormat="false" ht="12.75" hidden="false" customHeight="true" outlineLevel="0" collapsed="false"/>
    <row r="62041" customFormat="false" ht="12.75" hidden="false" customHeight="true" outlineLevel="0" collapsed="false"/>
    <row r="62042" customFormat="false" ht="12.75" hidden="false" customHeight="true" outlineLevel="0" collapsed="false"/>
    <row r="62043" customFormat="false" ht="12.75" hidden="false" customHeight="true" outlineLevel="0" collapsed="false"/>
    <row r="62044" customFormat="false" ht="12.75" hidden="false" customHeight="true" outlineLevel="0" collapsed="false"/>
    <row r="62045" customFormat="false" ht="12.75" hidden="false" customHeight="true" outlineLevel="0" collapsed="false"/>
    <row r="62046" customFormat="false" ht="12.75" hidden="false" customHeight="true" outlineLevel="0" collapsed="false"/>
    <row r="62047" customFormat="false" ht="12.75" hidden="false" customHeight="true" outlineLevel="0" collapsed="false"/>
    <row r="62048" customFormat="false" ht="12.75" hidden="false" customHeight="true" outlineLevel="0" collapsed="false"/>
    <row r="62049" customFormat="false" ht="12.75" hidden="false" customHeight="true" outlineLevel="0" collapsed="false"/>
    <row r="62050" customFormat="false" ht="12.75" hidden="false" customHeight="true" outlineLevel="0" collapsed="false"/>
    <row r="62051" customFormat="false" ht="12.75" hidden="false" customHeight="true" outlineLevel="0" collapsed="false"/>
    <row r="62052" customFormat="false" ht="12.75" hidden="false" customHeight="true" outlineLevel="0" collapsed="false"/>
    <row r="62053" customFormat="false" ht="12.75" hidden="false" customHeight="true" outlineLevel="0" collapsed="false"/>
    <row r="62054" customFormat="false" ht="12.75" hidden="false" customHeight="true" outlineLevel="0" collapsed="false"/>
    <row r="62055" customFormat="false" ht="12.75" hidden="false" customHeight="true" outlineLevel="0" collapsed="false"/>
    <row r="62056" customFormat="false" ht="12.75" hidden="false" customHeight="true" outlineLevel="0" collapsed="false"/>
    <row r="62057" customFormat="false" ht="12.75" hidden="false" customHeight="true" outlineLevel="0" collapsed="false"/>
    <row r="62058" customFormat="false" ht="12.75" hidden="false" customHeight="true" outlineLevel="0" collapsed="false"/>
    <row r="62059" customFormat="false" ht="12.75" hidden="false" customHeight="true" outlineLevel="0" collapsed="false"/>
    <row r="62060" customFormat="false" ht="12.75" hidden="false" customHeight="true" outlineLevel="0" collapsed="false"/>
    <row r="62061" customFormat="false" ht="12.75" hidden="false" customHeight="true" outlineLevel="0" collapsed="false"/>
    <row r="62062" customFormat="false" ht="12.75" hidden="false" customHeight="true" outlineLevel="0" collapsed="false"/>
    <row r="62063" customFormat="false" ht="12.75" hidden="false" customHeight="true" outlineLevel="0" collapsed="false"/>
    <row r="62064" customFormat="false" ht="12.75" hidden="false" customHeight="true" outlineLevel="0" collapsed="false"/>
    <row r="62065" customFormat="false" ht="12.75" hidden="false" customHeight="true" outlineLevel="0" collapsed="false"/>
    <row r="62066" customFormat="false" ht="12.75" hidden="false" customHeight="true" outlineLevel="0" collapsed="false"/>
    <row r="62067" customFormat="false" ht="12.75" hidden="false" customHeight="true" outlineLevel="0" collapsed="false"/>
    <row r="62068" customFormat="false" ht="12.75" hidden="false" customHeight="true" outlineLevel="0" collapsed="false"/>
    <row r="62069" customFormat="false" ht="12.75" hidden="false" customHeight="true" outlineLevel="0" collapsed="false"/>
    <row r="62070" customFormat="false" ht="12.75" hidden="false" customHeight="true" outlineLevel="0" collapsed="false"/>
    <row r="62071" customFormat="false" ht="12.75" hidden="false" customHeight="true" outlineLevel="0" collapsed="false"/>
    <row r="62072" customFormat="false" ht="12.75" hidden="false" customHeight="true" outlineLevel="0" collapsed="false"/>
    <row r="62073" customFormat="false" ht="12.75" hidden="false" customHeight="true" outlineLevel="0" collapsed="false"/>
    <row r="62074" customFormat="false" ht="12.75" hidden="false" customHeight="true" outlineLevel="0" collapsed="false"/>
    <row r="62075" customFormat="false" ht="12.75" hidden="false" customHeight="true" outlineLevel="0" collapsed="false"/>
    <row r="62076" customFormat="false" ht="12.75" hidden="false" customHeight="true" outlineLevel="0" collapsed="false"/>
    <row r="62077" customFormat="false" ht="12.75" hidden="false" customHeight="true" outlineLevel="0" collapsed="false"/>
    <row r="62078" customFormat="false" ht="12.75" hidden="false" customHeight="true" outlineLevel="0" collapsed="false"/>
    <row r="62079" customFormat="false" ht="12.75" hidden="false" customHeight="true" outlineLevel="0" collapsed="false"/>
    <row r="62080" customFormat="false" ht="12.75" hidden="false" customHeight="true" outlineLevel="0" collapsed="false"/>
    <row r="62081" customFormat="false" ht="12.75" hidden="false" customHeight="true" outlineLevel="0" collapsed="false"/>
    <row r="62082" customFormat="false" ht="12.75" hidden="false" customHeight="true" outlineLevel="0" collapsed="false"/>
    <row r="62083" customFormat="false" ht="12.75" hidden="false" customHeight="true" outlineLevel="0" collapsed="false"/>
    <row r="62084" customFormat="false" ht="12.75" hidden="false" customHeight="true" outlineLevel="0" collapsed="false"/>
    <row r="62085" customFormat="false" ht="12.75" hidden="false" customHeight="true" outlineLevel="0" collapsed="false"/>
    <row r="62086" customFormat="false" ht="12.75" hidden="false" customHeight="true" outlineLevel="0" collapsed="false"/>
    <row r="62087" customFormat="false" ht="12.75" hidden="false" customHeight="true" outlineLevel="0" collapsed="false"/>
    <row r="62088" customFormat="false" ht="12.75" hidden="false" customHeight="true" outlineLevel="0" collapsed="false"/>
    <row r="62089" customFormat="false" ht="12.75" hidden="false" customHeight="true" outlineLevel="0" collapsed="false"/>
    <row r="62090" customFormat="false" ht="12.75" hidden="false" customHeight="true" outlineLevel="0" collapsed="false"/>
    <row r="62091" customFormat="false" ht="12.75" hidden="false" customHeight="true" outlineLevel="0" collapsed="false"/>
    <row r="62092" customFormat="false" ht="12.75" hidden="false" customHeight="true" outlineLevel="0" collapsed="false"/>
    <row r="62093" customFormat="false" ht="12.75" hidden="false" customHeight="true" outlineLevel="0" collapsed="false"/>
    <row r="62094" customFormat="false" ht="12.75" hidden="false" customHeight="true" outlineLevel="0" collapsed="false"/>
    <row r="62095" customFormat="false" ht="12.75" hidden="false" customHeight="true" outlineLevel="0" collapsed="false"/>
    <row r="62096" customFormat="false" ht="12.75" hidden="false" customHeight="true" outlineLevel="0" collapsed="false"/>
    <row r="62097" customFormat="false" ht="12.75" hidden="false" customHeight="true" outlineLevel="0" collapsed="false"/>
    <row r="62098" customFormat="false" ht="12.75" hidden="false" customHeight="true" outlineLevel="0" collapsed="false"/>
    <row r="62099" customFormat="false" ht="12.75" hidden="false" customHeight="true" outlineLevel="0" collapsed="false"/>
    <row r="62100" customFormat="false" ht="12.75" hidden="false" customHeight="true" outlineLevel="0" collapsed="false"/>
    <row r="62101" customFormat="false" ht="12.75" hidden="false" customHeight="true" outlineLevel="0" collapsed="false"/>
    <row r="62102" customFormat="false" ht="12.75" hidden="false" customHeight="true" outlineLevel="0" collapsed="false"/>
    <row r="62103" customFormat="false" ht="12.75" hidden="false" customHeight="true" outlineLevel="0" collapsed="false"/>
    <row r="62104" customFormat="false" ht="12.75" hidden="false" customHeight="true" outlineLevel="0" collapsed="false"/>
    <row r="62105" customFormat="false" ht="12.75" hidden="false" customHeight="true" outlineLevel="0" collapsed="false"/>
    <row r="62106" customFormat="false" ht="12.75" hidden="false" customHeight="true" outlineLevel="0" collapsed="false"/>
    <row r="62107" customFormat="false" ht="12.75" hidden="false" customHeight="true" outlineLevel="0" collapsed="false"/>
    <row r="62108" customFormat="false" ht="12.75" hidden="false" customHeight="true" outlineLevel="0" collapsed="false"/>
    <row r="62109" customFormat="false" ht="12.75" hidden="false" customHeight="true" outlineLevel="0" collapsed="false"/>
    <row r="62110" customFormat="false" ht="12.75" hidden="false" customHeight="true" outlineLevel="0" collapsed="false"/>
    <row r="62111" customFormat="false" ht="12.75" hidden="false" customHeight="true" outlineLevel="0" collapsed="false"/>
    <row r="62112" customFormat="false" ht="12.75" hidden="false" customHeight="true" outlineLevel="0" collapsed="false"/>
    <row r="62113" customFormat="false" ht="12.75" hidden="false" customHeight="true" outlineLevel="0" collapsed="false"/>
    <row r="62114" customFormat="false" ht="12.75" hidden="false" customHeight="true" outlineLevel="0" collapsed="false"/>
    <row r="62115" customFormat="false" ht="12.75" hidden="false" customHeight="true" outlineLevel="0" collapsed="false"/>
    <row r="62116" customFormat="false" ht="12.75" hidden="false" customHeight="true" outlineLevel="0" collapsed="false"/>
    <row r="62117" customFormat="false" ht="12.75" hidden="false" customHeight="true" outlineLevel="0" collapsed="false"/>
    <row r="62118" customFormat="false" ht="12.75" hidden="false" customHeight="true" outlineLevel="0" collapsed="false"/>
    <row r="62119" customFormat="false" ht="12.75" hidden="false" customHeight="true" outlineLevel="0" collapsed="false"/>
    <row r="62120" customFormat="false" ht="12.75" hidden="false" customHeight="true" outlineLevel="0" collapsed="false"/>
    <row r="62121" customFormat="false" ht="12.75" hidden="false" customHeight="true" outlineLevel="0" collapsed="false"/>
    <row r="62122" customFormat="false" ht="12.75" hidden="false" customHeight="true" outlineLevel="0" collapsed="false"/>
    <row r="62123" customFormat="false" ht="12.75" hidden="false" customHeight="true" outlineLevel="0" collapsed="false"/>
    <row r="62124" customFormat="false" ht="12.75" hidden="false" customHeight="true" outlineLevel="0" collapsed="false"/>
    <row r="62125" customFormat="false" ht="12.75" hidden="false" customHeight="true" outlineLevel="0" collapsed="false"/>
    <row r="62126" customFormat="false" ht="12.75" hidden="false" customHeight="true" outlineLevel="0" collapsed="false"/>
    <row r="62127" customFormat="false" ht="12.75" hidden="false" customHeight="true" outlineLevel="0" collapsed="false"/>
    <row r="62128" customFormat="false" ht="12.75" hidden="false" customHeight="true" outlineLevel="0" collapsed="false"/>
    <row r="62129" customFormat="false" ht="12.75" hidden="false" customHeight="true" outlineLevel="0" collapsed="false"/>
    <row r="62130" customFormat="false" ht="12.75" hidden="false" customHeight="true" outlineLevel="0" collapsed="false"/>
    <row r="62131" customFormat="false" ht="12.75" hidden="false" customHeight="true" outlineLevel="0" collapsed="false"/>
    <row r="62132" customFormat="false" ht="12.75" hidden="false" customHeight="true" outlineLevel="0" collapsed="false"/>
    <row r="62133" customFormat="false" ht="12.75" hidden="false" customHeight="true" outlineLevel="0" collapsed="false"/>
    <row r="62134" customFormat="false" ht="12.75" hidden="false" customHeight="true" outlineLevel="0" collapsed="false"/>
    <row r="62135" customFormat="false" ht="12.75" hidden="false" customHeight="true" outlineLevel="0" collapsed="false"/>
    <row r="62136" customFormat="false" ht="12.75" hidden="false" customHeight="true" outlineLevel="0" collapsed="false"/>
    <row r="62137" customFormat="false" ht="12.75" hidden="false" customHeight="true" outlineLevel="0" collapsed="false"/>
    <row r="62138" customFormat="false" ht="12.75" hidden="false" customHeight="true" outlineLevel="0" collapsed="false"/>
    <row r="62139" customFormat="false" ht="12.75" hidden="false" customHeight="true" outlineLevel="0" collapsed="false"/>
    <row r="62140" customFormat="false" ht="12.75" hidden="false" customHeight="true" outlineLevel="0" collapsed="false"/>
    <row r="62141" customFormat="false" ht="12.75" hidden="false" customHeight="true" outlineLevel="0" collapsed="false"/>
    <row r="62142" customFormat="false" ht="12.75" hidden="false" customHeight="true" outlineLevel="0" collapsed="false"/>
    <row r="62143" customFormat="false" ht="12.75" hidden="false" customHeight="true" outlineLevel="0" collapsed="false"/>
    <row r="62144" customFormat="false" ht="12.75" hidden="false" customHeight="true" outlineLevel="0" collapsed="false"/>
    <row r="62145" customFormat="false" ht="12.75" hidden="false" customHeight="true" outlineLevel="0" collapsed="false"/>
    <row r="62146" customFormat="false" ht="12.75" hidden="false" customHeight="true" outlineLevel="0" collapsed="false"/>
    <row r="62147" customFormat="false" ht="12.75" hidden="false" customHeight="true" outlineLevel="0" collapsed="false"/>
    <row r="62148" customFormat="false" ht="12.75" hidden="false" customHeight="true" outlineLevel="0" collapsed="false"/>
    <row r="62149" customFormat="false" ht="12.75" hidden="false" customHeight="true" outlineLevel="0" collapsed="false"/>
    <row r="62150" customFormat="false" ht="12.75" hidden="false" customHeight="true" outlineLevel="0" collapsed="false"/>
    <row r="62151" customFormat="false" ht="12.75" hidden="false" customHeight="true" outlineLevel="0" collapsed="false"/>
    <row r="62152" customFormat="false" ht="12.75" hidden="false" customHeight="true" outlineLevel="0" collapsed="false"/>
    <row r="62153" customFormat="false" ht="12.75" hidden="false" customHeight="true" outlineLevel="0" collapsed="false"/>
    <row r="62154" customFormat="false" ht="12.75" hidden="false" customHeight="true" outlineLevel="0" collapsed="false"/>
    <row r="62155" customFormat="false" ht="12.75" hidden="false" customHeight="true" outlineLevel="0" collapsed="false"/>
    <row r="62156" customFormat="false" ht="12.75" hidden="false" customHeight="true" outlineLevel="0" collapsed="false"/>
    <row r="62157" customFormat="false" ht="12.75" hidden="false" customHeight="true" outlineLevel="0" collapsed="false"/>
    <row r="62158" customFormat="false" ht="12.75" hidden="false" customHeight="true" outlineLevel="0" collapsed="false"/>
    <row r="62159" customFormat="false" ht="12.75" hidden="false" customHeight="true" outlineLevel="0" collapsed="false"/>
    <row r="62160" customFormat="false" ht="12.75" hidden="false" customHeight="true" outlineLevel="0" collapsed="false"/>
    <row r="62161" customFormat="false" ht="12.75" hidden="false" customHeight="true" outlineLevel="0" collapsed="false"/>
    <row r="62162" customFormat="false" ht="12.75" hidden="false" customHeight="true" outlineLevel="0" collapsed="false"/>
    <row r="62163" customFormat="false" ht="12.75" hidden="false" customHeight="true" outlineLevel="0" collapsed="false"/>
    <row r="62164" customFormat="false" ht="12.75" hidden="false" customHeight="true" outlineLevel="0" collapsed="false"/>
    <row r="62165" customFormat="false" ht="12.75" hidden="false" customHeight="true" outlineLevel="0" collapsed="false"/>
    <row r="62166" customFormat="false" ht="12.75" hidden="false" customHeight="true" outlineLevel="0" collapsed="false"/>
    <row r="62167" customFormat="false" ht="12.75" hidden="false" customHeight="true" outlineLevel="0" collapsed="false"/>
    <row r="62168" customFormat="false" ht="12.75" hidden="false" customHeight="true" outlineLevel="0" collapsed="false"/>
    <row r="62169" customFormat="false" ht="12.75" hidden="false" customHeight="true" outlineLevel="0" collapsed="false"/>
    <row r="62170" customFormat="false" ht="12.75" hidden="false" customHeight="true" outlineLevel="0" collapsed="false"/>
    <row r="62171" customFormat="false" ht="12.75" hidden="false" customHeight="true" outlineLevel="0" collapsed="false"/>
    <row r="62172" customFormat="false" ht="12.75" hidden="false" customHeight="true" outlineLevel="0" collapsed="false"/>
    <row r="62173" customFormat="false" ht="12.75" hidden="false" customHeight="true" outlineLevel="0" collapsed="false"/>
    <row r="62174" customFormat="false" ht="12.75" hidden="false" customHeight="true" outlineLevel="0" collapsed="false"/>
    <row r="62175" customFormat="false" ht="12.75" hidden="false" customHeight="true" outlineLevel="0" collapsed="false"/>
    <row r="62176" customFormat="false" ht="12.75" hidden="false" customHeight="true" outlineLevel="0" collapsed="false"/>
    <row r="62177" customFormat="false" ht="12.75" hidden="false" customHeight="true" outlineLevel="0" collapsed="false"/>
    <row r="62178" customFormat="false" ht="12.75" hidden="false" customHeight="true" outlineLevel="0" collapsed="false"/>
    <row r="62179" customFormat="false" ht="12.75" hidden="false" customHeight="true" outlineLevel="0" collapsed="false"/>
    <row r="62180" customFormat="false" ht="12.75" hidden="false" customHeight="true" outlineLevel="0" collapsed="false"/>
    <row r="62181" customFormat="false" ht="12.75" hidden="false" customHeight="true" outlineLevel="0" collapsed="false"/>
    <row r="62182" customFormat="false" ht="12.75" hidden="false" customHeight="true" outlineLevel="0" collapsed="false"/>
    <row r="62183" customFormat="false" ht="12.75" hidden="false" customHeight="true" outlineLevel="0" collapsed="false"/>
    <row r="62184" customFormat="false" ht="12.75" hidden="false" customHeight="true" outlineLevel="0" collapsed="false"/>
    <row r="62185" customFormat="false" ht="12.75" hidden="false" customHeight="true" outlineLevel="0" collapsed="false"/>
    <row r="62186" customFormat="false" ht="12.75" hidden="false" customHeight="true" outlineLevel="0" collapsed="false"/>
    <row r="62187" customFormat="false" ht="12.75" hidden="false" customHeight="true" outlineLevel="0" collapsed="false"/>
    <row r="62188" customFormat="false" ht="12.75" hidden="false" customHeight="true" outlineLevel="0" collapsed="false"/>
    <row r="62189" customFormat="false" ht="12.75" hidden="false" customHeight="true" outlineLevel="0" collapsed="false"/>
    <row r="62190" customFormat="false" ht="12.75" hidden="false" customHeight="true" outlineLevel="0" collapsed="false"/>
    <row r="62191" customFormat="false" ht="12.75" hidden="false" customHeight="true" outlineLevel="0" collapsed="false"/>
    <row r="62192" customFormat="false" ht="12.75" hidden="false" customHeight="true" outlineLevel="0" collapsed="false"/>
    <row r="62193" customFormat="false" ht="12.75" hidden="false" customHeight="true" outlineLevel="0" collapsed="false"/>
    <row r="62194" customFormat="false" ht="12.75" hidden="false" customHeight="true" outlineLevel="0" collapsed="false"/>
    <row r="62195" customFormat="false" ht="12.75" hidden="false" customHeight="true" outlineLevel="0" collapsed="false"/>
    <row r="62196" customFormat="false" ht="12.75" hidden="false" customHeight="true" outlineLevel="0" collapsed="false"/>
    <row r="62197" customFormat="false" ht="12.75" hidden="false" customHeight="true" outlineLevel="0" collapsed="false"/>
    <row r="62198" customFormat="false" ht="12.75" hidden="false" customHeight="true" outlineLevel="0" collapsed="false"/>
    <row r="62199" customFormat="false" ht="12.75" hidden="false" customHeight="true" outlineLevel="0" collapsed="false"/>
    <row r="62200" customFormat="false" ht="12.75" hidden="false" customHeight="true" outlineLevel="0" collapsed="false"/>
    <row r="62201" customFormat="false" ht="12.75" hidden="false" customHeight="true" outlineLevel="0" collapsed="false"/>
    <row r="62202" customFormat="false" ht="12.75" hidden="false" customHeight="true" outlineLevel="0" collapsed="false"/>
    <row r="62203" customFormat="false" ht="12.75" hidden="false" customHeight="true" outlineLevel="0" collapsed="false"/>
    <row r="62204" customFormat="false" ht="12.75" hidden="false" customHeight="true" outlineLevel="0" collapsed="false"/>
    <row r="62205" customFormat="false" ht="12.75" hidden="false" customHeight="true" outlineLevel="0" collapsed="false"/>
    <row r="62206" customFormat="false" ht="12.75" hidden="false" customHeight="true" outlineLevel="0" collapsed="false"/>
    <row r="62207" customFormat="false" ht="12.75" hidden="false" customHeight="true" outlineLevel="0" collapsed="false"/>
    <row r="62208" customFormat="false" ht="12.75" hidden="false" customHeight="true" outlineLevel="0" collapsed="false"/>
    <row r="62209" customFormat="false" ht="12.75" hidden="false" customHeight="true" outlineLevel="0" collapsed="false"/>
    <row r="62210" customFormat="false" ht="12.75" hidden="false" customHeight="true" outlineLevel="0" collapsed="false"/>
    <row r="62211" customFormat="false" ht="12.75" hidden="false" customHeight="true" outlineLevel="0" collapsed="false"/>
    <row r="62212" customFormat="false" ht="12.75" hidden="false" customHeight="true" outlineLevel="0" collapsed="false"/>
    <row r="62213" customFormat="false" ht="12.75" hidden="false" customHeight="true" outlineLevel="0" collapsed="false"/>
    <row r="62214" customFormat="false" ht="12.75" hidden="false" customHeight="true" outlineLevel="0" collapsed="false"/>
    <row r="62215" customFormat="false" ht="12.75" hidden="false" customHeight="true" outlineLevel="0" collapsed="false"/>
    <row r="62216" customFormat="false" ht="12.75" hidden="false" customHeight="true" outlineLevel="0" collapsed="false"/>
    <row r="62217" customFormat="false" ht="12.75" hidden="false" customHeight="true" outlineLevel="0" collapsed="false"/>
    <row r="62218" customFormat="false" ht="12.75" hidden="false" customHeight="true" outlineLevel="0" collapsed="false"/>
    <row r="62219" customFormat="false" ht="12.75" hidden="false" customHeight="true" outlineLevel="0" collapsed="false"/>
    <row r="62220" customFormat="false" ht="12.75" hidden="false" customHeight="true" outlineLevel="0" collapsed="false"/>
    <row r="62221" customFormat="false" ht="12.75" hidden="false" customHeight="true" outlineLevel="0" collapsed="false"/>
    <row r="62222" customFormat="false" ht="12.75" hidden="false" customHeight="true" outlineLevel="0" collapsed="false"/>
    <row r="62223" customFormat="false" ht="12.75" hidden="false" customHeight="true" outlineLevel="0" collapsed="false"/>
    <row r="62224" customFormat="false" ht="12.75" hidden="false" customHeight="true" outlineLevel="0" collapsed="false"/>
    <row r="62225" customFormat="false" ht="12.75" hidden="false" customHeight="true" outlineLevel="0" collapsed="false"/>
    <row r="62226" customFormat="false" ht="12.75" hidden="false" customHeight="true" outlineLevel="0" collapsed="false"/>
    <row r="62227" customFormat="false" ht="12.75" hidden="false" customHeight="true" outlineLevel="0" collapsed="false"/>
    <row r="62228" customFormat="false" ht="12.75" hidden="false" customHeight="true" outlineLevel="0" collapsed="false"/>
    <row r="62229" customFormat="false" ht="12.75" hidden="false" customHeight="true" outlineLevel="0" collapsed="false"/>
    <row r="62230" customFormat="false" ht="12.75" hidden="false" customHeight="true" outlineLevel="0" collapsed="false"/>
    <row r="62231" customFormat="false" ht="12.75" hidden="false" customHeight="true" outlineLevel="0" collapsed="false"/>
    <row r="62232" customFormat="false" ht="12.75" hidden="false" customHeight="true" outlineLevel="0" collapsed="false"/>
    <row r="62233" customFormat="false" ht="12.75" hidden="false" customHeight="true" outlineLevel="0" collapsed="false"/>
    <row r="62234" customFormat="false" ht="12.75" hidden="false" customHeight="true" outlineLevel="0" collapsed="false"/>
    <row r="62235" customFormat="false" ht="12.75" hidden="false" customHeight="true" outlineLevel="0" collapsed="false"/>
    <row r="62236" customFormat="false" ht="12.75" hidden="false" customHeight="true" outlineLevel="0" collapsed="false"/>
    <row r="62237" customFormat="false" ht="12.75" hidden="false" customHeight="true" outlineLevel="0" collapsed="false"/>
    <row r="62238" customFormat="false" ht="12.75" hidden="false" customHeight="true" outlineLevel="0" collapsed="false"/>
    <row r="62239" customFormat="false" ht="12.75" hidden="false" customHeight="true" outlineLevel="0" collapsed="false"/>
    <row r="62240" customFormat="false" ht="12.75" hidden="false" customHeight="true" outlineLevel="0" collapsed="false"/>
    <row r="62241" customFormat="false" ht="12.75" hidden="false" customHeight="true" outlineLevel="0" collapsed="false"/>
    <row r="62242" customFormat="false" ht="12.75" hidden="false" customHeight="true" outlineLevel="0" collapsed="false"/>
    <row r="62243" customFormat="false" ht="12.75" hidden="false" customHeight="true" outlineLevel="0" collapsed="false"/>
    <row r="62244" customFormat="false" ht="12.75" hidden="false" customHeight="true" outlineLevel="0" collapsed="false"/>
    <row r="62245" customFormat="false" ht="12.75" hidden="false" customHeight="true" outlineLevel="0" collapsed="false"/>
    <row r="62246" customFormat="false" ht="12.75" hidden="false" customHeight="true" outlineLevel="0" collapsed="false"/>
    <row r="62247" customFormat="false" ht="12.75" hidden="false" customHeight="true" outlineLevel="0" collapsed="false"/>
    <row r="62248" customFormat="false" ht="12.75" hidden="false" customHeight="true" outlineLevel="0" collapsed="false"/>
    <row r="62249" customFormat="false" ht="12.75" hidden="false" customHeight="true" outlineLevel="0" collapsed="false"/>
    <row r="62250" customFormat="false" ht="12.75" hidden="false" customHeight="true" outlineLevel="0" collapsed="false"/>
    <row r="62251" customFormat="false" ht="12.75" hidden="false" customHeight="true" outlineLevel="0" collapsed="false"/>
    <row r="62252" customFormat="false" ht="12.75" hidden="false" customHeight="true" outlineLevel="0" collapsed="false"/>
    <row r="62253" customFormat="false" ht="12.75" hidden="false" customHeight="true" outlineLevel="0" collapsed="false"/>
    <row r="62254" customFormat="false" ht="12.75" hidden="false" customHeight="true" outlineLevel="0" collapsed="false"/>
    <row r="62255" customFormat="false" ht="12.75" hidden="false" customHeight="true" outlineLevel="0" collapsed="false"/>
    <row r="62256" customFormat="false" ht="12.75" hidden="false" customHeight="true" outlineLevel="0" collapsed="false"/>
    <row r="62257" customFormat="false" ht="12.75" hidden="false" customHeight="true" outlineLevel="0" collapsed="false"/>
    <row r="62258" customFormat="false" ht="12.75" hidden="false" customHeight="true" outlineLevel="0" collapsed="false"/>
    <row r="62259" customFormat="false" ht="12.75" hidden="false" customHeight="true" outlineLevel="0" collapsed="false"/>
    <row r="62260" customFormat="false" ht="12.75" hidden="false" customHeight="true" outlineLevel="0" collapsed="false"/>
    <row r="62261" customFormat="false" ht="12.75" hidden="false" customHeight="true" outlineLevel="0" collapsed="false"/>
    <row r="62262" customFormat="false" ht="12.75" hidden="false" customHeight="true" outlineLevel="0" collapsed="false"/>
    <row r="62263" customFormat="false" ht="12.75" hidden="false" customHeight="true" outlineLevel="0" collapsed="false"/>
    <row r="62264" customFormat="false" ht="12.75" hidden="false" customHeight="true" outlineLevel="0" collapsed="false"/>
    <row r="62265" customFormat="false" ht="12.75" hidden="false" customHeight="true" outlineLevel="0" collapsed="false"/>
    <row r="62266" customFormat="false" ht="12.75" hidden="false" customHeight="true" outlineLevel="0" collapsed="false"/>
    <row r="62267" customFormat="false" ht="12.75" hidden="false" customHeight="true" outlineLevel="0" collapsed="false"/>
    <row r="62268" customFormat="false" ht="12.75" hidden="false" customHeight="true" outlineLevel="0" collapsed="false"/>
    <row r="62269" customFormat="false" ht="12.75" hidden="false" customHeight="true" outlineLevel="0" collapsed="false"/>
    <row r="62270" customFormat="false" ht="12.75" hidden="false" customHeight="true" outlineLevel="0" collapsed="false"/>
    <row r="62271" customFormat="false" ht="12.75" hidden="false" customHeight="true" outlineLevel="0" collapsed="false"/>
    <row r="62272" customFormat="false" ht="12.75" hidden="false" customHeight="true" outlineLevel="0" collapsed="false"/>
    <row r="62273" customFormat="false" ht="12.75" hidden="false" customHeight="true" outlineLevel="0" collapsed="false"/>
    <row r="62274" customFormat="false" ht="12.75" hidden="false" customHeight="true" outlineLevel="0" collapsed="false"/>
    <row r="62275" customFormat="false" ht="12.75" hidden="false" customHeight="true" outlineLevel="0" collapsed="false"/>
    <row r="62276" customFormat="false" ht="12.75" hidden="false" customHeight="true" outlineLevel="0" collapsed="false"/>
    <row r="62277" customFormat="false" ht="12.75" hidden="false" customHeight="true" outlineLevel="0" collapsed="false"/>
    <row r="62278" customFormat="false" ht="12.75" hidden="false" customHeight="true" outlineLevel="0" collapsed="false"/>
    <row r="62279" customFormat="false" ht="12.75" hidden="false" customHeight="true" outlineLevel="0" collapsed="false"/>
    <row r="62280" customFormat="false" ht="12.75" hidden="false" customHeight="true" outlineLevel="0" collapsed="false"/>
    <row r="62281" customFormat="false" ht="12.75" hidden="false" customHeight="true" outlineLevel="0" collapsed="false"/>
    <row r="62282" customFormat="false" ht="12.75" hidden="false" customHeight="true" outlineLevel="0" collapsed="false"/>
    <row r="62283" customFormat="false" ht="12.75" hidden="false" customHeight="true" outlineLevel="0" collapsed="false"/>
    <row r="62284" customFormat="false" ht="12.75" hidden="false" customHeight="true" outlineLevel="0" collapsed="false"/>
    <row r="62285" customFormat="false" ht="12.75" hidden="false" customHeight="true" outlineLevel="0" collapsed="false"/>
    <row r="62286" customFormat="false" ht="12.75" hidden="false" customHeight="true" outlineLevel="0" collapsed="false"/>
    <row r="62287" customFormat="false" ht="12.75" hidden="false" customHeight="true" outlineLevel="0" collapsed="false"/>
    <row r="62288" customFormat="false" ht="12.75" hidden="false" customHeight="true" outlineLevel="0" collapsed="false"/>
    <row r="62289" customFormat="false" ht="12.75" hidden="false" customHeight="true" outlineLevel="0" collapsed="false"/>
    <row r="62290" customFormat="false" ht="12.75" hidden="false" customHeight="true" outlineLevel="0" collapsed="false"/>
    <row r="62291" customFormat="false" ht="12.75" hidden="false" customHeight="true" outlineLevel="0" collapsed="false"/>
    <row r="62292" customFormat="false" ht="12.75" hidden="false" customHeight="true" outlineLevel="0" collapsed="false"/>
    <row r="62293" customFormat="false" ht="12.75" hidden="false" customHeight="true" outlineLevel="0" collapsed="false"/>
    <row r="62294" customFormat="false" ht="12.75" hidden="false" customHeight="true" outlineLevel="0" collapsed="false"/>
    <row r="62295" customFormat="false" ht="12.75" hidden="false" customHeight="true" outlineLevel="0" collapsed="false"/>
    <row r="62296" customFormat="false" ht="12.75" hidden="false" customHeight="true" outlineLevel="0" collapsed="false"/>
    <row r="62297" customFormat="false" ht="12.75" hidden="false" customHeight="true" outlineLevel="0" collapsed="false"/>
    <row r="62298" customFormat="false" ht="12.75" hidden="false" customHeight="true" outlineLevel="0" collapsed="false"/>
    <row r="62299" customFormat="false" ht="12.75" hidden="false" customHeight="true" outlineLevel="0" collapsed="false"/>
    <row r="62300" customFormat="false" ht="12.75" hidden="false" customHeight="true" outlineLevel="0" collapsed="false"/>
    <row r="62301" customFormat="false" ht="12.75" hidden="false" customHeight="true" outlineLevel="0" collapsed="false"/>
    <row r="62302" customFormat="false" ht="12.75" hidden="false" customHeight="true" outlineLevel="0" collapsed="false"/>
    <row r="62303" customFormat="false" ht="12.75" hidden="false" customHeight="true" outlineLevel="0" collapsed="false"/>
    <row r="62304" customFormat="false" ht="12.75" hidden="false" customHeight="true" outlineLevel="0" collapsed="false"/>
    <row r="62305" customFormat="false" ht="12.75" hidden="false" customHeight="true" outlineLevel="0" collapsed="false"/>
    <row r="62306" customFormat="false" ht="12.75" hidden="false" customHeight="true" outlineLevel="0" collapsed="false"/>
    <row r="62307" customFormat="false" ht="12.75" hidden="false" customHeight="true" outlineLevel="0" collapsed="false"/>
    <row r="62308" customFormat="false" ht="12.75" hidden="false" customHeight="true" outlineLevel="0" collapsed="false"/>
    <row r="62309" customFormat="false" ht="12.75" hidden="false" customHeight="true" outlineLevel="0" collapsed="false"/>
    <row r="62310" customFormat="false" ht="12.75" hidden="false" customHeight="true" outlineLevel="0" collapsed="false"/>
    <row r="62311" customFormat="false" ht="12.75" hidden="false" customHeight="true" outlineLevel="0" collapsed="false"/>
    <row r="62312" customFormat="false" ht="12.75" hidden="false" customHeight="true" outlineLevel="0" collapsed="false"/>
    <row r="62313" customFormat="false" ht="12.75" hidden="false" customHeight="true" outlineLevel="0" collapsed="false"/>
    <row r="62314" customFormat="false" ht="12.75" hidden="false" customHeight="true" outlineLevel="0" collapsed="false"/>
    <row r="62315" customFormat="false" ht="12.75" hidden="false" customHeight="true" outlineLevel="0" collapsed="false"/>
    <row r="62316" customFormat="false" ht="12.75" hidden="false" customHeight="true" outlineLevel="0" collapsed="false"/>
    <row r="62317" customFormat="false" ht="12.75" hidden="false" customHeight="true" outlineLevel="0" collapsed="false"/>
    <row r="62318" customFormat="false" ht="12.75" hidden="false" customHeight="true" outlineLevel="0" collapsed="false"/>
    <row r="62319" customFormat="false" ht="12.75" hidden="false" customHeight="true" outlineLevel="0" collapsed="false"/>
    <row r="62320" customFormat="false" ht="12.75" hidden="false" customHeight="true" outlineLevel="0" collapsed="false"/>
    <row r="62321" customFormat="false" ht="12.75" hidden="false" customHeight="true" outlineLevel="0" collapsed="false"/>
    <row r="62322" customFormat="false" ht="12.75" hidden="false" customHeight="true" outlineLevel="0" collapsed="false"/>
    <row r="62323" customFormat="false" ht="12.75" hidden="false" customHeight="true" outlineLevel="0" collapsed="false"/>
    <row r="62324" customFormat="false" ht="12.75" hidden="false" customHeight="true" outlineLevel="0" collapsed="false"/>
    <row r="62325" customFormat="false" ht="12.75" hidden="false" customHeight="true" outlineLevel="0" collapsed="false"/>
    <row r="62326" customFormat="false" ht="12.75" hidden="false" customHeight="true" outlineLevel="0" collapsed="false"/>
    <row r="62327" customFormat="false" ht="12.75" hidden="false" customHeight="true" outlineLevel="0" collapsed="false"/>
    <row r="62328" customFormat="false" ht="12.75" hidden="false" customHeight="true" outlineLevel="0" collapsed="false"/>
    <row r="62329" customFormat="false" ht="12.75" hidden="false" customHeight="true" outlineLevel="0" collapsed="false"/>
    <row r="62330" customFormat="false" ht="12.75" hidden="false" customHeight="true" outlineLevel="0" collapsed="false"/>
    <row r="62331" customFormat="false" ht="12.75" hidden="false" customHeight="true" outlineLevel="0" collapsed="false"/>
    <row r="62332" customFormat="false" ht="12.75" hidden="false" customHeight="true" outlineLevel="0" collapsed="false"/>
    <row r="62333" customFormat="false" ht="12.75" hidden="false" customHeight="true" outlineLevel="0" collapsed="false"/>
    <row r="62334" customFormat="false" ht="12.75" hidden="false" customHeight="true" outlineLevel="0" collapsed="false"/>
    <row r="62335" customFormat="false" ht="12.75" hidden="false" customHeight="true" outlineLevel="0" collapsed="false"/>
    <row r="62336" customFormat="false" ht="12.75" hidden="false" customHeight="true" outlineLevel="0" collapsed="false"/>
    <row r="62337" customFormat="false" ht="12.75" hidden="false" customHeight="true" outlineLevel="0" collapsed="false"/>
    <row r="62338" customFormat="false" ht="12.75" hidden="false" customHeight="true" outlineLevel="0" collapsed="false"/>
    <row r="62339" customFormat="false" ht="12.75" hidden="false" customHeight="true" outlineLevel="0" collapsed="false"/>
    <row r="62340" customFormat="false" ht="12.75" hidden="false" customHeight="true" outlineLevel="0" collapsed="false"/>
    <row r="62341" customFormat="false" ht="12.75" hidden="false" customHeight="true" outlineLevel="0" collapsed="false"/>
    <row r="62342" customFormat="false" ht="12.75" hidden="false" customHeight="true" outlineLevel="0" collapsed="false"/>
    <row r="62343" customFormat="false" ht="12.75" hidden="false" customHeight="true" outlineLevel="0" collapsed="false"/>
    <row r="62344" customFormat="false" ht="12.75" hidden="false" customHeight="true" outlineLevel="0" collapsed="false"/>
    <row r="62345" customFormat="false" ht="12.75" hidden="false" customHeight="true" outlineLevel="0" collapsed="false"/>
    <row r="62346" customFormat="false" ht="12.75" hidden="false" customHeight="true" outlineLevel="0" collapsed="false"/>
    <row r="62347" customFormat="false" ht="12.75" hidden="false" customHeight="true" outlineLevel="0" collapsed="false"/>
    <row r="62348" customFormat="false" ht="12.75" hidden="false" customHeight="true" outlineLevel="0" collapsed="false"/>
    <row r="62349" customFormat="false" ht="12.75" hidden="false" customHeight="true" outlineLevel="0" collapsed="false"/>
    <row r="62350" customFormat="false" ht="12.75" hidden="false" customHeight="true" outlineLevel="0" collapsed="false"/>
    <row r="62351" customFormat="false" ht="12.75" hidden="false" customHeight="true" outlineLevel="0" collapsed="false"/>
    <row r="62352" customFormat="false" ht="12.75" hidden="false" customHeight="true" outlineLevel="0" collapsed="false"/>
    <row r="62353" customFormat="false" ht="12.75" hidden="false" customHeight="true" outlineLevel="0" collapsed="false"/>
    <row r="62354" customFormat="false" ht="12.75" hidden="false" customHeight="true" outlineLevel="0" collapsed="false"/>
    <row r="62355" customFormat="false" ht="12.75" hidden="false" customHeight="true" outlineLevel="0" collapsed="false"/>
    <row r="62356" customFormat="false" ht="12.75" hidden="false" customHeight="true" outlineLevel="0" collapsed="false"/>
    <row r="62357" customFormat="false" ht="12.75" hidden="false" customHeight="true" outlineLevel="0" collapsed="false"/>
    <row r="62358" customFormat="false" ht="12.75" hidden="false" customHeight="true" outlineLevel="0" collapsed="false"/>
    <row r="62359" customFormat="false" ht="12.75" hidden="false" customHeight="true" outlineLevel="0" collapsed="false"/>
    <row r="62360" customFormat="false" ht="12.75" hidden="false" customHeight="true" outlineLevel="0" collapsed="false"/>
    <row r="62361" customFormat="false" ht="12.75" hidden="false" customHeight="true" outlineLevel="0" collapsed="false"/>
    <row r="62362" customFormat="false" ht="12.75" hidden="false" customHeight="true" outlineLevel="0" collapsed="false"/>
    <row r="62363" customFormat="false" ht="12.75" hidden="false" customHeight="true" outlineLevel="0" collapsed="false"/>
    <row r="62364" customFormat="false" ht="12.75" hidden="false" customHeight="true" outlineLevel="0" collapsed="false"/>
    <row r="62365" customFormat="false" ht="12.75" hidden="false" customHeight="true" outlineLevel="0" collapsed="false"/>
    <row r="62366" customFormat="false" ht="12.75" hidden="false" customHeight="true" outlineLevel="0" collapsed="false"/>
    <row r="62367" customFormat="false" ht="12.75" hidden="false" customHeight="true" outlineLevel="0" collapsed="false"/>
    <row r="62368" customFormat="false" ht="12.75" hidden="false" customHeight="true" outlineLevel="0" collapsed="false"/>
    <row r="62369" customFormat="false" ht="12.75" hidden="false" customHeight="true" outlineLevel="0" collapsed="false"/>
    <row r="62370" customFormat="false" ht="12.75" hidden="false" customHeight="true" outlineLevel="0" collapsed="false"/>
    <row r="62371" customFormat="false" ht="12.75" hidden="false" customHeight="true" outlineLevel="0" collapsed="false"/>
    <row r="62372" customFormat="false" ht="12.75" hidden="false" customHeight="true" outlineLevel="0" collapsed="false"/>
    <row r="62373" customFormat="false" ht="12.75" hidden="false" customHeight="true" outlineLevel="0" collapsed="false"/>
    <row r="62374" customFormat="false" ht="12.75" hidden="false" customHeight="true" outlineLevel="0" collapsed="false"/>
    <row r="62375" customFormat="false" ht="12.75" hidden="false" customHeight="true" outlineLevel="0" collapsed="false"/>
    <row r="62376" customFormat="false" ht="12.75" hidden="false" customHeight="true" outlineLevel="0" collapsed="false"/>
    <row r="62377" customFormat="false" ht="12.75" hidden="false" customHeight="true" outlineLevel="0" collapsed="false"/>
    <row r="62378" customFormat="false" ht="12.75" hidden="false" customHeight="true" outlineLevel="0" collapsed="false"/>
    <row r="62379" customFormat="false" ht="12.75" hidden="false" customHeight="true" outlineLevel="0" collapsed="false"/>
    <row r="62380" customFormat="false" ht="12.75" hidden="false" customHeight="true" outlineLevel="0" collapsed="false"/>
    <row r="62381" customFormat="false" ht="12.75" hidden="false" customHeight="true" outlineLevel="0" collapsed="false"/>
    <row r="62382" customFormat="false" ht="12.75" hidden="false" customHeight="true" outlineLevel="0" collapsed="false"/>
    <row r="62383" customFormat="false" ht="12.75" hidden="false" customHeight="true" outlineLevel="0" collapsed="false"/>
    <row r="62384" customFormat="false" ht="12.75" hidden="false" customHeight="true" outlineLevel="0" collapsed="false"/>
    <row r="62385" customFormat="false" ht="12.75" hidden="false" customHeight="true" outlineLevel="0" collapsed="false"/>
    <row r="62386" customFormat="false" ht="12.75" hidden="false" customHeight="true" outlineLevel="0" collapsed="false"/>
    <row r="62387" customFormat="false" ht="12.75" hidden="false" customHeight="true" outlineLevel="0" collapsed="false"/>
    <row r="62388" customFormat="false" ht="12.75" hidden="false" customHeight="true" outlineLevel="0" collapsed="false"/>
    <row r="62389" customFormat="false" ht="12.75" hidden="false" customHeight="true" outlineLevel="0" collapsed="false"/>
    <row r="62390" customFormat="false" ht="12.75" hidden="false" customHeight="true" outlineLevel="0" collapsed="false"/>
    <row r="62391" customFormat="false" ht="12.75" hidden="false" customHeight="true" outlineLevel="0" collapsed="false"/>
    <row r="62392" customFormat="false" ht="12.75" hidden="false" customHeight="true" outlineLevel="0" collapsed="false"/>
    <row r="62393" customFormat="false" ht="12.75" hidden="false" customHeight="true" outlineLevel="0" collapsed="false"/>
    <row r="62394" customFormat="false" ht="12.75" hidden="false" customHeight="true" outlineLevel="0" collapsed="false"/>
    <row r="62395" customFormat="false" ht="12.75" hidden="false" customHeight="true" outlineLevel="0" collapsed="false"/>
    <row r="62396" customFormat="false" ht="12.75" hidden="false" customHeight="true" outlineLevel="0" collapsed="false"/>
    <row r="62397" customFormat="false" ht="12.75" hidden="false" customHeight="true" outlineLevel="0" collapsed="false"/>
    <row r="62398" customFormat="false" ht="12.75" hidden="false" customHeight="true" outlineLevel="0" collapsed="false"/>
    <row r="62399" customFormat="false" ht="12.75" hidden="false" customHeight="true" outlineLevel="0" collapsed="false"/>
    <row r="62400" customFormat="false" ht="12.75" hidden="false" customHeight="true" outlineLevel="0" collapsed="false"/>
    <row r="62401" customFormat="false" ht="12.75" hidden="false" customHeight="true" outlineLevel="0" collapsed="false"/>
    <row r="62402" customFormat="false" ht="12.75" hidden="false" customHeight="true" outlineLevel="0" collapsed="false"/>
    <row r="62403" customFormat="false" ht="12.75" hidden="false" customHeight="true" outlineLevel="0" collapsed="false"/>
    <row r="62404" customFormat="false" ht="12.75" hidden="false" customHeight="true" outlineLevel="0" collapsed="false"/>
    <row r="62405" customFormat="false" ht="12.75" hidden="false" customHeight="true" outlineLevel="0" collapsed="false"/>
    <row r="62406" customFormat="false" ht="12.75" hidden="false" customHeight="true" outlineLevel="0" collapsed="false"/>
    <row r="62407" customFormat="false" ht="12.75" hidden="false" customHeight="true" outlineLevel="0" collapsed="false"/>
    <row r="62408" customFormat="false" ht="12.75" hidden="false" customHeight="true" outlineLevel="0" collapsed="false"/>
    <row r="62409" customFormat="false" ht="12.75" hidden="false" customHeight="true" outlineLevel="0" collapsed="false"/>
    <row r="62410" customFormat="false" ht="12.75" hidden="false" customHeight="true" outlineLevel="0" collapsed="false"/>
    <row r="62411" customFormat="false" ht="12.75" hidden="false" customHeight="true" outlineLevel="0" collapsed="false"/>
    <row r="62412" customFormat="false" ht="12.75" hidden="false" customHeight="true" outlineLevel="0" collapsed="false"/>
    <row r="62413" customFormat="false" ht="12.75" hidden="false" customHeight="true" outlineLevel="0" collapsed="false"/>
    <row r="62414" customFormat="false" ht="12.75" hidden="false" customHeight="true" outlineLevel="0" collapsed="false"/>
    <row r="62415" customFormat="false" ht="12.75" hidden="false" customHeight="true" outlineLevel="0" collapsed="false"/>
    <row r="62416" customFormat="false" ht="12.75" hidden="false" customHeight="true" outlineLevel="0" collapsed="false"/>
    <row r="62417" customFormat="false" ht="12.75" hidden="false" customHeight="true" outlineLevel="0" collapsed="false"/>
    <row r="62418" customFormat="false" ht="12.75" hidden="false" customHeight="true" outlineLevel="0" collapsed="false"/>
    <row r="62419" customFormat="false" ht="12.75" hidden="false" customHeight="true" outlineLevel="0" collapsed="false"/>
    <row r="62420" customFormat="false" ht="12.75" hidden="false" customHeight="true" outlineLevel="0" collapsed="false"/>
    <row r="62421" customFormat="false" ht="12.75" hidden="false" customHeight="true" outlineLevel="0" collapsed="false"/>
    <row r="62422" customFormat="false" ht="12.75" hidden="false" customHeight="true" outlineLevel="0" collapsed="false"/>
    <row r="62423" customFormat="false" ht="12.75" hidden="false" customHeight="true" outlineLevel="0" collapsed="false"/>
    <row r="62424" customFormat="false" ht="12.75" hidden="false" customHeight="true" outlineLevel="0" collapsed="false"/>
    <row r="62425" customFormat="false" ht="12.75" hidden="false" customHeight="true" outlineLevel="0" collapsed="false"/>
    <row r="62426" customFormat="false" ht="12.75" hidden="false" customHeight="true" outlineLevel="0" collapsed="false"/>
    <row r="62427" customFormat="false" ht="12.75" hidden="false" customHeight="true" outlineLevel="0" collapsed="false"/>
    <row r="62428" customFormat="false" ht="12.75" hidden="false" customHeight="true" outlineLevel="0" collapsed="false"/>
    <row r="62429" customFormat="false" ht="12.75" hidden="false" customHeight="true" outlineLevel="0" collapsed="false"/>
    <row r="62430" customFormat="false" ht="12.75" hidden="false" customHeight="true" outlineLevel="0" collapsed="false"/>
    <row r="62431" customFormat="false" ht="12.75" hidden="false" customHeight="true" outlineLevel="0" collapsed="false"/>
    <row r="62432" customFormat="false" ht="12.75" hidden="false" customHeight="true" outlineLevel="0" collapsed="false"/>
    <row r="62433" customFormat="false" ht="12.75" hidden="false" customHeight="true" outlineLevel="0" collapsed="false"/>
    <row r="62434" customFormat="false" ht="12.75" hidden="false" customHeight="true" outlineLevel="0" collapsed="false"/>
    <row r="62435" customFormat="false" ht="12.75" hidden="false" customHeight="true" outlineLevel="0" collapsed="false"/>
    <row r="62436" customFormat="false" ht="12.75" hidden="false" customHeight="true" outlineLevel="0" collapsed="false"/>
    <row r="62437" customFormat="false" ht="12.75" hidden="false" customHeight="true" outlineLevel="0" collapsed="false"/>
    <row r="62438" customFormat="false" ht="12.75" hidden="false" customHeight="true" outlineLevel="0" collapsed="false"/>
    <row r="62439" customFormat="false" ht="12.75" hidden="false" customHeight="true" outlineLevel="0" collapsed="false"/>
    <row r="62440" customFormat="false" ht="12.75" hidden="false" customHeight="true" outlineLevel="0" collapsed="false"/>
    <row r="62441" customFormat="false" ht="12.75" hidden="false" customHeight="true" outlineLevel="0" collapsed="false"/>
    <row r="62442" customFormat="false" ht="12.75" hidden="false" customHeight="true" outlineLevel="0" collapsed="false"/>
    <row r="62443" customFormat="false" ht="12.75" hidden="false" customHeight="true" outlineLevel="0" collapsed="false"/>
    <row r="62444" customFormat="false" ht="12.75" hidden="false" customHeight="true" outlineLevel="0" collapsed="false"/>
    <row r="62445" customFormat="false" ht="12.75" hidden="false" customHeight="true" outlineLevel="0" collapsed="false"/>
    <row r="62446" customFormat="false" ht="12.75" hidden="false" customHeight="true" outlineLevel="0" collapsed="false"/>
    <row r="62447" customFormat="false" ht="12.75" hidden="false" customHeight="true" outlineLevel="0" collapsed="false"/>
    <row r="62448" customFormat="false" ht="12.75" hidden="false" customHeight="true" outlineLevel="0" collapsed="false"/>
    <row r="62449" customFormat="false" ht="12.75" hidden="false" customHeight="true" outlineLevel="0" collapsed="false"/>
    <row r="62450" customFormat="false" ht="12.75" hidden="false" customHeight="true" outlineLevel="0" collapsed="false"/>
    <row r="62451" customFormat="false" ht="12.75" hidden="false" customHeight="true" outlineLevel="0" collapsed="false"/>
    <row r="62452" customFormat="false" ht="12.75" hidden="false" customHeight="true" outlineLevel="0" collapsed="false"/>
    <row r="62453" customFormat="false" ht="12.75" hidden="false" customHeight="true" outlineLevel="0" collapsed="false"/>
    <row r="62454" customFormat="false" ht="12.75" hidden="false" customHeight="true" outlineLevel="0" collapsed="false"/>
    <row r="62455" customFormat="false" ht="12.75" hidden="false" customHeight="true" outlineLevel="0" collapsed="false"/>
    <row r="62456" customFormat="false" ht="12.75" hidden="false" customHeight="true" outlineLevel="0" collapsed="false"/>
    <row r="62457" customFormat="false" ht="12.75" hidden="false" customHeight="true" outlineLevel="0" collapsed="false"/>
    <row r="62458" customFormat="false" ht="12.75" hidden="false" customHeight="true" outlineLevel="0" collapsed="false"/>
    <row r="62459" customFormat="false" ht="12.75" hidden="false" customHeight="true" outlineLevel="0" collapsed="false"/>
    <row r="62460" customFormat="false" ht="12.75" hidden="false" customHeight="true" outlineLevel="0" collapsed="false"/>
    <row r="62461" customFormat="false" ht="12.75" hidden="false" customHeight="true" outlineLevel="0" collapsed="false"/>
    <row r="62462" customFormat="false" ht="12.75" hidden="false" customHeight="true" outlineLevel="0" collapsed="false"/>
    <row r="62463" customFormat="false" ht="12.75" hidden="false" customHeight="true" outlineLevel="0" collapsed="false"/>
    <row r="62464" customFormat="false" ht="12.75" hidden="false" customHeight="true" outlineLevel="0" collapsed="false"/>
    <row r="62465" customFormat="false" ht="12.75" hidden="false" customHeight="true" outlineLevel="0" collapsed="false"/>
    <row r="62466" customFormat="false" ht="12.75" hidden="false" customHeight="true" outlineLevel="0" collapsed="false"/>
    <row r="62467" customFormat="false" ht="12.75" hidden="false" customHeight="true" outlineLevel="0" collapsed="false"/>
    <row r="62468" customFormat="false" ht="12.75" hidden="false" customHeight="true" outlineLevel="0" collapsed="false"/>
    <row r="62469" customFormat="false" ht="12.75" hidden="false" customHeight="true" outlineLevel="0" collapsed="false"/>
    <row r="62470" customFormat="false" ht="12.75" hidden="false" customHeight="true" outlineLevel="0" collapsed="false"/>
    <row r="62471" customFormat="false" ht="12.75" hidden="false" customHeight="true" outlineLevel="0" collapsed="false"/>
    <row r="62472" customFormat="false" ht="12.75" hidden="false" customHeight="true" outlineLevel="0" collapsed="false"/>
    <row r="62473" customFormat="false" ht="12.75" hidden="false" customHeight="true" outlineLevel="0" collapsed="false"/>
    <row r="62474" customFormat="false" ht="12.75" hidden="false" customHeight="true" outlineLevel="0" collapsed="false"/>
    <row r="62475" customFormat="false" ht="12.75" hidden="false" customHeight="true" outlineLevel="0" collapsed="false"/>
    <row r="62476" customFormat="false" ht="12.75" hidden="false" customHeight="true" outlineLevel="0" collapsed="false"/>
    <row r="62477" customFormat="false" ht="12.75" hidden="false" customHeight="true" outlineLevel="0" collapsed="false"/>
    <row r="62478" customFormat="false" ht="12.75" hidden="false" customHeight="true" outlineLevel="0" collapsed="false"/>
    <row r="62479" customFormat="false" ht="12.75" hidden="false" customHeight="true" outlineLevel="0" collapsed="false"/>
    <row r="62480" customFormat="false" ht="12.75" hidden="false" customHeight="true" outlineLevel="0" collapsed="false"/>
    <row r="62481" customFormat="false" ht="12.75" hidden="false" customHeight="true" outlineLevel="0" collapsed="false"/>
    <row r="62482" customFormat="false" ht="12.75" hidden="false" customHeight="true" outlineLevel="0" collapsed="false"/>
    <row r="62483" customFormat="false" ht="12.75" hidden="false" customHeight="true" outlineLevel="0" collapsed="false"/>
    <row r="62484" customFormat="false" ht="12.75" hidden="false" customHeight="true" outlineLevel="0" collapsed="false"/>
    <row r="62485" customFormat="false" ht="12.75" hidden="false" customHeight="true" outlineLevel="0" collapsed="false"/>
    <row r="62486" customFormat="false" ht="12.75" hidden="false" customHeight="true" outlineLevel="0" collapsed="false"/>
    <row r="62487" customFormat="false" ht="12.75" hidden="false" customHeight="true" outlineLevel="0" collapsed="false"/>
    <row r="62488" customFormat="false" ht="12.75" hidden="false" customHeight="true" outlineLevel="0" collapsed="false"/>
    <row r="62489" customFormat="false" ht="12.75" hidden="false" customHeight="true" outlineLevel="0" collapsed="false"/>
    <row r="62490" customFormat="false" ht="12.75" hidden="false" customHeight="true" outlineLevel="0" collapsed="false"/>
    <row r="62491" customFormat="false" ht="12.75" hidden="false" customHeight="true" outlineLevel="0" collapsed="false"/>
    <row r="62492" customFormat="false" ht="12.75" hidden="false" customHeight="true" outlineLevel="0" collapsed="false"/>
    <row r="62493" customFormat="false" ht="12.75" hidden="false" customHeight="true" outlineLevel="0" collapsed="false"/>
    <row r="62494" customFormat="false" ht="12.75" hidden="false" customHeight="true" outlineLevel="0" collapsed="false"/>
    <row r="62495" customFormat="false" ht="12.75" hidden="false" customHeight="true" outlineLevel="0" collapsed="false"/>
    <row r="62496" customFormat="false" ht="12.75" hidden="false" customHeight="true" outlineLevel="0" collapsed="false"/>
    <row r="62497" customFormat="false" ht="12.75" hidden="false" customHeight="true" outlineLevel="0" collapsed="false"/>
    <row r="62498" customFormat="false" ht="12.75" hidden="false" customHeight="true" outlineLevel="0" collapsed="false"/>
    <row r="62499" customFormat="false" ht="12.75" hidden="false" customHeight="true" outlineLevel="0" collapsed="false"/>
    <row r="62500" customFormat="false" ht="12.75" hidden="false" customHeight="true" outlineLevel="0" collapsed="false"/>
    <row r="62501" customFormat="false" ht="12.75" hidden="false" customHeight="true" outlineLevel="0" collapsed="false"/>
    <row r="62502" customFormat="false" ht="12.75" hidden="false" customHeight="true" outlineLevel="0" collapsed="false"/>
    <row r="62503" customFormat="false" ht="12.75" hidden="false" customHeight="true" outlineLevel="0" collapsed="false"/>
    <row r="62504" customFormat="false" ht="12.75" hidden="false" customHeight="true" outlineLevel="0" collapsed="false"/>
    <row r="62505" customFormat="false" ht="12.75" hidden="false" customHeight="true" outlineLevel="0" collapsed="false"/>
    <row r="62506" customFormat="false" ht="12.75" hidden="false" customHeight="true" outlineLevel="0" collapsed="false"/>
    <row r="62507" customFormat="false" ht="12.75" hidden="false" customHeight="true" outlineLevel="0" collapsed="false"/>
    <row r="62508" customFormat="false" ht="12.75" hidden="false" customHeight="true" outlineLevel="0" collapsed="false"/>
    <row r="62509" customFormat="false" ht="12.75" hidden="false" customHeight="true" outlineLevel="0" collapsed="false"/>
    <row r="62510" customFormat="false" ht="12.75" hidden="false" customHeight="true" outlineLevel="0" collapsed="false"/>
    <row r="62511" customFormat="false" ht="12.75" hidden="false" customHeight="true" outlineLevel="0" collapsed="false"/>
    <row r="62512" customFormat="false" ht="12.75" hidden="false" customHeight="true" outlineLevel="0" collapsed="false"/>
    <row r="62513" customFormat="false" ht="12.75" hidden="false" customHeight="true" outlineLevel="0" collapsed="false"/>
    <row r="62514" customFormat="false" ht="12.75" hidden="false" customHeight="true" outlineLevel="0" collapsed="false"/>
    <row r="62515" customFormat="false" ht="12.75" hidden="false" customHeight="true" outlineLevel="0" collapsed="false"/>
    <row r="62516" customFormat="false" ht="12.75" hidden="false" customHeight="true" outlineLevel="0" collapsed="false"/>
    <row r="62517" customFormat="false" ht="12.75" hidden="false" customHeight="true" outlineLevel="0" collapsed="false"/>
    <row r="62518" customFormat="false" ht="12.75" hidden="false" customHeight="true" outlineLevel="0" collapsed="false"/>
    <row r="62519" customFormat="false" ht="12.75" hidden="false" customHeight="true" outlineLevel="0" collapsed="false"/>
    <row r="62520" customFormat="false" ht="12.75" hidden="false" customHeight="true" outlineLevel="0" collapsed="false"/>
    <row r="62521" customFormat="false" ht="12.75" hidden="false" customHeight="true" outlineLevel="0" collapsed="false"/>
    <row r="62522" customFormat="false" ht="12.75" hidden="false" customHeight="true" outlineLevel="0" collapsed="false"/>
    <row r="62523" customFormat="false" ht="12.75" hidden="false" customHeight="true" outlineLevel="0" collapsed="false"/>
    <row r="62524" customFormat="false" ht="12.75" hidden="false" customHeight="true" outlineLevel="0" collapsed="false"/>
    <row r="62525" customFormat="false" ht="12.75" hidden="false" customHeight="true" outlineLevel="0" collapsed="false"/>
    <row r="62526" customFormat="false" ht="12.75" hidden="false" customHeight="true" outlineLevel="0" collapsed="false"/>
    <row r="62527" customFormat="false" ht="12.75" hidden="false" customHeight="true" outlineLevel="0" collapsed="false"/>
    <row r="62528" customFormat="false" ht="12.75" hidden="false" customHeight="true" outlineLevel="0" collapsed="false"/>
    <row r="62529" customFormat="false" ht="12.75" hidden="false" customHeight="true" outlineLevel="0" collapsed="false"/>
    <row r="62530" customFormat="false" ht="12.75" hidden="false" customHeight="true" outlineLevel="0" collapsed="false"/>
    <row r="62531" customFormat="false" ht="12.75" hidden="false" customHeight="true" outlineLevel="0" collapsed="false"/>
    <row r="62532" customFormat="false" ht="12.75" hidden="false" customHeight="true" outlineLevel="0" collapsed="false"/>
    <row r="62533" customFormat="false" ht="12.75" hidden="false" customHeight="true" outlineLevel="0" collapsed="false"/>
    <row r="62534" customFormat="false" ht="12.75" hidden="false" customHeight="true" outlineLevel="0" collapsed="false"/>
    <row r="62535" customFormat="false" ht="12.75" hidden="false" customHeight="true" outlineLevel="0" collapsed="false"/>
    <row r="62536" customFormat="false" ht="12.75" hidden="false" customHeight="true" outlineLevel="0" collapsed="false"/>
    <row r="62537" customFormat="false" ht="12.75" hidden="false" customHeight="true" outlineLevel="0" collapsed="false"/>
    <row r="62538" customFormat="false" ht="12.75" hidden="false" customHeight="true" outlineLevel="0" collapsed="false"/>
    <row r="62539" customFormat="false" ht="12.75" hidden="false" customHeight="true" outlineLevel="0" collapsed="false"/>
    <row r="62540" customFormat="false" ht="12.75" hidden="false" customHeight="true" outlineLevel="0" collapsed="false"/>
    <row r="62541" customFormat="false" ht="12.75" hidden="false" customHeight="true" outlineLevel="0" collapsed="false"/>
    <row r="62542" customFormat="false" ht="12.75" hidden="false" customHeight="true" outlineLevel="0" collapsed="false"/>
    <row r="62543" customFormat="false" ht="12.75" hidden="false" customHeight="true" outlineLevel="0" collapsed="false"/>
    <row r="62544" customFormat="false" ht="12.75" hidden="false" customHeight="true" outlineLevel="0" collapsed="false"/>
    <row r="62545" customFormat="false" ht="12.75" hidden="false" customHeight="true" outlineLevel="0" collapsed="false"/>
    <row r="62546" customFormat="false" ht="12.75" hidden="false" customHeight="true" outlineLevel="0" collapsed="false"/>
    <row r="62547" customFormat="false" ht="12.75" hidden="false" customHeight="true" outlineLevel="0" collapsed="false"/>
    <row r="62548" customFormat="false" ht="12.75" hidden="false" customHeight="true" outlineLevel="0" collapsed="false"/>
    <row r="62549" customFormat="false" ht="12.75" hidden="false" customHeight="true" outlineLevel="0" collapsed="false"/>
    <row r="62550" customFormat="false" ht="12.75" hidden="false" customHeight="true" outlineLevel="0" collapsed="false"/>
    <row r="62551" customFormat="false" ht="12.75" hidden="false" customHeight="true" outlineLevel="0" collapsed="false"/>
    <row r="62552" customFormat="false" ht="12.75" hidden="false" customHeight="true" outlineLevel="0" collapsed="false"/>
    <row r="62553" customFormat="false" ht="12.75" hidden="false" customHeight="true" outlineLevel="0" collapsed="false"/>
    <row r="62554" customFormat="false" ht="12.75" hidden="false" customHeight="true" outlineLevel="0" collapsed="false"/>
    <row r="62555" customFormat="false" ht="12.75" hidden="false" customHeight="true" outlineLevel="0" collapsed="false"/>
    <row r="62556" customFormat="false" ht="12.75" hidden="false" customHeight="true" outlineLevel="0" collapsed="false"/>
    <row r="62557" customFormat="false" ht="12.75" hidden="false" customHeight="true" outlineLevel="0" collapsed="false"/>
    <row r="62558" customFormat="false" ht="12.75" hidden="false" customHeight="true" outlineLevel="0" collapsed="false"/>
    <row r="62559" customFormat="false" ht="12.75" hidden="false" customHeight="true" outlineLevel="0" collapsed="false"/>
    <row r="62560" customFormat="false" ht="12.75" hidden="false" customHeight="true" outlineLevel="0" collapsed="false"/>
    <row r="62561" customFormat="false" ht="12.75" hidden="false" customHeight="true" outlineLevel="0" collapsed="false"/>
    <row r="62562" customFormat="false" ht="12.75" hidden="false" customHeight="true" outlineLevel="0" collapsed="false"/>
    <row r="62563" customFormat="false" ht="12.75" hidden="false" customHeight="true" outlineLevel="0" collapsed="false"/>
    <row r="62564" customFormat="false" ht="12.75" hidden="false" customHeight="true" outlineLevel="0" collapsed="false"/>
    <row r="62565" customFormat="false" ht="12.75" hidden="false" customHeight="true" outlineLevel="0" collapsed="false"/>
    <row r="62566" customFormat="false" ht="12.75" hidden="false" customHeight="true" outlineLevel="0" collapsed="false"/>
    <row r="62567" customFormat="false" ht="12.75" hidden="false" customHeight="true" outlineLevel="0" collapsed="false"/>
    <row r="62568" customFormat="false" ht="12.75" hidden="false" customHeight="true" outlineLevel="0" collapsed="false"/>
    <row r="62569" customFormat="false" ht="12.75" hidden="false" customHeight="true" outlineLevel="0" collapsed="false"/>
    <row r="62570" customFormat="false" ht="12.75" hidden="false" customHeight="true" outlineLevel="0" collapsed="false"/>
    <row r="62571" customFormat="false" ht="12.75" hidden="false" customHeight="true" outlineLevel="0" collapsed="false"/>
    <row r="62572" customFormat="false" ht="12.75" hidden="false" customHeight="true" outlineLevel="0" collapsed="false"/>
    <row r="62573" customFormat="false" ht="12.75" hidden="false" customHeight="true" outlineLevel="0" collapsed="false"/>
    <row r="62574" customFormat="false" ht="12.75" hidden="false" customHeight="true" outlineLevel="0" collapsed="false"/>
    <row r="62575" customFormat="false" ht="12.75" hidden="false" customHeight="true" outlineLevel="0" collapsed="false"/>
    <row r="62576" customFormat="false" ht="12.75" hidden="false" customHeight="true" outlineLevel="0" collapsed="false"/>
    <row r="62577" customFormat="false" ht="12.75" hidden="false" customHeight="true" outlineLevel="0" collapsed="false"/>
    <row r="62578" customFormat="false" ht="12.75" hidden="false" customHeight="true" outlineLevel="0" collapsed="false"/>
    <row r="62579" customFormat="false" ht="12.75" hidden="false" customHeight="true" outlineLevel="0" collapsed="false"/>
    <row r="62580" customFormat="false" ht="12.75" hidden="false" customHeight="true" outlineLevel="0" collapsed="false"/>
    <row r="62581" customFormat="false" ht="12.75" hidden="false" customHeight="true" outlineLevel="0" collapsed="false"/>
    <row r="62582" customFormat="false" ht="12.75" hidden="false" customHeight="true" outlineLevel="0" collapsed="false"/>
    <row r="62583" customFormat="false" ht="12.75" hidden="false" customHeight="true" outlineLevel="0" collapsed="false"/>
    <row r="62584" customFormat="false" ht="12.75" hidden="false" customHeight="true" outlineLevel="0" collapsed="false"/>
    <row r="62585" customFormat="false" ht="12.75" hidden="false" customHeight="true" outlineLevel="0" collapsed="false"/>
    <row r="62586" customFormat="false" ht="12.75" hidden="false" customHeight="true" outlineLevel="0" collapsed="false"/>
    <row r="62587" customFormat="false" ht="12.75" hidden="false" customHeight="true" outlineLevel="0" collapsed="false"/>
    <row r="62588" customFormat="false" ht="12.75" hidden="false" customHeight="true" outlineLevel="0" collapsed="false"/>
    <row r="62589" customFormat="false" ht="12.75" hidden="false" customHeight="true" outlineLevel="0" collapsed="false"/>
    <row r="62590" customFormat="false" ht="12.75" hidden="false" customHeight="true" outlineLevel="0" collapsed="false"/>
    <row r="62591" customFormat="false" ht="12.75" hidden="false" customHeight="true" outlineLevel="0" collapsed="false"/>
    <row r="62592" customFormat="false" ht="12.75" hidden="false" customHeight="true" outlineLevel="0" collapsed="false"/>
    <row r="62593" customFormat="false" ht="12.75" hidden="false" customHeight="true" outlineLevel="0" collapsed="false"/>
    <row r="62594" customFormat="false" ht="12.75" hidden="false" customHeight="true" outlineLevel="0" collapsed="false"/>
    <row r="62595" customFormat="false" ht="12.75" hidden="false" customHeight="true" outlineLevel="0" collapsed="false"/>
    <row r="62596" customFormat="false" ht="12.75" hidden="false" customHeight="true" outlineLevel="0" collapsed="false"/>
    <row r="62597" customFormat="false" ht="12.75" hidden="false" customHeight="true" outlineLevel="0" collapsed="false"/>
    <row r="62598" customFormat="false" ht="12.75" hidden="false" customHeight="true" outlineLevel="0" collapsed="false"/>
    <row r="62599" customFormat="false" ht="12.75" hidden="false" customHeight="true" outlineLevel="0" collapsed="false"/>
    <row r="62600" customFormat="false" ht="12.75" hidden="false" customHeight="true" outlineLevel="0" collapsed="false"/>
    <row r="62601" customFormat="false" ht="12.75" hidden="false" customHeight="true" outlineLevel="0" collapsed="false"/>
    <row r="62602" customFormat="false" ht="12.75" hidden="false" customHeight="true" outlineLevel="0" collapsed="false"/>
    <row r="62603" customFormat="false" ht="12.75" hidden="false" customHeight="true" outlineLevel="0" collapsed="false"/>
    <row r="62604" customFormat="false" ht="12.75" hidden="false" customHeight="true" outlineLevel="0" collapsed="false"/>
    <row r="62605" customFormat="false" ht="12.75" hidden="false" customHeight="true" outlineLevel="0" collapsed="false"/>
    <row r="62606" customFormat="false" ht="12.75" hidden="false" customHeight="true" outlineLevel="0" collapsed="false"/>
    <row r="62607" customFormat="false" ht="12.75" hidden="false" customHeight="true" outlineLevel="0" collapsed="false"/>
    <row r="62608" customFormat="false" ht="12.75" hidden="false" customHeight="true" outlineLevel="0" collapsed="false"/>
    <row r="62609" customFormat="false" ht="12.75" hidden="false" customHeight="true" outlineLevel="0" collapsed="false"/>
    <row r="62610" customFormat="false" ht="12.75" hidden="false" customHeight="true" outlineLevel="0" collapsed="false"/>
    <row r="62611" customFormat="false" ht="12.75" hidden="false" customHeight="true" outlineLevel="0" collapsed="false"/>
    <row r="62612" customFormat="false" ht="12.75" hidden="false" customHeight="true" outlineLevel="0" collapsed="false"/>
    <row r="62613" customFormat="false" ht="12.75" hidden="false" customHeight="true" outlineLevel="0" collapsed="false"/>
    <row r="62614" customFormat="false" ht="12.75" hidden="false" customHeight="true" outlineLevel="0" collapsed="false"/>
    <row r="62615" customFormat="false" ht="12.75" hidden="false" customHeight="true" outlineLevel="0" collapsed="false"/>
    <row r="62616" customFormat="false" ht="12.75" hidden="false" customHeight="true" outlineLevel="0" collapsed="false"/>
    <row r="62617" customFormat="false" ht="12.75" hidden="false" customHeight="true" outlineLevel="0" collapsed="false"/>
    <row r="62618" customFormat="false" ht="12.75" hidden="false" customHeight="true" outlineLevel="0" collapsed="false"/>
    <row r="62619" customFormat="false" ht="12.75" hidden="false" customHeight="true" outlineLevel="0" collapsed="false"/>
    <row r="62620" customFormat="false" ht="12.75" hidden="false" customHeight="true" outlineLevel="0" collapsed="false"/>
    <row r="62621" customFormat="false" ht="12.75" hidden="false" customHeight="true" outlineLevel="0" collapsed="false"/>
    <row r="62622" customFormat="false" ht="12.75" hidden="false" customHeight="true" outlineLevel="0" collapsed="false"/>
    <row r="62623" customFormat="false" ht="12.75" hidden="false" customHeight="true" outlineLevel="0" collapsed="false"/>
    <row r="62624" customFormat="false" ht="12.75" hidden="false" customHeight="true" outlineLevel="0" collapsed="false"/>
    <row r="62625" customFormat="false" ht="12.75" hidden="false" customHeight="true" outlineLevel="0" collapsed="false"/>
    <row r="62626" customFormat="false" ht="12.75" hidden="false" customHeight="true" outlineLevel="0" collapsed="false"/>
    <row r="62627" customFormat="false" ht="12.75" hidden="false" customHeight="true" outlineLevel="0" collapsed="false"/>
    <row r="62628" customFormat="false" ht="12.75" hidden="false" customHeight="true" outlineLevel="0" collapsed="false"/>
    <row r="62629" customFormat="false" ht="12.75" hidden="false" customHeight="true" outlineLevel="0" collapsed="false"/>
    <row r="62630" customFormat="false" ht="12.75" hidden="false" customHeight="true" outlineLevel="0" collapsed="false"/>
    <row r="62631" customFormat="false" ht="12.75" hidden="false" customHeight="true" outlineLevel="0" collapsed="false"/>
    <row r="62632" customFormat="false" ht="12.75" hidden="false" customHeight="true" outlineLevel="0" collapsed="false"/>
    <row r="62633" customFormat="false" ht="12.75" hidden="false" customHeight="true" outlineLevel="0" collapsed="false"/>
    <row r="62634" customFormat="false" ht="12.75" hidden="false" customHeight="true" outlineLevel="0" collapsed="false"/>
    <row r="62635" customFormat="false" ht="12.75" hidden="false" customHeight="true" outlineLevel="0" collapsed="false"/>
    <row r="62636" customFormat="false" ht="12.75" hidden="false" customHeight="true" outlineLevel="0" collapsed="false"/>
    <row r="62637" customFormat="false" ht="12.75" hidden="false" customHeight="true" outlineLevel="0" collapsed="false"/>
    <row r="62638" customFormat="false" ht="12.75" hidden="false" customHeight="true" outlineLevel="0" collapsed="false"/>
    <row r="62639" customFormat="false" ht="12.75" hidden="false" customHeight="true" outlineLevel="0" collapsed="false"/>
    <row r="62640" customFormat="false" ht="12.75" hidden="false" customHeight="true" outlineLevel="0" collapsed="false"/>
    <row r="62641" customFormat="false" ht="12.75" hidden="false" customHeight="true" outlineLevel="0" collapsed="false"/>
    <row r="62642" customFormat="false" ht="12.75" hidden="false" customHeight="true" outlineLevel="0" collapsed="false"/>
    <row r="62643" customFormat="false" ht="12.75" hidden="false" customHeight="true" outlineLevel="0" collapsed="false"/>
    <row r="62644" customFormat="false" ht="12.75" hidden="false" customHeight="true" outlineLevel="0" collapsed="false"/>
    <row r="62645" customFormat="false" ht="12.75" hidden="false" customHeight="true" outlineLevel="0" collapsed="false"/>
    <row r="62646" customFormat="false" ht="12.75" hidden="false" customHeight="true" outlineLevel="0" collapsed="false"/>
    <row r="62647" customFormat="false" ht="12.75" hidden="false" customHeight="true" outlineLevel="0" collapsed="false"/>
    <row r="62648" customFormat="false" ht="12.75" hidden="false" customHeight="true" outlineLevel="0" collapsed="false"/>
    <row r="62649" customFormat="false" ht="12.75" hidden="false" customHeight="true" outlineLevel="0" collapsed="false"/>
    <row r="62650" customFormat="false" ht="12.75" hidden="false" customHeight="true" outlineLevel="0" collapsed="false"/>
    <row r="62651" customFormat="false" ht="12.75" hidden="false" customHeight="true" outlineLevel="0" collapsed="false"/>
    <row r="62652" customFormat="false" ht="12.75" hidden="false" customHeight="true" outlineLevel="0" collapsed="false"/>
    <row r="62653" customFormat="false" ht="12.75" hidden="false" customHeight="true" outlineLevel="0" collapsed="false"/>
    <row r="62654" customFormat="false" ht="12.75" hidden="false" customHeight="true" outlineLevel="0" collapsed="false"/>
    <row r="62655" customFormat="false" ht="12.75" hidden="false" customHeight="true" outlineLevel="0" collapsed="false"/>
    <row r="62656" customFormat="false" ht="12.75" hidden="false" customHeight="true" outlineLevel="0" collapsed="false"/>
    <row r="62657" customFormat="false" ht="12.75" hidden="false" customHeight="true" outlineLevel="0" collapsed="false"/>
    <row r="62658" customFormat="false" ht="12.75" hidden="false" customHeight="true" outlineLevel="0" collapsed="false"/>
    <row r="62659" customFormat="false" ht="12.75" hidden="false" customHeight="true" outlineLevel="0" collapsed="false"/>
    <row r="62660" customFormat="false" ht="12.75" hidden="false" customHeight="true" outlineLevel="0" collapsed="false"/>
    <row r="62661" customFormat="false" ht="12.75" hidden="false" customHeight="true" outlineLevel="0" collapsed="false"/>
    <row r="62662" customFormat="false" ht="12.75" hidden="false" customHeight="true" outlineLevel="0" collapsed="false"/>
    <row r="62663" customFormat="false" ht="12.75" hidden="false" customHeight="true" outlineLevel="0" collapsed="false"/>
    <row r="62664" customFormat="false" ht="12.75" hidden="false" customHeight="true" outlineLevel="0" collapsed="false"/>
    <row r="62665" customFormat="false" ht="12.75" hidden="false" customHeight="true" outlineLevel="0" collapsed="false"/>
    <row r="62666" customFormat="false" ht="12.75" hidden="false" customHeight="true" outlineLevel="0" collapsed="false"/>
    <row r="62667" customFormat="false" ht="12.75" hidden="false" customHeight="true" outlineLevel="0" collapsed="false"/>
    <row r="62668" customFormat="false" ht="12.75" hidden="false" customHeight="true" outlineLevel="0" collapsed="false"/>
    <row r="62669" customFormat="false" ht="12.75" hidden="false" customHeight="true" outlineLevel="0" collapsed="false"/>
    <row r="62670" customFormat="false" ht="12.75" hidden="false" customHeight="true" outlineLevel="0" collapsed="false"/>
    <row r="62671" customFormat="false" ht="12.75" hidden="false" customHeight="true" outlineLevel="0" collapsed="false"/>
    <row r="62672" customFormat="false" ht="12.75" hidden="false" customHeight="true" outlineLevel="0" collapsed="false"/>
    <row r="62673" customFormat="false" ht="12.75" hidden="false" customHeight="true" outlineLevel="0" collapsed="false"/>
    <row r="62674" customFormat="false" ht="12.75" hidden="false" customHeight="true" outlineLevel="0" collapsed="false"/>
    <row r="62675" customFormat="false" ht="12.75" hidden="false" customHeight="true" outlineLevel="0" collapsed="false"/>
    <row r="62676" customFormat="false" ht="12.75" hidden="false" customHeight="true" outlineLevel="0" collapsed="false"/>
    <row r="62677" customFormat="false" ht="12.75" hidden="false" customHeight="true" outlineLevel="0" collapsed="false"/>
    <row r="62678" customFormat="false" ht="12.75" hidden="false" customHeight="true" outlineLevel="0" collapsed="false"/>
    <row r="62679" customFormat="false" ht="12.75" hidden="false" customHeight="true" outlineLevel="0" collapsed="false"/>
    <row r="62680" customFormat="false" ht="12.75" hidden="false" customHeight="true" outlineLevel="0" collapsed="false"/>
    <row r="62681" customFormat="false" ht="12.75" hidden="false" customHeight="true" outlineLevel="0" collapsed="false"/>
    <row r="62682" customFormat="false" ht="12.75" hidden="false" customHeight="true" outlineLevel="0" collapsed="false"/>
    <row r="62683" customFormat="false" ht="12.75" hidden="false" customHeight="true" outlineLevel="0" collapsed="false"/>
    <row r="62684" customFormat="false" ht="12.75" hidden="false" customHeight="true" outlineLevel="0" collapsed="false"/>
    <row r="62685" customFormat="false" ht="12.75" hidden="false" customHeight="true" outlineLevel="0" collapsed="false"/>
    <row r="62686" customFormat="false" ht="12.75" hidden="false" customHeight="true" outlineLevel="0" collapsed="false"/>
    <row r="62687" customFormat="false" ht="12.75" hidden="false" customHeight="true" outlineLevel="0" collapsed="false"/>
    <row r="62688" customFormat="false" ht="12.75" hidden="false" customHeight="true" outlineLevel="0" collapsed="false"/>
    <row r="62689" customFormat="false" ht="12.75" hidden="false" customHeight="true" outlineLevel="0" collapsed="false"/>
    <row r="62690" customFormat="false" ht="12.75" hidden="false" customHeight="true" outlineLevel="0" collapsed="false"/>
    <row r="62691" customFormat="false" ht="12.75" hidden="false" customHeight="true" outlineLevel="0" collapsed="false"/>
    <row r="62692" customFormat="false" ht="12.75" hidden="false" customHeight="true" outlineLevel="0" collapsed="false"/>
    <row r="62693" customFormat="false" ht="12.75" hidden="false" customHeight="true" outlineLevel="0" collapsed="false"/>
    <row r="62694" customFormat="false" ht="12.75" hidden="false" customHeight="true" outlineLevel="0" collapsed="false"/>
    <row r="62695" customFormat="false" ht="12.75" hidden="false" customHeight="true" outlineLevel="0" collapsed="false"/>
    <row r="62696" customFormat="false" ht="12.75" hidden="false" customHeight="true" outlineLevel="0" collapsed="false"/>
    <row r="62697" customFormat="false" ht="12.75" hidden="false" customHeight="true" outlineLevel="0" collapsed="false"/>
    <row r="62698" customFormat="false" ht="12.75" hidden="false" customHeight="true" outlineLevel="0" collapsed="false"/>
    <row r="62699" customFormat="false" ht="12.75" hidden="false" customHeight="true" outlineLevel="0" collapsed="false"/>
    <row r="62700" customFormat="false" ht="12.75" hidden="false" customHeight="true" outlineLevel="0" collapsed="false"/>
    <row r="62701" customFormat="false" ht="12.75" hidden="false" customHeight="true" outlineLevel="0" collapsed="false"/>
    <row r="62702" customFormat="false" ht="12.75" hidden="false" customHeight="true" outlineLevel="0" collapsed="false"/>
    <row r="62703" customFormat="false" ht="12.75" hidden="false" customHeight="true" outlineLevel="0" collapsed="false"/>
    <row r="62704" customFormat="false" ht="12.75" hidden="false" customHeight="true" outlineLevel="0" collapsed="false"/>
    <row r="62705" customFormat="false" ht="12.75" hidden="false" customHeight="true" outlineLevel="0" collapsed="false"/>
    <row r="62706" customFormat="false" ht="12.75" hidden="false" customHeight="true" outlineLevel="0" collapsed="false"/>
    <row r="62707" customFormat="false" ht="12.75" hidden="false" customHeight="true" outlineLevel="0" collapsed="false"/>
    <row r="62708" customFormat="false" ht="12.75" hidden="false" customHeight="true" outlineLevel="0" collapsed="false"/>
    <row r="62709" customFormat="false" ht="12.75" hidden="false" customHeight="true" outlineLevel="0" collapsed="false"/>
    <row r="62710" customFormat="false" ht="12.75" hidden="false" customHeight="true" outlineLevel="0" collapsed="false"/>
    <row r="62711" customFormat="false" ht="12.75" hidden="false" customHeight="true" outlineLevel="0" collapsed="false"/>
    <row r="62712" customFormat="false" ht="12.75" hidden="false" customHeight="true" outlineLevel="0" collapsed="false"/>
    <row r="62713" customFormat="false" ht="12.75" hidden="false" customHeight="true" outlineLevel="0" collapsed="false"/>
    <row r="62714" customFormat="false" ht="12.75" hidden="false" customHeight="true" outlineLevel="0" collapsed="false"/>
    <row r="62715" customFormat="false" ht="12.75" hidden="false" customHeight="true" outlineLevel="0" collapsed="false"/>
    <row r="62716" customFormat="false" ht="12.75" hidden="false" customHeight="true" outlineLevel="0" collapsed="false"/>
    <row r="62717" customFormat="false" ht="12.75" hidden="false" customHeight="true" outlineLevel="0" collapsed="false"/>
    <row r="62718" customFormat="false" ht="12.75" hidden="false" customHeight="true" outlineLevel="0" collapsed="false"/>
    <row r="62719" customFormat="false" ht="12.75" hidden="false" customHeight="true" outlineLevel="0" collapsed="false"/>
    <row r="62720" customFormat="false" ht="12.75" hidden="false" customHeight="true" outlineLevel="0" collapsed="false"/>
    <row r="62721" customFormat="false" ht="12.75" hidden="false" customHeight="true" outlineLevel="0" collapsed="false"/>
    <row r="62722" customFormat="false" ht="12.75" hidden="false" customHeight="true" outlineLevel="0" collapsed="false"/>
    <row r="62723" customFormat="false" ht="12.75" hidden="false" customHeight="true" outlineLevel="0" collapsed="false"/>
    <row r="62724" customFormat="false" ht="12.75" hidden="false" customHeight="true" outlineLevel="0" collapsed="false"/>
    <row r="62725" customFormat="false" ht="12.75" hidden="false" customHeight="true" outlineLevel="0" collapsed="false"/>
    <row r="62726" customFormat="false" ht="12.75" hidden="false" customHeight="true" outlineLevel="0" collapsed="false"/>
    <row r="62727" customFormat="false" ht="12.75" hidden="false" customHeight="true" outlineLevel="0" collapsed="false"/>
    <row r="62728" customFormat="false" ht="12.75" hidden="false" customHeight="true" outlineLevel="0" collapsed="false"/>
    <row r="62729" customFormat="false" ht="12.75" hidden="false" customHeight="true" outlineLevel="0" collapsed="false"/>
    <row r="62730" customFormat="false" ht="12.75" hidden="false" customHeight="true" outlineLevel="0" collapsed="false"/>
    <row r="62731" customFormat="false" ht="12.75" hidden="false" customHeight="true" outlineLevel="0" collapsed="false"/>
    <row r="62732" customFormat="false" ht="12.75" hidden="false" customHeight="true" outlineLevel="0" collapsed="false"/>
    <row r="62733" customFormat="false" ht="12.75" hidden="false" customHeight="true" outlineLevel="0" collapsed="false"/>
    <row r="62734" customFormat="false" ht="12.75" hidden="false" customHeight="true" outlineLevel="0" collapsed="false"/>
    <row r="62735" customFormat="false" ht="12.75" hidden="false" customHeight="true" outlineLevel="0" collapsed="false"/>
    <row r="62736" customFormat="false" ht="12.75" hidden="false" customHeight="true" outlineLevel="0" collapsed="false"/>
    <row r="62737" customFormat="false" ht="12.75" hidden="false" customHeight="true" outlineLevel="0" collapsed="false"/>
    <row r="62738" customFormat="false" ht="12.75" hidden="false" customHeight="true" outlineLevel="0" collapsed="false"/>
    <row r="62739" customFormat="false" ht="12.75" hidden="false" customHeight="true" outlineLevel="0" collapsed="false"/>
    <row r="62740" customFormat="false" ht="12.75" hidden="false" customHeight="true" outlineLevel="0" collapsed="false"/>
    <row r="62741" customFormat="false" ht="12.75" hidden="false" customHeight="true" outlineLevel="0" collapsed="false"/>
    <row r="62742" customFormat="false" ht="12.75" hidden="false" customHeight="true" outlineLevel="0" collapsed="false"/>
    <row r="62743" customFormat="false" ht="12.75" hidden="false" customHeight="true" outlineLevel="0" collapsed="false"/>
    <row r="62744" customFormat="false" ht="12.75" hidden="false" customHeight="true" outlineLevel="0" collapsed="false"/>
    <row r="62745" customFormat="false" ht="12.75" hidden="false" customHeight="true" outlineLevel="0" collapsed="false"/>
    <row r="62746" customFormat="false" ht="12.75" hidden="false" customHeight="true" outlineLevel="0" collapsed="false"/>
    <row r="62747" customFormat="false" ht="12.75" hidden="false" customHeight="true" outlineLevel="0" collapsed="false"/>
    <row r="62748" customFormat="false" ht="12.75" hidden="false" customHeight="true" outlineLevel="0" collapsed="false"/>
    <row r="62749" customFormat="false" ht="12.75" hidden="false" customHeight="true" outlineLevel="0" collapsed="false"/>
    <row r="62750" customFormat="false" ht="12.75" hidden="false" customHeight="true" outlineLevel="0" collapsed="false"/>
    <row r="62751" customFormat="false" ht="12.75" hidden="false" customHeight="true" outlineLevel="0" collapsed="false"/>
    <row r="62752" customFormat="false" ht="12.75" hidden="false" customHeight="true" outlineLevel="0" collapsed="false"/>
    <row r="62753" customFormat="false" ht="12.75" hidden="false" customHeight="true" outlineLevel="0" collapsed="false"/>
    <row r="62754" customFormat="false" ht="12.75" hidden="false" customHeight="true" outlineLevel="0" collapsed="false"/>
    <row r="62755" customFormat="false" ht="12.75" hidden="false" customHeight="true" outlineLevel="0" collapsed="false"/>
    <row r="62756" customFormat="false" ht="12.75" hidden="false" customHeight="true" outlineLevel="0" collapsed="false"/>
    <row r="62757" customFormat="false" ht="12.75" hidden="false" customHeight="true" outlineLevel="0" collapsed="false"/>
    <row r="62758" customFormat="false" ht="12.75" hidden="false" customHeight="true" outlineLevel="0" collapsed="false"/>
    <row r="62759" customFormat="false" ht="12.75" hidden="false" customHeight="true" outlineLevel="0" collapsed="false"/>
    <row r="62760" customFormat="false" ht="12.75" hidden="false" customHeight="true" outlineLevel="0" collapsed="false"/>
    <row r="62761" customFormat="false" ht="12.75" hidden="false" customHeight="true" outlineLevel="0" collapsed="false"/>
    <row r="62762" customFormat="false" ht="12.75" hidden="false" customHeight="true" outlineLevel="0" collapsed="false"/>
    <row r="62763" customFormat="false" ht="12.75" hidden="false" customHeight="true" outlineLevel="0" collapsed="false"/>
    <row r="62764" customFormat="false" ht="12.75" hidden="false" customHeight="true" outlineLevel="0" collapsed="false"/>
    <row r="62765" customFormat="false" ht="12.75" hidden="false" customHeight="true" outlineLevel="0" collapsed="false"/>
    <row r="62766" customFormat="false" ht="12.75" hidden="false" customHeight="true" outlineLevel="0" collapsed="false"/>
    <row r="62767" customFormat="false" ht="12.75" hidden="false" customHeight="true" outlineLevel="0" collapsed="false"/>
    <row r="62768" customFormat="false" ht="12.75" hidden="false" customHeight="true" outlineLevel="0" collapsed="false"/>
    <row r="62769" customFormat="false" ht="12.75" hidden="false" customHeight="true" outlineLevel="0" collapsed="false"/>
    <row r="62770" customFormat="false" ht="12.75" hidden="false" customHeight="true" outlineLevel="0" collapsed="false"/>
    <row r="62771" customFormat="false" ht="12.75" hidden="false" customHeight="true" outlineLevel="0" collapsed="false"/>
    <row r="62772" customFormat="false" ht="12.75" hidden="false" customHeight="true" outlineLevel="0" collapsed="false"/>
    <row r="62773" customFormat="false" ht="12.75" hidden="false" customHeight="true" outlineLevel="0" collapsed="false"/>
    <row r="62774" customFormat="false" ht="12.75" hidden="false" customHeight="true" outlineLevel="0" collapsed="false"/>
    <row r="62775" customFormat="false" ht="12.75" hidden="false" customHeight="true" outlineLevel="0" collapsed="false"/>
    <row r="62776" customFormat="false" ht="12.75" hidden="false" customHeight="true" outlineLevel="0" collapsed="false"/>
    <row r="62777" customFormat="false" ht="12.75" hidden="false" customHeight="true" outlineLevel="0" collapsed="false"/>
    <row r="62778" customFormat="false" ht="12.75" hidden="false" customHeight="true" outlineLevel="0" collapsed="false"/>
    <row r="62779" customFormat="false" ht="12.75" hidden="false" customHeight="true" outlineLevel="0" collapsed="false"/>
    <row r="62780" customFormat="false" ht="12.75" hidden="false" customHeight="true" outlineLevel="0" collapsed="false"/>
    <row r="62781" customFormat="false" ht="12.75" hidden="false" customHeight="true" outlineLevel="0" collapsed="false"/>
    <row r="62782" customFormat="false" ht="12.75" hidden="false" customHeight="true" outlineLevel="0" collapsed="false"/>
    <row r="62783" customFormat="false" ht="12.75" hidden="false" customHeight="true" outlineLevel="0" collapsed="false"/>
    <row r="62784" customFormat="false" ht="12.75" hidden="false" customHeight="true" outlineLevel="0" collapsed="false"/>
    <row r="62785" customFormat="false" ht="12.75" hidden="false" customHeight="true" outlineLevel="0" collapsed="false"/>
    <row r="62786" customFormat="false" ht="12.75" hidden="false" customHeight="true" outlineLevel="0" collapsed="false"/>
    <row r="62787" customFormat="false" ht="12.75" hidden="false" customHeight="true" outlineLevel="0" collapsed="false"/>
    <row r="62788" customFormat="false" ht="12.75" hidden="false" customHeight="true" outlineLevel="0" collapsed="false"/>
    <row r="62789" customFormat="false" ht="12.75" hidden="false" customHeight="true" outlineLevel="0" collapsed="false"/>
    <row r="62790" customFormat="false" ht="12.75" hidden="false" customHeight="true" outlineLevel="0" collapsed="false"/>
    <row r="62791" customFormat="false" ht="12.75" hidden="false" customHeight="true" outlineLevel="0" collapsed="false"/>
    <row r="62792" customFormat="false" ht="12.75" hidden="false" customHeight="true" outlineLevel="0" collapsed="false"/>
    <row r="62793" customFormat="false" ht="12.75" hidden="false" customHeight="true" outlineLevel="0" collapsed="false"/>
    <row r="62794" customFormat="false" ht="12.75" hidden="false" customHeight="true" outlineLevel="0" collapsed="false"/>
    <row r="62795" customFormat="false" ht="12.75" hidden="false" customHeight="true" outlineLevel="0" collapsed="false"/>
    <row r="62796" customFormat="false" ht="12.75" hidden="false" customHeight="true" outlineLevel="0" collapsed="false"/>
    <row r="62797" customFormat="false" ht="12.75" hidden="false" customHeight="true" outlineLevel="0" collapsed="false"/>
    <row r="62798" customFormat="false" ht="12.75" hidden="false" customHeight="true" outlineLevel="0" collapsed="false"/>
    <row r="62799" customFormat="false" ht="12.75" hidden="false" customHeight="true" outlineLevel="0" collapsed="false"/>
    <row r="62800" customFormat="false" ht="12.75" hidden="false" customHeight="true" outlineLevel="0" collapsed="false"/>
    <row r="62801" customFormat="false" ht="12.75" hidden="false" customHeight="true" outlineLevel="0" collapsed="false"/>
    <row r="62802" customFormat="false" ht="12.75" hidden="false" customHeight="true" outlineLevel="0" collapsed="false"/>
    <row r="62803" customFormat="false" ht="12.75" hidden="false" customHeight="true" outlineLevel="0" collapsed="false"/>
    <row r="62804" customFormat="false" ht="12.75" hidden="false" customHeight="true" outlineLevel="0" collapsed="false"/>
    <row r="62805" customFormat="false" ht="12.75" hidden="false" customHeight="true" outlineLevel="0" collapsed="false"/>
    <row r="62806" customFormat="false" ht="12.75" hidden="false" customHeight="true" outlineLevel="0" collapsed="false"/>
    <row r="62807" customFormat="false" ht="12.75" hidden="false" customHeight="true" outlineLevel="0" collapsed="false"/>
    <row r="62808" customFormat="false" ht="12.75" hidden="false" customHeight="true" outlineLevel="0" collapsed="false"/>
    <row r="62809" customFormat="false" ht="12.75" hidden="false" customHeight="true" outlineLevel="0" collapsed="false"/>
    <row r="62810" customFormat="false" ht="12.75" hidden="false" customHeight="true" outlineLevel="0" collapsed="false"/>
    <row r="62811" customFormat="false" ht="12.75" hidden="false" customHeight="true" outlineLevel="0" collapsed="false"/>
    <row r="62812" customFormat="false" ht="12.75" hidden="false" customHeight="true" outlineLevel="0" collapsed="false"/>
    <row r="62813" customFormat="false" ht="12.75" hidden="false" customHeight="true" outlineLevel="0" collapsed="false"/>
    <row r="62814" customFormat="false" ht="12.75" hidden="false" customHeight="true" outlineLevel="0" collapsed="false"/>
    <row r="62815" customFormat="false" ht="12.75" hidden="false" customHeight="true" outlineLevel="0" collapsed="false"/>
    <row r="62816" customFormat="false" ht="12.75" hidden="false" customHeight="true" outlineLevel="0" collapsed="false"/>
    <row r="62817" customFormat="false" ht="12.75" hidden="false" customHeight="true" outlineLevel="0" collapsed="false"/>
    <row r="62818" customFormat="false" ht="12.75" hidden="false" customHeight="true" outlineLevel="0" collapsed="false"/>
    <row r="62819" customFormat="false" ht="12.75" hidden="false" customHeight="true" outlineLevel="0" collapsed="false"/>
    <row r="62820" customFormat="false" ht="12.75" hidden="false" customHeight="true" outlineLevel="0" collapsed="false"/>
    <row r="62821" customFormat="false" ht="12.75" hidden="false" customHeight="true" outlineLevel="0" collapsed="false"/>
    <row r="62822" customFormat="false" ht="12.75" hidden="false" customHeight="true" outlineLevel="0" collapsed="false"/>
    <row r="62823" customFormat="false" ht="12.75" hidden="false" customHeight="true" outlineLevel="0" collapsed="false"/>
    <row r="62824" customFormat="false" ht="12.75" hidden="false" customHeight="true" outlineLevel="0" collapsed="false"/>
    <row r="62825" customFormat="false" ht="12.75" hidden="false" customHeight="true" outlineLevel="0" collapsed="false"/>
    <row r="62826" customFormat="false" ht="12.75" hidden="false" customHeight="true" outlineLevel="0" collapsed="false"/>
    <row r="62827" customFormat="false" ht="12.75" hidden="false" customHeight="true" outlineLevel="0" collapsed="false"/>
    <row r="62828" customFormat="false" ht="12.75" hidden="false" customHeight="true" outlineLevel="0" collapsed="false"/>
    <row r="62829" customFormat="false" ht="12.75" hidden="false" customHeight="true" outlineLevel="0" collapsed="false"/>
    <row r="62830" customFormat="false" ht="12.75" hidden="false" customHeight="true" outlineLevel="0" collapsed="false"/>
    <row r="62831" customFormat="false" ht="12.75" hidden="false" customHeight="true" outlineLevel="0" collapsed="false"/>
    <row r="62832" customFormat="false" ht="12.75" hidden="false" customHeight="true" outlineLevel="0" collapsed="false"/>
    <row r="62833" customFormat="false" ht="12.75" hidden="false" customHeight="true" outlineLevel="0" collapsed="false"/>
    <row r="62834" customFormat="false" ht="12.75" hidden="false" customHeight="true" outlineLevel="0" collapsed="false"/>
    <row r="62835" customFormat="false" ht="12.75" hidden="false" customHeight="true" outlineLevel="0" collapsed="false"/>
    <row r="62836" customFormat="false" ht="12.75" hidden="false" customHeight="true" outlineLevel="0" collapsed="false"/>
    <row r="62837" customFormat="false" ht="12.75" hidden="false" customHeight="true" outlineLevel="0" collapsed="false"/>
    <row r="62838" customFormat="false" ht="12.75" hidden="false" customHeight="true" outlineLevel="0" collapsed="false"/>
    <row r="62839" customFormat="false" ht="12.75" hidden="false" customHeight="true" outlineLevel="0" collapsed="false"/>
    <row r="62840" customFormat="false" ht="12.75" hidden="false" customHeight="true" outlineLevel="0" collapsed="false"/>
    <row r="62841" customFormat="false" ht="12.75" hidden="false" customHeight="true" outlineLevel="0" collapsed="false"/>
    <row r="62842" customFormat="false" ht="12.75" hidden="false" customHeight="true" outlineLevel="0" collapsed="false"/>
    <row r="62843" customFormat="false" ht="12.75" hidden="false" customHeight="true" outlineLevel="0" collapsed="false"/>
    <row r="62844" customFormat="false" ht="12.75" hidden="false" customHeight="true" outlineLevel="0" collapsed="false"/>
    <row r="62845" customFormat="false" ht="12.75" hidden="false" customHeight="true" outlineLevel="0" collapsed="false"/>
    <row r="62846" customFormat="false" ht="12.75" hidden="false" customHeight="true" outlineLevel="0" collapsed="false"/>
    <row r="62847" customFormat="false" ht="12.75" hidden="false" customHeight="true" outlineLevel="0" collapsed="false"/>
    <row r="62848" customFormat="false" ht="12.75" hidden="false" customHeight="true" outlineLevel="0" collapsed="false"/>
    <row r="62849" customFormat="false" ht="12.75" hidden="false" customHeight="true" outlineLevel="0" collapsed="false"/>
    <row r="62850" customFormat="false" ht="12.75" hidden="false" customHeight="true" outlineLevel="0" collapsed="false"/>
    <row r="62851" customFormat="false" ht="12.75" hidden="false" customHeight="true" outlineLevel="0" collapsed="false"/>
    <row r="62852" customFormat="false" ht="12.75" hidden="false" customHeight="true" outlineLevel="0" collapsed="false"/>
    <row r="62853" customFormat="false" ht="12.75" hidden="false" customHeight="true" outlineLevel="0" collapsed="false"/>
    <row r="62854" customFormat="false" ht="12.75" hidden="false" customHeight="true" outlineLevel="0" collapsed="false"/>
    <row r="62855" customFormat="false" ht="12.75" hidden="false" customHeight="true" outlineLevel="0" collapsed="false"/>
    <row r="62856" customFormat="false" ht="12.75" hidden="false" customHeight="true" outlineLevel="0" collapsed="false"/>
    <row r="62857" customFormat="false" ht="12.75" hidden="false" customHeight="true" outlineLevel="0" collapsed="false"/>
    <row r="62858" customFormat="false" ht="12.75" hidden="false" customHeight="true" outlineLevel="0" collapsed="false"/>
    <row r="62859" customFormat="false" ht="12.75" hidden="false" customHeight="true" outlineLevel="0" collapsed="false"/>
    <row r="62860" customFormat="false" ht="12.75" hidden="false" customHeight="true" outlineLevel="0" collapsed="false"/>
    <row r="62861" customFormat="false" ht="12.75" hidden="false" customHeight="true" outlineLevel="0" collapsed="false"/>
    <row r="62862" customFormat="false" ht="12.75" hidden="false" customHeight="true" outlineLevel="0" collapsed="false"/>
    <row r="62863" customFormat="false" ht="12.75" hidden="false" customHeight="true" outlineLevel="0" collapsed="false"/>
    <row r="62864" customFormat="false" ht="12.75" hidden="false" customHeight="true" outlineLevel="0" collapsed="false"/>
    <row r="62865" customFormat="false" ht="12.75" hidden="false" customHeight="true" outlineLevel="0" collapsed="false"/>
    <row r="62866" customFormat="false" ht="12.75" hidden="false" customHeight="true" outlineLevel="0" collapsed="false"/>
    <row r="62867" customFormat="false" ht="12.75" hidden="false" customHeight="true" outlineLevel="0" collapsed="false"/>
    <row r="62868" customFormat="false" ht="12.75" hidden="false" customHeight="true" outlineLevel="0" collapsed="false"/>
    <row r="62869" customFormat="false" ht="12.75" hidden="false" customHeight="true" outlineLevel="0" collapsed="false"/>
    <row r="62870" customFormat="false" ht="12.75" hidden="false" customHeight="true" outlineLevel="0" collapsed="false"/>
    <row r="62871" customFormat="false" ht="12.75" hidden="false" customHeight="true" outlineLevel="0" collapsed="false"/>
    <row r="62872" customFormat="false" ht="12.75" hidden="false" customHeight="true" outlineLevel="0" collapsed="false"/>
    <row r="62873" customFormat="false" ht="12.75" hidden="false" customHeight="true" outlineLevel="0" collapsed="false"/>
    <row r="62874" customFormat="false" ht="12.75" hidden="false" customHeight="true" outlineLevel="0" collapsed="false"/>
    <row r="62875" customFormat="false" ht="12.75" hidden="false" customHeight="true" outlineLevel="0" collapsed="false"/>
    <row r="62876" customFormat="false" ht="12.75" hidden="false" customHeight="true" outlineLevel="0" collapsed="false"/>
    <row r="62877" customFormat="false" ht="12.75" hidden="false" customHeight="true" outlineLevel="0" collapsed="false"/>
    <row r="62878" customFormat="false" ht="12.75" hidden="false" customHeight="true" outlineLevel="0" collapsed="false"/>
    <row r="62879" customFormat="false" ht="12.75" hidden="false" customHeight="true" outlineLevel="0" collapsed="false"/>
    <row r="62880" customFormat="false" ht="12.75" hidden="false" customHeight="true" outlineLevel="0" collapsed="false"/>
    <row r="62881" customFormat="false" ht="12.75" hidden="false" customHeight="true" outlineLevel="0" collapsed="false"/>
    <row r="62882" customFormat="false" ht="12.75" hidden="false" customHeight="true" outlineLevel="0" collapsed="false"/>
    <row r="62883" customFormat="false" ht="12.75" hidden="false" customHeight="true" outlineLevel="0" collapsed="false"/>
    <row r="62884" customFormat="false" ht="12.75" hidden="false" customHeight="true" outlineLevel="0" collapsed="false"/>
    <row r="62885" customFormat="false" ht="12.75" hidden="false" customHeight="true" outlineLevel="0" collapsed="false"/>
    <row r="62886" customFormat="false" ht="12.75" hidden="false" customHeight="true" outlineLevel="0" collapsed="false"/>
    <row r="62887" customFormat="false" ht="12.75" hidden="false" customHeight="true" outlineLevel="0" collapsed="false"/>
    <row r="62888" customFormat="false" ht="12.75" hidden="false" customHeight="true" outlineLevel="0" collapsed="false"/>
    <row r="62889" customFormat="false" ht="12.75" hidden="false" customHeight="true" outlineLevel="0" collapsed="false"/>
    <row r="62890" customFormat="false" ht="12.75" hidden="false" customHeight="true" outlineLevel="0" collapsed="false"/>
    <row r="62891" customFormat="false" ht="12.75" hidden="false" customHeight="true" outlineLevel="0" collapsed="false"/>
    <row r="62892" customFormat="false" ht="12.75" hidden="false" customHeight="true" outlineLevel="0" collapsed="false"/>
    <row r="62893" customFormat="false" ht="12.75" hidden="false" customHeight="true" outlineLevel="0" collapsed="false"/>
    <row r="62894" customFormat="false" ht="12.75" hidden="false" customHeight="true" outlineLevel="0" collapsed="false"/>
    <row r="62895" customFormat="false" ht="12.75" hidden="false" customHeight="true" outlineLevel="0" collapsed="false"/>
    <row r="62896" customFormat="false" ht="12.75" hidden="false" customHeight="true" outlineLevel="0" collapsed="false"/>
    <row r="62897" customFormat="false" ht="12.75" hidden="false" customHeight="true" outlineLevel="0" collapsed="false"/>
    <row r="62898" customFormat="false" ht="12.75" hidden="false" customHeight="true" outlineLevel="0" collapsed="false"/>
    <row r="62899" customFormat="false" ht="12.75" hidden="false" customHeight="true" outlineLevel="0" collapsed="false"/>
    <row r="62900" customFormat="false" ht="12.75" hidden="false" customHeight="true" outlineLevel="0" collapsed="false"/>
    <row r="62901" customFormat="false" ht="12.75" hidden="false" customHeight="true" outlineLevel="0" collapsed="false"/>
    <row r="62902" customFormat="false" ht="12.75" hidden="false" customHeight="true" outlineLevel="0" collapsed="false"/>
    <row r="62903" customFormat="false" ht="12.75" hidden="false" customHeight="true" outlineLevel="0" collapsed="false"/>
    <row r="62904" customFormat="false" ht="12.75" hidden="false" customHeight="true" outlineLevel="0" collapsed="false"/>
    <row r="62905" customFormat="false" ht="12.75" hidden="false" customHeight="true" outlineLevel="0" collapsed="false"/>
    <row r="62906" customFormat="false" ht="12.75" hidden="false" customHeight="true" outlineLevel="0" collapsed="false"/>
    <row r="62907" customFormat="false" ht="12.75" hidden="false" customHeight="true" outlineLevel="0" collapsed="false"/>
    <row r="62908" customFormat="false" ht="12.75" hidden="false" customHeight="true" outlineLevel="0" collapsed="false"/>
    <row r="62909" customFormat="false" ht="12.75" hidden="false" customHeight="true" outlineLevel="0" collapsed="false"/>
    <row r="62910" customFormat="false" ht="12.75" hidden="false" customHeight="true" outlineLevel="0" collapsed="false"/>
    <row r="62911" customFormat="false" ht="12.75" hidden="false" customHeight="true" outlineLevel="0" collapsed="false"/>
    <row r="62912" customFormat="false" ht="12.75" hidden="false" customHeight="true" outlineLevel="0" collapsed="false"/>
    <row r="62913" customFormat="false" ht="12.75" hidden="false" customHeight="true" outlineLevel="0" collapsed="false"/>
    <row r="62914" customFormat="false" ht="12.75" hidden="false" customHeight="true" outlineLevel="0" collapsed="false"/>
    <row r="62915" customFormat="false" ht="12.75" hidden="false" customHeight="true" outlineLevel="0" collapsed="false"/>
    <row r="62916" customFormat="false" ht="12.75" hidden="false" customHeight="true" outlineLevel="0" collapsed="false"/>
    <row r="62917" customFormat="false" ht="12.75" hidden="false" customHeight="true" outlineLevel="0" collapsed="false"/>
    <row r="62918" customFormat="false" ht="12.75" hidden="false" customHeight="true" outlineLevel="0" collapsed="false"/>
    <row r="62919" customFormat="false" ht="12.75" hidden="false" customHeight="true" outlineLevel="0" collapsed="false"/>
    <row r="62920" customFormat="false" ht="12.75" hidden="false" customHeight="true" outlineLevel="0" collapsed="false"/>
    <row r="62921" customFormat="false" ht="12.75" hidden="false" customHeight="true" outlineLevel="0" collapsed="false"/>
    <row r="62922" customFormat="false" ht="12.75" hidden="false" customHeight="true" outlineLevel="0" collapsed="false"/>
    <row r="62923" customFormat="false" ht="12.75" hidden="false" customHeight="true" outlineLevel="0" collapsed="false"/>
    <row r="62924" customFormat="false" ht="12.75" hidden="false" customHeight="true" outlineLevel="0" collapsed="false"/>
    <row r="62925" customFormat="false" ht="12.75" hidden="false" customHeight="true" outlineLevel="0" collapsed="false"/>
    <row r="62926" customFormat="false" ht="12.75" hidden="false" customHeight="true" outlineLevel="0" collapsed="false"/>
    <row r="62927" customFormat="false" ht="12.75" hidden="false" customHeight="true" outlineLevel="0" collapsed="false"/>
    <row r="62928" customFormat="false" ht="12.75" hidden="false" customHeight="true" outlineLevel="0" collapsed="false"/>
    <row r="62929" customFormat="false" ht="12.75" hidden="false" customHeight="true" outlineLevel="0" collapsed="false"/>
    <row r="62930" customFormat="false" ht="12.75" hidden="false" customHeight="true" outlineLevel="0" collapsed="false"/>
    <row r="62931" customFormat="false" ht="12.75" hidden="false" customHeight="true" outlineLevel="0" collapsed="false"/>
    <row r="62932" customFormat="false" ht="12.75" hidden="false" customHeight="true" outlineLevel="0" collapsed="false"/>
    <row r="62933" customFormat="false" ht="12.75" hidden="false" customHeight="true" outlineLevel="0" collapsed="false"/>
    <row r="62934" customFormat="false" ht="12.75" hidden="false" customHeight="true" outlineLevel="0" collapsed="false"/>
    <row r="62935" customFormat="false" ht="12.75" hidden="false" customHeight="true" outlineLevel="0" collapsed="false"/>
    <row r="62936" customFormat="false" ht="12.75" hidden="false" customHeight="true" outlineLevel="0" collapsed="false"/>
    <row r="62937" customFormat="false" ht="12.75" hidden="false" customHeight="true" outlineLevel="0" collapsed="false"/>
    <row r="62938" customFormat="false" ht="12.75" hidden="false" customHeight="true" outlineLevel="0" collapsed="false"/>
    <row r="62939" customFormat="false" ht="12.75" hidden="false" customHeight="true" outlineLevel="0" collapsed="false"/>
    <row r="62940" customFormat="false" ht="12.75" hidden="false" customHeight="true" outlineLevel="0" collapsed="false"/>
    <row r="62941" customFormat="false" ht="12.75" hidden="false" customHeight="true" outlineLevel="0" collapsed="false"/>
    <row r="62942" customFormat="false" ht="12.75" hidden="false" customHeight="true" outlineLevel="0" collapsed="false"/>
    <row r="62943" customFormat="false" ht="12.75" hidden="false" customHeight="true" outlineLevel="0" collapsed="false"/>
    <row r="62944" customFormat="false" ht="12.75" hidden="false" customHeight="true" outlineLevel="0" collapsed="false"/>
    <row r="62945" customFormat="false" ht="12.75" hidden="false" customHeight="true" outlineLevel="0" collapsed="false"/>
    <row r="62946" customFormat="false" ht="12.75" hidden="false" customHeight="true" outlineLevel="0" collapsed="false"/>
    <row r="62947" customFormat="false" ht="12.75" hidden="false" customHeight="true" outlineLevel="0" collapsed="false"/>
    <row r="62948" customFormat="false" ht="12.75" hidden="false" customHeight="true" outlineLevel="0" collapsed="false"/>
    <row r="62949" customFormat="false" ht="12.75" hidden="false" customHeight="true" outlineLevel="0" collapsed="false"/>
    <row r="62950" customFormat="false" ht="12.75" hidden="false" customHeight="true" outlineLevel="0" collapsed="false"/>
    <row r="62951" customFormat="false" ht="12.75" hidden="false" customHeight="true" outlineLevel="0" collapsed="false"/>
    <row r="62952" customFormat="false" ht="12.75" hidden="false" customHeight="true" outlineLevel="0" collapsed="false"/>
    <row r="62953" customFormat="false" ht="12.75" hidden="false" customHeight="true" outlineLevel="0" collapsed="false"/>
    <row r="62954" customFormat="false" ht="12.75" hidden="false" customHeight="true" outlineLevel="0" collapsed="false"/>
    <row r="62955" customFormat="false" ht="12.75" hidden="false" customHeight="true" outlineLevel="0" collapsed="false"/>
    <row r="62956" customFormat="false" ht="12.75" hidden="false" customHeight="true" outlineLevel="0" collapsed="false"/>
    <row r="62957" customFormat="false" ht="12.75" hidden="false" customHeight="true" outlineLevel="0" collapsed="false"/>
    <row r="62958" customFormat="false" ht="12.75" hidden="false" customHeight="true" outlineLevel="0" collapsed="false"/>
    <row r="62959" customFormat="false" ht="12.75" hidden="false" customHeight="true" outlineLevel="0" collapsed="false"/>
    <row r="62960" customFormat="false" ht="12.75" hidden="false" customHeight="true" outlineLevel="0" collapsed="false"/>
    <row r="62961" customFormat="false" ht="12.75" hidden="false" customHeight="true" outlineLevel="0" collapsed="false"/>
    <row r="62962" customFormat="false" ht="12.75" hidden="false" customHeight="true" outlineLevel="0" collapsed="false"/>
    <row r="62963" customFormat="false" ht="12.75" hidden="false" customHeight="true" outlineLevel="0" collapsed="false"/>
    <row r="62964" customFormat="false" ht="12.75" hidden="false" customHeight="true" outlineLevel="0" collapsed="false"/>
    <row r="62965" customFormat="false" ht="12.75" hidden="false" customHeight="true" outlineLevel="0" collapsed="false"/>
    <row r="62966" customFormat="false" ht="12.75" hidden="false" customHeight="true" outlineLevel="0" collapsed="false"/>
    <row r="62967" customFormat="false" ht="12.75" hidden="false" customHeight="true" outlineLevel="0" collapsed="false"/>
    <row r="62968" customFormat="false" ht="12.75" hidden="false" customHeight="true" outlineLevel="0" collapsed="false"/>
    <row r="62969" customFormat="false" ht="12.75" hidden="false" customHeight="true" outlineLevel="0" collapsed="false"/>
    <row r="62970" customFormat="false" ht="12.75" hidden="false" customHeight="true" outlineLevel="0" collapsed="false"/>
    <row r="62971" customFormat="false" ht="12.75" hidden="false" customHeight="true" outlineLevel="0" collapsed="false"/>
    <row r="62972" customFormat="false" ht="12.75" hidden="false" customHeight="true" outlineLevel="0" collapsed="false"/>
    <row r="62973" customFormat="false" ht="12.75" hidden="false" customHeight="true" outlineLevel="0" collapsed="false"/>
    <row r="62974" customFormat="false" ht="12.75" hidden="false" customHeight="true" outlineLevel="0" collapsed="false"/>
    <row r="62975" customFormat="false" ht="12.75" hidden="false" customHeight="true" outlineLevel="0" collapsed="false"/>
    <row r="62976" customFormat="false" ht="12.75" hidden="false" customHeight="true" outlineLevel="0" collapsed="false"/>
    <row r="62977" customFormat="false" ht="12.75" hidden="false" customHeight="true" outlineLevel="0" collapsed="false"/>
    <row r="62978" customFormat="false" ht="12.75" hidden="false" customHeight="true" outlineLevel="0" collapsed="false"/>
    <row r="62979" customFormat="false" ht="12.75" hidden="false" customHeight="true" outlineLevel="0" collapsed="false"/>
    <row r="62980" customFormat="false" ht="12.75" hidden="false" customHeight="true" outlineLevel="0" collapsed="false"/>
    <row r="62981" customFormat="false" ht="12.75" hidden="false" customHeight="true" outlineLevel="0" collapsed="false"/>
    <row r="62982" customFormat="false" ht="12.75" hidden="false" customHeight="true" outlineLevel="0" collapsed="false"/>
    <row r="62983" customFormat="false" ht="12.75" hidden="false" customHeight="true" outlineLevel="0" collapsed="false"/>
    <row r="62984" customFormat="false" ht="12.75" hidden="false" customHeight="true" outlineLevel="0" collapsed="false"/>
    <row r="62985" customFormat="false" ht="12.75" hidden="false" customHeight="true" outlineLevel="0" collapsed="false"/>
    <row r="62986" customFormat="false" ht="12.75" hidden="false" customHeight="true" outlineLevel="0" collapsed="false"/>
    <row r="62987" customFormat="false" ht="12.75" hidden="false" customHeight="true" outlineLevel="0" collapsed="false"/>
    <row r="62988" customFormat="false" ht="12.75" hidden="false" customHeight="true" outlineLevel="0" collapsed="false"/>
    <row r="62989" customFormat="false" ht="12.75" hidden="false" customHeight="true" outlineLevel="0" collapsed="false"/>
    <row r="62990" customFormat="false" ht="12.75" hidden="false" customHeight="true" outlineLevel="0" collapsed="false"/>
    <row r="62991" customFormat="false" ht="12.75" hidden="false" customHeight="true" outlineLevel="0" collapsed="false"/>
    <row r="62992" customFormat="false" ht="12.75" hidden="false" customHeight="true" outlineLevel="0" collapsed="false"/>
    <row r="62993" customFormat="false" ht="12.75" hidden="false" customHeight="true" outlineLevel="0" collapsed="false"/>
    <row r="62994" customFormat="false" ht="12.75" hidden="false" customHeight="true" outlineLevel="0" collapsed="false"/>
    <row r="62995" customFormat="false" ht="12.75" hidden="false" customHeight="true" outlineLevel="0" collapsed="false"/>
    <row r="62996" customFormat="false" ht="12.75" hidden="false" customHeight="true" outlineLevel="0" collapsed="false"/>
    <row r="62997" customFormat="false" ht="12.75" hidden="false" customHeight="true" outlineLevel="0" collapsed="false"/>
    <row r="62998" customFormat="false" ht="12.75" hidden="false" customHeight="true" outlineLevel="0" collapsed="false"/>
    <row r="62999" customFormat="false" ht="12.75" hidden="false" customHeight="true" outlineLevel="0" collapsed="false"/>
    <row r="63000" customFormat="false" ht="12.75" hidden="false" customHeight="true" outlineLevel="0" collapsed="false"/>
    <row r="63001" customFormat="false" ht="12.75" hidden="false" customHeight="true" outlineLevel="0" collapsed="false"/>
    <row r="63002" customFormat="false" ht="12.75" hidden="false" customHeight="true" outlineLevel="0" collapsed="false"/>
    <row r="63003" customFormat="false" ht="12.75" hidden="false" customHeight="true" outlineLevel="0" collapsed="false"/>
    <row r="63004" customFormat="false" ht="12.75" hidden="false" customHeight="true" outlineLevel="0" collapsed="false"/>
    <row r="63005" customFormat="false" ht="12.75" hidden="false" customHeight="true" outlineLevel="0" collapsed="false"/>
    <row r="63006" customFormat="false" ht="12.75" hidden="false" customHeight="true" outlineLevel="0" collapsed="false"/>
    <row r="63007" customFormat="false" ht="12.75" hidden="false" customHeight="true" outlineLevel="0" collapsed="false"/>
    <row r="63008" customFormat="false" ht="12.75" hidden="false" customHeight="true" outlineLevel="0" collapsed="false"/>
    <row r="63009" customFormat="false" ht="12.75" hidden="false" customHeight="true" outlineLevel="0" collapsed="false"/>
    <row r="63010" customFormat="false" ht="12.75" hidden="false" customHeight="true" outlineLevel="0" collapsed="false"/>
    <row r="63011" customFormat="false" ht="12.75" hidden="false" customHeight="true" outlineLevel="0" collapsed="false"/>
    <row r="63012" customFormat="false" ht="12.75" hidden="false" customHeight="true" outlineLevel="0" collapsed="false"/>
    <row r="63013" customFormat="false" ht="12.75" hidden="false" customHeight="true" outlineLevel="0" collapsed="false"/>
    <row r="63014" customFormat="false" ht="12.75" hidden="false" customHeight="true" outlineLevel="0" collapsed="false"/>
    <row r="63015" customFormat="false" ht="12.75" hidden="false" customHeight="true" outlineLevel="0" collapsed="false"/>
    <row r="63016" customFormat="false" ht="12.75" hidden="false" customHeight="true" outlineLevel="0" collapsed="false"/>
    <row r="63017" customFormat="false" ht="12.75" hidden="false" customHeight="true" outlineLevel="0" collapsed="false"/>
    <row r="63018" customFormat="false" ht="12.75" hidden="false" customHeight="true" outlineLevel="0" collapsed="false"/>
    <row r="63019" customFormat="false" ht="12.75" hidden="false" customHeight="true" outlineLevel="0" collapsed="false"/>
    <row r="63020" customFormat="false" ht="12.75" hidden="false" customHeight="true" outlineLevel="0" collapsed="false"/>
    <row r="63021" customFormat="false" ht="12.75" hidden="false" customHeight="true" outlineLevel="0" collapsed="false"/>
    <row r="63022" customFormat="false" ht="12.75" hidden="false" customHeight="true" outlineLevel="0" collapsed="false"/>
    <row r="63023" customFormat="false" ht="12.75" hidden="false" customHeight="true" outlineLevel="0" collapsed="false"/>
    <row r="63024" customFormat="false" ht="12.75" hidden="false" customHeight="true" outlineLevel="0" collapsed="false"/>
    <row r="63025" customFormat="false" ht="12.75" hidden="false" customHeight="true" outlineLevel="0" collapsed="false"/>
    <row r="63026" customFormat="false" ht="12.75" hidden="false" customHeight="true" outlineLevel="0" collapsed="false"/>
    <row r="63027" customFormat="false" ht="12.75" hidden="false" customHeight="true" outlineLevel="0" collapsed="false"/>
    <row r="63028" customFormat="false" ht="12.75" hidden="false" customHeight="true" outlineLevel="0" collapsed="false"/>
    <row r="63029" customFormat="false" ht="12.75" hidden="false" customHeight="true" outlineLevel="0" collapsed="false"/>
    <row r="63030" customFormat="false" ht="12.75" hidden="false" customHeight="true" outlineLevel="0" collapsed="false"/>
    <row r="63031" customFormat="false" ht="12.75" hidden="false" customHeight="true" outlineLevel="0" collapsed="false"/>
    <row r="63032" customFormat="false" ht="12.75" hidden="false" customHeight="true" outlineLevel="0" collapsed="false"/>
    <row r="63033" customFormat="false" ht="12.75" hidden="false" customHeight="true" outlineLevel="0" collapsed="false"/>
    <row r="63034" customFormat="false" ht="12.75" hidden="false" customHeight="true" outlineLevel="0" collapsed="false"/>
    <row r="63035" customFormat="false" ht="12.75" hidden="false" customHeight="true" outlineLevel="0" collapsed="false"/>
    <row r="63036" customFormat="false" ht="12.75" hidden="false" customHeight="true" outlineLevel="0" collapsed="false"/>
    <row r="63037" customFormat="false" ht="12.75" hidden="false" customHeight="true" outlineLevel="0" collapsed="false"/>
    <row r="63038" customFormat="false" ht="12.75" hidden="false" customHeight="true" outlineLevel="0" collapsed="false"/>
    <row r="63039" customFormat="false" ht="12.75" hidden="false" customHeight="true" outlineLevel="0" collapsed="false"/>
    <row r="63040" customFormat="false" ht="12.75" hidden="false" customHeight="true" outlineLevel="0" collapsed="false"/>
    <row r="63041" customFormat="false" ht="12.75" hidden="false" customHeight="true" outlineLevel="0" collapsed="false"/>
    <row r="63042" customFormat="false" ht="12.75" hidden="false" customHeight="true" outlineLevel="0" collapsed="false"/>
    <row r="63043" customFormat="false" ht="12.75" hidden="false" customHeight="true" outlineLevel="0" collapsed="false"/>
    <row r="63044" customFormat="false" ht="12.75" hidden="false" customHeight="true" outlineLevel="0" collapsed="false"/>
    <row r="63045" customFormat="false" ht="12.75" hidden="false" customHeight="true" outlineLevel="0" collapsed="false"/>
    <row r="63046" customFormat="false" ht="12.75" hidden="false" customHeight="true" outlineLevel="0" collapsed="false"/>
    <row r="63047" customFormat="false" ht="12.75" hidden="false" customHeight="true" outlineLevel="0" collapsed="false"/>
    <row r="63048" customFormat="false" ht="12.75" hidden="false" customHeight="true" outlineLevel="0" collapsed="false"/>
    <row r="63049" customFormat="false" ht="12.75" hidden="false" customHeight="true" outlineLevel="0" collapsed="false"/>
    <row r="63050" customFormat="false" ht="12.75" hidden="false" customHeight="true" outlineLevel="0" collapsed="false"/>
    <row r="63051" customFormat="false" ht="12.75" hidden="false" customHeight="true" outlineLevel="0" collapsed="false"/>
    <row r="63052" customFormat="false" ht="12.75" hidden="false" customHeight="true" outlineLevel="0" collapsed="false"/>
    <row r="63053" customFormat="false" ht="12.75" hidden="false" customHeight="true" outlineLevel="0" collapsed="false"/>
    <row r="63054" customFormat="false" ht="12.75" hidden="false" customHeight="true" outlineLevel="0" collapsed="false"/>
    <row r="63055" customFormat="false" ht="12.75" hidden="false" customHeight="true" outlineLevel="0" collapsed="false"/>
    <row r="63056" customFormat="false" ht="12.75" hidden="false" customHeight="true" outlineLevel="0" collapsed="false"/>
    <row r="63057" customFormat="false" ht="12.75" hidden="false" customHeight="true" outlineLevel="0" collapsed="false"/>
    <row r="63058" customFormat="false" ht="12.75" hidden="false" customHeight="true" outlineLevel="0" collapsed="false"/>
    <row r="63059" customFormat="false" ht="12.75" hidden="false" customHeight="true" outlineLevel="0" collapsed="false"/>
    <row r="63060" customFormat="false" ht="12.75" hidden="false" customHeight="true" outlineLevel="0" collapsed="false"/>
    <row r="63061" customFormat="false" ht="12.75" hidden="false" customHeight="true" outlineLevel="0" collapsed="false"/>
    <row r="63062" customFormat="false" ht="12.75" hidden="false" customHeight="true" outlineLevel="0" collapsed="false"/>
    <row r="63063" customFormat="false" ht="12.75" hidden="false" customHeight="true" outlineLevel="0" collapsed="false"/>
    <row r="63064" customFormat="false" ht="12.75" hidden="false" customHeight="true" outlineLevel="0" collapsed="false"/>
    <row r="63065" customFormat="false" ht="12.75" hidden="false" customHeight="true" outlineLevel="0" collapsed="false"/>
    <row r="63066" customFormat="false" ht="12.75" hidden="false" customHeight="true" outlineLevel="0" collapsed="false"/>
    <row r="63067" customFormat="false" ht="12.75" hidden="false" customHeight="true" outlineLevel="0" collapsed="false"/>
    <row r="63068" customFormat="false" ht="12.75" hidden="false" customHeight="true" outlineLevel="0" collapsed="false"/>
    <row r="63069" customFormat="false" ht="12.75" hidden="false" customHeight="true" outlineLevel="0" collapsed="false"/>
    <row r="63070" customFormat="false" ht="12.75" hidden="false" customHeight="true" outlineLevel="0" collapsed="false"/>
    <row r="63071" customFormat="false" ht="12.75" hidden="false" customHeight="true" outlineLevel="0" collapsed="false"/>
    <row r="63072" customFormat="false" ht="12.75" hidden="false" customHeight="true" outlineLevel="0" collapsed="false"/>
    <row r="63073" customFormat="false" ht="12.75" hidden="false" customHeight="true" outlineLevel="0" collapsed="false"/>
    <row r="63074" customFormat="false" ht="12.75" hidden="false" customHeight="true" outlineLevel="0" collapsed="false"/>
    <row r="63075" customFormat="false" ht="12.75" hidden="false" customHeight="true" outlineLevel="0" collapsed="false"/>
    <row r="63076" customFormat="false" ht="12.75" hidden="false" customHeight="true" outlineLevel="0" collapsed="false"/>
    <row r="63077" customFormat="false" ht="12.75" hidden="false" customHeight="true" outlineLevel="0" collapsed="false"/>
    <row r="63078" customFormat="false" ht="12.75" hidden="false" customHeight="true" outlineLevel="0" collapsed="false"/>
    <row r="63079" customFormat="false" ht="12.75" hidden="false" customHeight="true" outlineLevel="0" collapsed="false"/>
    <row r="63080" customFormat="false" ht="12.75" hidden="false" customHeight="true" outlineLevel="0" collapsed="false"/>
    <row r="63081" customFormat="false" ht="12.75" hidden="false" customHeight="true" outlineLevel="0" collapsed="false"/>
    <row r="63082" customFormat="false" ht="12.75" hidden="false" customHeight="true" outlineLevel="0" collapsed="false"/>
    <row r="63083" customFormat="false" ht="12.75" hidden="false" customHeight="true" outlineLevel="0" collapsed="false"/>
    <row r="63084" customFormat="false" ht="12.75" hidden="false" customHeight="true" outlineLevel="0" collapsed="false"/>
    <row r="63085" customFormat="false" ht="12.75" hidden="false" customHeight="true" outlineLevel="0" collapsed="false"/>
    <row r="63086" customFormat="false" ht="12.75" hidden="false" customHeight="true" outlineLevel="0" collapsed="false"/>
    <row r="63087" customFormat="false" ht="12.75" hidden="false" customHeight="true" outlineLevel="0" collapsed="false"/>
    <row r="63088" customFormat="false" ht="12.75" hidden="false" customHeight="true" outlineLevel="0" collapsed="false"/>
    <row r="63089" customFormat="false" ht="12.75" hidden="false" customHeight="true" outlineLevel="0" collapsed="false"/>
    <row r="63090" customFormat="false" ht="12.75" hidden="false" customHeight="true" outlineLevel="0" collapsed="false"/>
    <row r="63091" customFormat="false" ht="12.75" hidden="false" customHeight="true" outlineLevel="0" collapsed="false"/>
    <row r="63092" customFormat="false" ht="12.75" hidden="false" customHeight="true" outlineLevel="0" collapsed="false"/>
    <row r="63093" customFormat="false" ht="12.75" hidden="false" customHeight="true" outlineLevel="0" collapsed="false"/>
    <row r="63094" customFormat="false" ht="12.75" hidden="false" customHeight="true" outlineLevel="0" collapsed="false"/>
    <row r="63095" customFormat="false" ht="12.75" hidden="false" customHeight="true" outlineLevel="0" collapsed="false"/>
    <row r="63096" customFormat="false" ht="12.75" hidden="false" customHeight="true" outlineLevel="0" collapsed="false"/>
    <row r="63097" customFormat="false" ht="12.75" hidden="false" customHeight="true" outlineLevel="0" collapsed="false"/>
    <row r="63098" customFormat="false" ht="12.75" hidden="false" customHeight="true" outlineLevel="0" collapsed="false"/>
    <row r="63099" customFormat="false" ht="12.75" hidden="false" customHeight="true" outlineLevel="0" collapsed="false"/>
    <row r="63100" customFormat="false" ht="12.75" hidden="false" customHeight="true" outlineLevel="0" collapsed="false"/>
    <row r="63101" customFormat="false" ht="12.75" hidden="false" customHeight="true" outlineLevel="0" collapsed="false"/>
    <row r="63102" customFormat="false" ht="12.75" hidden="false" customHeight="true" outlineLevel="0" collapsed="false"/>
    <row r="63103" customFormat="false" ht="12.75" hidden="false" customHeight="true" outlineLevel="0" collapsed="false"/>
    <row r="63104" customFormat="false" ht="12.75" hidden="false" customHeight="true" outlineLevel="0" collapsed="false"/>
    <row r="63105" customFormat="false" ht="12.75" hidden="false" customHeight="true" outlineLevel="0" collapsed="false"/>
    <row r="63106" customFormat="false" ht="12.75" hidden="false" customHeight="true" outlineLevel="0" collapsed="false"/>
    <row r="63107" customFormat="false" ht="12.75" hidden="false" customHeight="true" outlineLevel="0" collapsed="false"/>
    <row r="63108" customFormat="false" ht="12.75" hidden="false" customHeight="true" outlineLevel="0" collapsed="false"/>
    <row r="63109" customFormat="false" ht="12.75" hidden="false" customHeight="true" outlineLevel="0" collapsed="false"/>
    <row r="63110" customFormat="false" ht="12.75" hidden="false" customHeight="true" outlineLevel="0" collapsed="false"/>
    <row r="63111" customFormat="false" ht="12.75" hidden="false" customHeight="true" outlineLevel="0" collapsed="false"/>
    <row r="63112" customFormat="false" ht="12.75" hidden="false" customHeight="true" outlineLevel="0" collapsed="false"/>
    <row r="63113" customFormat="false" ht="12.75" hidden="false" customHeight="true" outlineLevel="0" collapsed="false"/>
    <row r="63114" customFormat="false" ht="12.75" hidden="false" customHeight="true" outlineLevel="0" collapsed="false"/>
    <row r="63115" customFormat="false" ht="12.75" hidden="false" customHeight="true" outlineLevel="0" collapsed="false"/>
    <row r="63116" customFormat="false" ht="12.75" hidden="false" customHeight="true" outlineLevel="0" collapsed="false"/>
    <row r="63117" customFormat="false" ht="12.75" hidden="false" customHeight="true" outlineLevel="0" collapsed="false"/>
    <row r="63118" customFormat="false" ht="12.75" hidden="false" customHeight="true" outlineLevel="0" collapsed="false"/>
    <row r="63119" customFormat="false" ht="12.75" hidden="false" customHeight="true" outlineLevel="0" collapsed="false"/>
    <row r="63120" customFormat="false" ht="12.75" hidden="false" customHeight="true" outlineLevel="0" collapsed="false"/>
    <row r="63121" customFormat="false" ht="12.75" hidden="false" customHeight="true" outlineLevel="0" collapsed="false"/>
    <row r="63122" customFormat="false" ht="12.75" hidden="false" customHeight="true" outlineLevel="0" collapsed="false"/>
    <row r="63123" customFormat="false" ht="12.75" hidden="false" customHeight="true" outlineLevel="0" collapsed="false"/>
    <row r="63124" customFormat="false" ht="12.75" hidden="false" customHeight="true" outlineLevel="0" collapsed="false"/>
    <row r="63125" customFormat="false" ht="12.75" hidden="false" customHeight="true" outlineLevel="0" collapsed="false"/>
    <row r="63126" customFormat="false" ht="12.75" hidden="false" customHeight="true" outlineLevel="0" collapsed="false"/>
    <row r="63127" customFormat="false" ht="12.75" hidden="false" customHeight="true" outlineLevel="0" collapsed="false"/>
    <row r="63128" customFormat="false" ht="12.75" hidden="false" customHeight="true" outlineLevel="0" collapsed="false"/>
    <row r="63129" customFormat="false" ht="12.75" hidden="false" customHeight="true" outlineLevel="0" collapsed="false"/>
    <row r="63130" customFormat="false" ht="12.75" hidden="false" customHeight="true" outlineLevel="0" collapsed="false"/>
    <row r="63131" customFormat="false" ht="12.75" hidden="false" customHeight="true" outlineLevel="0" collapsed="false"/>
    <row r="63132" customFormat="false" ht="12.75" hidden="false" customHeight="true" outlineLevel="0" collapsed="false"/>
    <row r="63133" customFormat="false" ht="12.75" hidden="false" customHeight="true" outlineLevel="0" collapsed="false"/>
    <row r="63134" customFormat="false" ht="12.75" hidden="false" customHeight="true" outlineLevel="0" collapsed="false"/>
    <row r="63135" customFormat="false" ht="12.75" hidden="false" customHeight="true" outlineLevel="0" collapsed="false"/>
    <row r="63136" customFormat="false" ht="12.75" hidden="false" customHeight="true" outlineLevel="0" collapsed="false"/>
    <row r="63137" customFormat="false" ht="12.75" hidden="false" customHeight="true" outlineLevel="0" collapsed="false"/>
    <row r="63138" customFormat="false" ht="12.75" hidden="false" customHeight="true" outlineLevel="0" collapsed="false"/>
    <row r="63139" customFormat="false" ht="12.75" hidden="false" customHeight="true" outlineLevel="0" collapsed="false"/>
    <row r="63140" customFormat="false" ht="12.75" hidden="false" customHeight="true" outlineLevel="0" collapsed="false"/>
    <row r="63141" customFormat="false" ht="12.75" hidden="false" customHeight="true" outlineLevel="0" collapsed="false"/>
    <row r="63142" customFormat="false" ht="12.75" hidden="false" customHeight="true" outlineLevel="0" collapsed="false"/>
    <row r="63143" customFormat="false" ht="12.75" hidden="false" customHeight="true" outlineLevel="0" collapsed="false"/>
    <row r="63144" customFormat="false" ht="12.75" hidden="false" customHeight="true" outlineLevel="0" collapsed="false"/>
    <row r="63145" customFormat="false" ht="12.75" hidden="false" customHeight="true" outlineLevel="0" collapsed="false"/>
    <row r="63146" customFormat="false" ht="12.75" hidden="false" customHeight="true" outlineLevel="0" collapsed="false"/>
    <row r="63147" customFormat="false" ht="12.75" hidden="false" customHeight="true" outlineLevel="0" collapsed="false"/>
    <row r="63148" customFormat="false" ht="12.75" hidden="false" customHeight="true" outlineLevel="0" collapsed="false"/>
    <row r="63149" customFormat="false" ht="12.75" hidden="false" customHeight="true" outlineLevel="0" collapsed="false"/>
    <row r="63150" customFormat="false" ht="12.75" hidden="false" customHeight="true" outlineLevel="0" collapsed="false"/>
    <row r="63151" customFormat="false" ht="12.75" hidden="false" customHeight="true" outlineLevel="0" collapsed="false"/>
    <row r="63152" customFormat="false" ht="12.75" hidden="false" customHeight="true" outlineLevel="0" collapsed="false"/>
    <row r="63153" customFormat="false" ht="12.75" hidden="false" customHeight="true" outlineLevel="0" collapsed="false"/>
    <row r="63154" customFormat="false" ht="12.75" hidden="false" customHeight="true" outlineLevel="0" collapsed="false"/>
    <row r="63155" customFormat="false" ht="12.75" hidden="false" customHeight="true" outlineLevel="0" collapsed="false"/>
    <row r="63156" customFormat="false" ht="12.75" hidden="false" customHeight="true" outlineLevel="0" collapsed="false"/>
    <row r="63157" customFormat="false" ht="12.75" hidden="false" customHeight="true" outlineLevel="0" collapsed="false"/>
    <row r="63158" customFormat="false" ht="12.75" hidden="false" customHeight="true" outlineLevel="0" collapsed="false"/>
    <row r="63159" customFormat="false" ht="12.75" hidden="false" customHeight="true" outlineLevel="0" collapsed="false"/>
    <row r="63160" customFormat="false" ht="12.75" hidden="false" customHeight="true" outlineLevel="0" collapsed="false"/>
    <row r="63161" customFormat="false" ht="12.75" hidden="false" customHeight="true" outlineLevel="0" collapsed="false"/>
    <row r="63162" customFormat="false" ht="12.75" hidden="false" customHeight="true" outlineLevel="0" collapsed="false"/>
    <row r="63163" customFormat="false" ht="12.75" hidden="false" customHeight="true" outlineLevel="0" collapsed="false"/>
    <row r="63164" customFormat="false" ht="12.75" hidden="false" customHeight="true" outlineLevel="0" collapsed="false"/>
    <row r="63165" customFormat="false" ht="12.75" hidden="false" customHeight="true" outlineLevel="0" collapsed="false"/>
    <row r="63166" customFormat="false" ht="12.75" hidden="false" customHeight="true" outlineLevel="0" collapsed="false"/>
    <row r="63167" customFormat="false" ht="12.75" hidden="false" customHeight="true" outlineLevel="0" collapsed="false"/>
    <row r="63168" customFormat="false" ht="12.75" hidden="false" customHeight="true" outlineLevel="0" collapsed="false"/>
    <row r="63169" customFormat="false" ht="12.75" hidden="false" customHeight="true" outlineLevel="0" collapsed="false"/>
    <row r="63170" customFormat="false" ht="12.75" hidden="false" customHeight="true" outlineLevel="0" collapsed="false"/>
    <row r="63171" customFormat="false" ht="12.75" hidden="false" customHeight="true" outlineLevel="0" collapsed="false"/>
    <row r="63172" customFormat="false" ht="12.75" hidden="false" customHeight="true" outlineLevel="0" collapsed="false"/>
    <row r="63173" customFormat="false" ht="12.75" hidden="false" customHeight="true" outlineLevel="0" collapsed="false"/>
    <row r="63174" customFormat="false" ht="12.75" hidden="false" customHeight="true" outlineLevel="0" collapsed="false"/>
    <row r="63175" customFormat="false" ht="12.75" hidden="false" customHeight="true" outlineLevel="0" collapsed="false"/>
    <row r="63176" customFormat="false" ht="12.75" hidden="false" customHeight="true" outlineLevel="0" collapsed="false"/>
    <row r="63177" customFormat="false" ht="12.75" hidden="false" customHeight="true" outlineLevel="0" collapsed="false"/>
    <row r="63178" customFormat="false" ht="12.75" hidden="false" customHeight="true" outlineLevel="0" collapsed="false"/>
    <row r="63179" customFormat="false" ht="12.75" hidden="false" customHeight="true" outlineLevel="0" collapsed="false"/>
    <row r="63180" customFormat="false" ht="12.75" hidden="false" customHeight="true" outlineLevel="0" collapsed="false"/>
    <row r="63181" customFormat="false" ht="12.75" hidden="false" customHeight="true" outlineLevel="0" collapsed="false"/>
    <row r="63182" customFormat="false" ht="12.75" hidden="false" customHeight="true" outlineLevel="0" collapsed="false"/>
    <row r="63183" customFormat="false" ht="12.75" hidden="false" customHeight="true" outlineLevel="0" collapsed="false"/>
    <row r="63184" customFormat="false" ht="12.75" hidden="false" customHeight="true" outlineLevel="0" collapsed="false"/>
    <row r="63185" customFormat="false" ht="12.75" hidden="false" customHeight="true" outlineLevel="0" collapsed="false"/>
    <row r="63186" customFormat="false" ht="12.75" hidden="false" customHeight="true" outlineLevel="0" collapsed="false"/>
    <row r="63187" customFormat="false" ht="12.75" hidden="false" customHeight="true" outlineLevel="0" collapsed="false"/>
    <row r="63188" customFormat="false" ht="12.75" hidden="false" customHeight="true" outlineLevel="0" collapsed="false"/>
    <row r="63189" customFormat="false" ht="12.75" hidden="false" customHeight="true" outlineLevel="0" collapsed="false"/>
    <row r="63190" customFormat="false" ht="12.75" hidden="false" customHeight="true" outlineLevel="0" collapsed="false"/>
    <row r="63191" customFormat="false" ht="12.75" hidden="false" customHeight="true" outlineLevel="0" collapsed="false"/>
    <row r="63192" customFormat="false" ht="12.75" hidden="false" customHeight="true" outlineLevel="0" collapsed="false"/>
    <row r="63193" customFormat="false" ht="12.75" hidden="false" customHeight="true" outlineLevel="0" collapsed="false"/>
    <row r="63194" customFormat="false" ht="12.75" hidden="false" customHeight="true" outlineLevel="0" collapsed="false"/>
    <row r="63195" customFormat="false" ht="12.75" hidden="false" customHeight="true" outlineLevel="0" collapsed="false"/>
    <row r="63196" customFormat="false" ht="12.75" hidden="false" customHeight="true" outlineLevel="0" collapsed="false"/>
    <row r="63197" customFormat="false" ht="12.75" hidden="false" customHeight="true" outlineLevel="0" collapsed="false"/>
    <row r="63198" customFormat="false" ht="12.75" hidden="false" customHeight="true" outlineLevel="0" collapsed="false"/>
    <row r="63199" customFormat="false" ht="12.75" hidden="false" customHeight="true" outlineLevel="0" collapsed="false"/>
    <row r="63200" customFormat="false" ht="12.75" hidden="false" customHeight="true" outlineLevel="0" collapsed="false"/>
    <row r="63201" customFormat="false" ht="12.75" hidden="false" customHeight="true" outlineLevel="0" collapsed="false"/>
    <row r="63202" customFormat="false" ht="12.75" hidden="false" customHeight="true" outlineLevel="0" collapsed="false"/>
    <row r="63203" customFormat="false" ht="12.75" hidden="false" customHeight="true" outlineLevel="0" collapsed="false"/>
    <row r="63204" customFormat="false" ht="12.75" hidden="false" customHeight="true" outlineLevel="0" collapsed="false"/>
    <row r="63205" customFormat="false" ht="12.75" hidden="false" customHeight="true" outlineLevel="0" collapsed="false"/>
    <row r="63206" customFormat="false" ht="12.75" hidden="false" customHeight="true" outlineLevel="0" collapsed="false"/>
    <row r="63207" customFormat="false" ht="12.75" hidden="false" customHeight="true" outlineLevel="0" collapsed="false"/>
    <row r="63208" customFormat="false" ht="12.75" hidden="false" customHeight="true" outlineLevel="0" collapsed="false"/>
    <row r="63209" customFormat="false" ht="12.75" hidden="false" customHeight="true" outlineLevel="0" collapsed="false"/>
    <row r="63210" customFormat="false" ht="12.75" hidden="false" customHeight="true" outlineLevel="0" collapsed="false"/>
    <row r="63211" customFormat="false" ht="12.75" hidden="false" customHeight="true" outlineLevel="0" collapsed="false"/>
    <row r="63212" customFormat="false" ht="12.75" hidden="false" customHeight="true" outlineLevel="0" collapsed="false"/>
    <row r="63213" customFormat="false" ht="12.75" hidden="false" customHeight="true" outlineLevel="0" collapsed="false"/>
    <row r="63214" customFormat="false" ht="12.75" hidden="false" customHeight="true" outlineLevel="0" collapsed="false"/>
    <row r="63215" customFormat="false" ht="12.75" hidden="false" customHeight="true" outlineLevel="0" collapsed="false"/>
    <row r="63216" customFormat="false" ht="12.75" hidden="false" customHeight="true" outlineLevel="0" collapsed="false"/>
    <row r="63217" customFormat="false" ht="12.75" hidden="false" customHeight="true" outlineLevel="0" collapsed="false"/>
    <row r="63218" customFormat="false" ht="12.75" hidden="false" customHeight="true" outlineLevel="0" collapsed="false"/>
    <row r="63219" customFormat="false" ht="12.75" hidden="false" customHeight="true" outlineLevel="0" collapsed="false"/>
    <row r="63220" customFormat="false" ht="12.75" hidden="false" customHeight="true" outlineLevel="0" collapsed="false"/>
    <row r="63221" customFormat="false" ht="12.75" hidden="false" customHeight="true" outlineLevel="0" collapsed="false"/>
    <row r="63222" customFormat="false" ht="12.75" hidden="false" customHeight="true" outlineLevel="0" collapsed="false"/>
    <row r="63223" customFormat="false" ht="12.75" hidden="false" customHeight="true" outlineLevel="0" collapsed="false"/>
    <row r="63224" customFormat="false" ht="12.75" hidden="false" customHeight="true" outlineLevel="0" collapsed="false"/>
    <row r="63225" customFormat="false" ht="12.75" hidden="false" customHeight="true" outlineLevel="0" collapsed="false"/>
    <row r="63226" customFormat="false" ht="12.75" hidden="false" customHeight="true" outlineLevel="0" collapsed="false"/>
    <row r="63227" customFormat="false" ht="12.75" hidden="false" customHeight="true" outlineLevel="0" collapsed="false"/>
    <row r="63228" customFormat="false" ht="12.75" hidden="false" customHeight="true" outlineLevel="0" collapsed="false"/>
    <row r="63229" customFormat="false" ht="12.75" hidden="false" customHeight="true" outlineLevel="0" collapsed="false"/>
    <row r="63230" customFormat="false" ht="12.75" hidden="false" customHeight="true" outlineLevel="0" collapsed="false"/>
    <row r="63231" customFormat="false" ht="12.75" hidden="false" customHeight="true" outlineLevel="0" collapsed="false"/>
    <row r="63232" customFormat="false" ht="12.75" hidden="false" customHeight="true" outlineLevel="0" collapsed="false"/>
    <row r="63233" customFormat="false" ht="12.75" hidden="false" customHeight="true" outlineLevel="0" collapsed="false"/>
    <row r="63234" customFormat="false" ht="12.75" hidden="false" customHeight="true" outlineLevel="0" collapsed="false"/>
    <row r="63235" customFormat="false" ht="12.75" hidden="false" customHeight="true" outlineLevel="0" collapsed="false"/>
    <row r="63236" customFormat="false" ht="12.75" hidden="false" customHeight="true" outlineLevel="0" collapsed="false"/>
    <row r="63237" customFormat="false" ht="12.75" hidden="false" customHeight="true" outlineLevel="0" collapsed="false"/>
    <row r="63238" customFormat="false" ht="12.75" hidden="false" customHeight="true" outlineLevel="0" collapsed="false"/>
    <row r="63239" customFormat="false" ht="12.75" hidden="false" customHeight="true" outlineLevel="0" collapsed="false"/>
    <row r="63240" customFormat="false" ht="12.75" hidden="false" customHeight="true" outlineLevel="0" collapsed="false"/>
    <row r="63241" customFormat="false" ht="12.75" hidden="false" customHeight="true" outlineLevel="0" collapsed="false"/>
    <row r="63242" customFormat="false" ht="12.75" hidden="false" customHeight="true" outlineLevel="0" collapsed="false"/>
    <row r="63243" customFormat="false" ht="12.75" hidden="false" customHeight="true" outlineLevel="0" collapsed="false"/>
    <row r="63244" customFormat="false" ht="12.75" hidden="false" customHeight="true" outlineLevel="0" collapsed="false"/>
    <row r="63245" customFormat="false" ht="12.75" hidden="false" customHeight="true" outlineLevel="0" collapsed="false"/>
    <row r="63246" customFormat="false" ht="12.75" hidden="false" customHeight="true" outlineLevel="0" collapsed="false"/>
    <row r="63247" customFormat="false" ht="12.75" hidden="false" customHeight="true" outlineLevel="0" collapsed="false"/>
    <row r="63248" customFormat="false" ht="12.75" hidden="false" customHeight="true" outlineLevel="0" collapsed="false"/>
    <row r="63249" customFormat="false" ht="12.75" hidden="false" customHeight="true" outlineLevel="0" collapsed="false"/>
    <row r="63250" customFormat="false" ht="12.75" hidden="false" customHeight="true" outlineLevel="0" collapsed="false"/>
    <row r="63251" customFormat="false" ht="12.75" hidden="false" customHeight="true" outlineLevel="0" collapsed="false"/>
    <row r="63252" customFormat="false" ht="12.75" hidden="false" customHeight="true" outlineLevel="0" collapsed="false"/>
    <row r="63253" customFormat="false" ht="12.75" hidden="false" customHeight="true" outlineLevel="0" collapsed="false"/>
    <row r="63254" customFormat="false" ht="12.75" hidden="false" customHeight="true" outlineLevel="0" collapsed="false"/>
    <row r="63255" customFormat="false" ht="12.75" hidden="false" customHeight="true" outlineLevel="0" collapsed="false"/>
    <row r="63256" customFormat="false" ht="12.75" hidden="false" customHeight="true" outlineLevel="0" collapsed="false"/>
    <row r="63257" customFormat="false" ht="12.75" hidden="false" customHeight="true" outlineLevel="0" collapsed="false"/>
    <row r="63258" customFormat="false" ht="12.75" hidden="false" customHeight="true" outlineLevel="0" collapsed="false"/>
    <row r="63259" customFormat="false" ht="12.75" hidden="false" customHeight="true" outlineLevel="0" collapsed="false"/>
    <row r="63260" customFormat="false" ht="12.75" hidden="false" customHeight="true" outlineLevel="0" collapsed="false"/>
    <row r="63261" customFormat="false" ht="12.75" hidden="false" customHeight="true" outlineLevel="0" collapsed="false"/>
    <row r="63262" customFormat="false" ht="12.75" hidden="false" customHeight="true" outlineLevel="0" collapsed="false"/>
    <row r="63263" customFormat="false" ht="12.75" hidden="false" customHeight="true" outlineLevel="0" collapsed="false"/>
    <row r="63264" customFormat="false" ht="12.75" hidden="false" customHeight="true" outlineLevel="0" collapsed="false"/>
    <row r="63265" customFormat="false" ht="12.75" hidden="false" customHeight="true" outlineLevel="0" collapsed="false"/>
    <row r="63266" customFormat="false" ht="12.75" hidden="false" customHeight="true" outlineLevel="0" collapsed="false"/>
    <row r="63267" customFormat="false" ht="12.75" hidden="false" customHeight="true" outlineLevel="0" collapsed="false"/>
    <row r="63268" customFormat="false" ht="12.75" hidden="false" customHeight="true" outlineLevel="0" collapsed="false"/>
    <row r="63269" customFormat="false" ht="12.75" hidden="false" customHeight="true" outlineLevel="0" collapsed="false"/>
    <row r="63270" customFormat="false" ht="12.75" hidden="false" customHeight="true" outlineLevel="0" collapsed="false"/>
    <row r="63271" customFormat="false" ht="12.75" hidden="false" customHeight="true" outlineLevel="0" collapsed="false"/>
    <row r="63272" customFormat="false" ht="12.75" hidden="false" customHeight="true" outlineLevel="0" collapsed="false"/>
    <row r="63273" customFormat="false" ht="12.75" hidden="false" customHeight="true" outlineLevel="0" collapsed="false"/>
    <row r="63274" customFormat="false" ht="12.75" hidden="false" customHeight="true" outlineLevel="0" collapsed="false"/>
    <row r="63275" customFormat="false" ht="12.75" hidden="false" customHeight="true" outlineLevel="0" collapsed="false"/>
    <row r="63276" customFormat="false" ht="12.75" hidden="false" customHeight="true" outlineLevel="0" collapsed="false"/>
    <row r="63277" customFormat="false" ht="12.75" hidden="false" customHeight="true" outlineLevel="0" collapsed="false"/>
    <row r="63278" customFormat="false" ht="12.75" hidden="false" customHeight="true" outlineLevel="0" collapsed="false"/>
    <row r="63279" customFormat="false" ht="12.75" hidden="false" customHeight="true" outlineLevel="0" collapsed="false"/>
    <row r="63280" customFormat="false" ht="12.75" hidden="false" customHeight="true" outlineLevel="0" collapsed="false"/>
    <row r="63281" customFormat="false" ht="12.75" hidden="false" customHeight="true" outlineLevel="0" collapsed="false"/>
    <row r="63282" customFormat="false" ht="12.75" hidden="false" customHeight="true" outlineLevel="0" collapsed="false"/>
    <row r="63283" customFormat="false" ht="12.75" hidden="false" customHeight="true" outlineLevel="0" collapsed="false"/>
    <row r="63284" customFormat="false" ht="12.75" hidden="false" customHeight="true" outlineLevel="0" collapsed="false"/>
    <row r="63285" customFormat="false" ht="12.75" hidden="false" customHeight="true" outlineLevel="0" collapsed="false"/>
    <row r="63286" customFormat="false" ht="12.75" hidden="false" customHeight="true" outlineLevel="0" collapsed="false"/>
    <row r="63287" customFormat="false" ht="12.75" hidden="false" customHeight="true" outlineLevel="0" collapsed="false"/>
    <row r="63288" customFormat="false" ht="12.75" hidden="false" customHeight="true" outlineLevel="0" collapsed="false"/>
    <row r="63289" customFormat="false" ht="12.75" hidden="false" customHeight="true" outlineLevel="0" collapsed="false"/>
    <row r="63290" customFormat="false" ht="12.75" hidden="false" customHeight="true" outlineLevel="0" collapsed="false"/>
    <row r="63291" customFormat="false" ht="12.75" hidden="false" customHeight="true" outlineLevel="0" collapsed="false"/>
    <row r="63292" customFormat="false" ht="12.75" hidden="false" customHeight="true" outlineLevel="0" collapsed="false"/>
    <row r="63293" customFormat="false" ht="12.75" hidden="false" customHeight="true" outlineLevel="0" collapsed="false"/>
    <row r="63294" customFormat="false" ht="12.75" hidden="false" customHeight="true" outlineLevel="0" collapsed="false"/>
    <row r="63295" customFormat="false" ht="12.75" hidden="false" customHeight="true" outlineLevel="0" collapsed="false"/>
    <row r="63296" customFormat="false" ht="12.75" hidden="false" customHeight="true" outlineLevel="0" collapsed="false"/>
    <row r="63297" customFormat="false" ht="12.75" hidden="false" customHeight="true" outlineLevel="0" collapsed="false"/>
    <row r="63298" customFormat="false" ht="12.75" hidden="false" customHeight="true" outlineLevel="0" collapsed="false"/>
    <row r="63299" customFormat="false" ht="12.75" hidden="false" customHeight="true" outlineLevel="0" collapsed="false"/>
    <row r="63300" customFormat="false" ht="12.75" hidden="false" customHeight="true" outlineLevel="0" collapsed="false"/>
    <row r="63301" customFormat="false" ht="12.75" hidden="false" customHeight="true" outlineLevel="0" collapsed="false"/>
    <row r="63302" customFormat="false" ht="12.75" hidden="false" customHeight="true" outlineLevel="0" collapsed="false"/>
    <row r="63303" customFormat="false" ht="12.75" hidden="false" customHeight="true" outlineLevel="0" collapsed="false"/>
    <row r="63304" customFormat="false" ht="12.75" hidden="false" customHeight="true" outlineLevel="0" collapsed="false"/>
    <row r="63305" customFormat="false" ht="12.75" hidden="false" customHeight="true" outlineLevel="0" collapsed="false"/>
    <row r="63306" customFormat="false" ht="12.75" hidden="false" customHeight="true" outlineLevel="0" collapsed="false"/>
    <row r="63307" customFormat="false" ht="12.75" hidden="false" customHeight="true" outlineLevel="0" collapsed="false"/>
    <row r="63308" customFormat="false" ht="12.75" hidden="false" customHeight="true" outlineLevel="0" collapsed="false"/>
    <row r="63309" customFormat="false" ht="12.75" hidden="false" customHeight="true" outlineLevel="0" collapsed="false"/>
    <row r="63310" customFormat="false" ht="12.75" hidden="false" customHeight="true" outlineLevel="0" collapsed="false"/>
    <row r="63311" customFormat="false" ht="12.75" hidden="false" customHeight="true" outlineLevel="0" collapsed="false"/>
    <row r="63312" customFormat="false" ht="12.75" hidden="false" customHeight="true" outlineLevel="0" collapsed="false"/>
    <row r="63313" customFormat="false" ht="12.75" hidden="false" customHeight="true" outlineLevel="0" collapsed="false"/>
    <row r="63314" customFormat="false" ht="12.75" hidden="false" customHeight="true" outlineLevel="0" collapsed="false"/>
    <row r="63315" customFormat="false" ht="12.75" hidden="false" customHeight="true" outlineLevel="0" collapsed="false"/>
    <row r="63316" customFormat="false" ht="12.75" hidden="false" customHeight="true" outlineLevel="0" collapsed="false"/>
    <row r="63317" customFormat="false" ht="12.75" hidden="false" customHeight="true" outlineLevel="0" collapsed="false"/>
    <row r="63318" customFormat="false" ht="12.75" hidden="false" customHeight="true" outlineLevel="0" collapsed="false"/>
    <row r="63319" customFormat="false" ht="12.75" hidden="false" customHeight="true" outlineLevel="0" collapsed="false"/>
    <row r="63320" customFormat="false" ht="12.75" hidden="false" customHeight="true" outlineLevel="0" collapsed="false"/>
    <row r="63321" customFormat="false" ht="12.75" hidden="false" customHeight="true" outlineLevel="0" collapsed="false"/>
    <row r="63322" customFormat="false" ht="12.75" hidden="false" customHeight="true" outlineLevel="0" collapsed="false"/>
    <row r="63323" customFormat="false" ht="12.75" hidden="false" customHeight="true" outlineLevel="0" collapsed="false"/>
    <row r="63324" customFormat="false" ht="12.75" hidden="false" customHeight="true" outlineLevel="0" collapsed="false"/>
    <row r="63325" customFormat="false" ht="12.75" hidden="false" customHeight="true" outlineLevel="0" collapsed="false"/>
    <row r="63326" customFormat="false" ht="12.75" hidden="false" customHeight="true" outlineLevel="0" collapsed="false"/>
    <row r="63327" customFormat="false" ht="12.75" hidden="false" customHeight="true" outlineLevel="0" collapsed="false"/>
    <row r="63328" customFormat="false" ht="12.75" hidden="false" customHeight="true" outlineLevel="0" collapsed="false"/>
    <row r="63329" customFormat="false" ht="12.75" hidden="false" customHeight="true" outlineLevel="0" collapsed="false"/>
    <row r="63330" customFormat="false" ht="12.75" hidden="false" customHeight="true" outlineLevel="0" collapsed="false"/>
    <row r="63331" customFormat="false" ht="12.75" hidden="false" customHeight="true" outlineLevel="0" collapsed="false"/>
    <row r="63332" customFormat="false" ht="12.75" hidden="false" customHeight="true" outlineLevel="0" collapsed="false"/>
    <row r="63333" customFormat="false" ht="12.75" hidden="false" customHeight="true" outlineLevel="0" collapsed="false"/>
    <row r="63334" customFormat="false" ht="12.75" hidden="false" customHeight="true" outlineLevel="0" collapsed="false"/>
    <row r="63335" customFormat="false" ht="12.75" hidden="false" customHeight="true" outlineLevel="0" collapsed="false"/>
    <row r="63336" customFormat="false" ht="12.75" hidden="false" customHeight="true" outlineLevel="0" collapsed="false"/>
    <row r="63337" customFormat="false" ht="12.75" hidden="false" customHeight="true" outlineLevel="0" collapsed="false"/>
    <row r="63338" customFormat="false" ht="12.75" hidden="false" customHeight="true" outlineLevel="0" collapsed="false"/>
    <row r="63339" customFormat="false" ht="12.75" hidden="false" customHeight="true" outlineLevel="0" collapsed="false"/>
    <row r="63340" customFormat="false" ht="12.75" hidden="false" customHeight="true" outlineLevel="0" collapsed="false"/>
    <row r="63341" customFormat="false" ht="12.75" hidden="false" customHeight="true" outlineLevel="0" collapsed="false"/>
    <row r="63342" customFormat="false" ht="12.75" hidden="false" customHeight="true" outlineLevel="0" collapsed="false"/>
    <row r="63343" customFormat="false" ht="12.75" hidden="false" customHeight="true" outlineLevel="0" collapsed="false"/>
    <row r="63344" customFormat="false" ht="12.75" hidden="false" customHeight="true" outlineLevel="0" collapsed="false"/>
    <row r="63345" customFormat="false" ht="12.75" hidden="false" customHeight="true" outlineLevel="0" collapsed="false"/>
    <row r="63346" customFormat="false" ht="12.75" hidden="false" customHeight="true" outlineLevel="0" collapsed="false"/>
    <row r="63347" customFormat="false" ht="12.75" hidden="false" customHeight="true" outlineLevel="0" collapsed="false"/>
    <row r="63348" customFormat="false" ht="12.75" hidden="false" customHeight="true" outlineLevel="0" collapsed="false"/>
    <row r="63349" customFormat="false" ht="12.75" hidden="false" customHeight="true" outlineLevel="0" collapsed="false"/>
    <row r="63350" customFormat="false" ht="12.75" hidden="false" customHeight="true" outlineLevel="0" collapsed="false"/>
    <row r="63351" customFormat="false" ht="12.75" hidden="false" customHeight="true" outlineLevel="0" collapsed="false"/>
    <row r="63352" customFormat="false" ht="12.75" hidden="false" customHeight="true" outlineLevel="0" collapsed="false"/>
    <row r="63353" customFormat="false" ht="12.75" hidden="false" customHeight="true" outlineLevel="0" collapsed="false"/>
    <row r="63354" customFormat="false" ht="12.75" hidden="false" customHeight="true" outlineLevel="0" collapsed="false"/>
    <row r="63355" customFormat="false" ht="12.75" hidden="false" customHeight="true" outlineLevel="0" collapsed="false"/>
    <row r="63356" customFormat="false" ht="12.75" hidden="false" customHeight="true" outlineLevel="0" collapsed="false"/>
    <row r="63357" customFormat="false" ht="12.75" hidden="false" customHeight="true" outlineLevel="0" collapsed="false"/>
    <row r="63358" customFormat="false" ht="12.75" hidden="false" customHeight="true" outlineLevel="0" collapsed="false"/>
    <row r="63359" customFormat="false" ht="12.75" hidden="false" customHeight="true" outlineLevel="0" collapsed="false"/>
    <row r="63360" customFormat="false" ht="12.75" hidden="false" customHeight="true" outlineLevel="0" collapsed="false"/>
    <row r="63361" customFormat="false" ht="12.75" hidden="false" customHeight="true" outlineLevel="0" collapsed="false"/>
    <row r="63362" customFormat="false" ht="12.75" hidden="false" customHeight="true" outlineLevel="0" collapsed="false"/>
    <row r="63363" customFormat="false" ht="12.75" hidden="false" customHeight="true" outlineLevel="0" collapsed="false"/>
    <row r="63364" customFormat="false" ht="12.75" hidden="false" customHeight="true" outlineLevel="0" collapsed="false"/>
    <row r="63365" customFormat="false" ht="12.75" hidden="false" customHeight="true" outlineLevel="0" collapsed="false"/>
    <row r="63366" customFormat="false" ht="12.75" hidden="false" customHeight="true" outlineLevel="0" collapsed="false"/>
    <row r="63367" customFormat="false" ht="12.75" hidden="false" customHeight="true" outlineLevel="0" collapsed="false"/>
    <row r="63368" customFormat="false" ht="12.75" hidden="false" customHeight="true" outlineLevel="0" collapsed="false"/>
    <row r="63369" customFormat="false" ht="12.75" hidden="false" customHeight="true" outlineLevel="0" collapsed="false"/>
    <row r="63370" customFormat="false" ht="12.75" hidden="false" customHeight="true" outlineLevel="0" collapsed="false"/>
    <row r="63371" customFormat="false" ht="12.75" hidden="false" customHeight="true" outlineLevel="0" collapsed="false"/>
    <row r="63372" customFormat="false" ht="12.75" hidden="false" customHeight="true" outlineLevel="0" collapsed="false"/>
    <row r="63373" customFormat="false" ht="12.75" hidden="false" customHeight="true" outlineLevel="0" collapsed="false"/>
    <row r="63374" customFormat="false" ht="12.75" hidden="false" customHeight="true" outlineLevel="0" collapsed="false"/>
    <row r="63375" customFormat="false" ht="12.75" hidden="false" customHeight="true" outlineLevel="0" collapsed="false"/>
    <row r="63376" customFormat="false" ht="12.75" hidden="false" customHeight="true" outlineLevel="0" collapsed="false"/>
    <row r="63377" customFormat="false" ht="12.75" hidden="false" customHeight="true" outlineLevel="0" collapsed="false"/>
    <row r="63378" customFormat="false" ht="12.75" hidden="false" customHeight="true" outlineLevel="0" collapsed="false"/>
    <row r="63379" customFormat="false" ht="12.75" hidden="false" customHeight="true" outlineLevel="0" collapsed="false"/>
    <row r="63380" customFormat="false" ht="12.75" hidden="false" customHeight="true" outlineLevel="0" collapsed="false"/>
    <row r="63381" customFormat="false" ht="12.75" hidden="false" customHeight="true" outlineLevel="0" collapsed="false"/>
    <row r="63382" customFormat="false" ht="12.75" hidden="false" customHeight="true" outlineLevel="0" collapsed="false"/>
    <row r="63383" customFormat="false" ht="12.75" hidden="false" customHeight="true" outlineLevel="0" collapsed="false"/>
    <row r="63384" customFormat="false" ht="12.75" hidden="false" customHeight="true" outlineLevel="0" collapsed="false"/>
    <row r="63385" customFormat="false" ht="12.75" hidden="false" customHeight="true" outlineLevel="0" collapsed="false"/>
    <row r="63386" customFormat="false" ht="12.75" hidden="false" customHeight="true" outlineLevel="0" collapsed="false"/>
    <row r="63387" customFormat="false" ht="12.75" hidden="false" customHeight="true" outlineLevel="0" collapsed="false"/>
    <row r="63388" customFormat="false" ht="12.75" hidden="false" customHeight="true" outlineLevel="0" collapsed="false"/>
    <row r="63389" customFormat="false" ht="12.75" hidden="false" customHeight="true" outlineLevel="0" collapsed="false"/>
    <row r="63390" customFormat="false" ht="12.75" hidden="false" customHeight="true" outlineLevel="0" collapsed="false"/>
    <row r="63391" customFormat="false" ht="12.75" hidden="false" customHeight="true" outlineLevel="0" collapsed="false"/>
    <row r="63392" customFormat="false" ht="12.75" hidden="false" customHeight="true" outlineLevel="0" collapsed="false"/>
    <row r="63393" customFormat="false" ht="12.75" hidden="false" customHeight="true" outlineLevel="0" collapsed="false"/>
    <row r="63394" customFormat="false" ht="12.75" hidden="false" customHeight="true" outlineLevel="0" collapsed="false"/>
    <row r="63395" customFormat="false" ht="12.75" hidden="false" customHeight="true" outlineLevel="0" collapsed="false"/>
    <row r="63396" customFormat="false" ht="12.75" hidden="false" customHeight="true" outlineLevel="0" collapsed="false"/>
    <row r="63397" customFormat="false" ht="12.75" hidden="false" customHeight="true" outlineLevel="0" collapsed="false"/>
    <row r="63398" customFormat="false" ht="12.75" hidden="false" customHeight="true" outlineLevel="0" collapsed="false"/>
    <row r="63399" customFormat="false" ht="12.75" hidden="false" customHeight="true" outlineLevel="0" collapsed="false"/>
    <row r="63400" customFormat="false" ht="12.75" hidden="false" customHeight="true" outlineLevel="0" collapsed="false"/>
    <row r="63401" customFormat="false" ht="12.75" hidden="false" customHeight="true" outlineLevel="0" collapsed="false"/>
    <row r="63402" customFormat="false" ht="12.75" hidden="false" customHeight="true" outlineLevel="0" collapsed="false"/>
    <row r="63403" customFormat="false" ht="12.75" hidden="false" customHeight="true" outlineLevel="0" collapsed="false"/>
    <row r="63404" customFormat="false" ht="12.75" hidden="false" customHeight="true" outlineLevel="0" collapsed="false"/>
    <row r="63405" customFormat="false" ht="12.75" hidden="false" customHeight="true" outlineLevel="0" collapsed="false"/>
    <row r="63406" customFormat="false" ht="12.75" hidden="false" customHeight="true" outlineLevel="0" collapsed="false"/>
    <row r="63407" customFormat="false" ht="12.75" hidden="false" customHeight="true" outlineLevel="0" collapsed="false"/>
    <row r="63408" customFormat="false" ht="12.75" hidden="false" customHeight="true" outlineLevel="0" collapsed="false"/>
    <row r="63409" customFormat="false" ht="12.75" hidden="false" customHeight="true" outlineLevel="0" collapsed="false"/>
    <row r="63410" customFormat="false" ht="12.75" hidden="false" customHeight="true" outlineLevel="0" collapsed="false"/>
    <row r="63411" customFormat="false" ht="12.75" hidden="false" customHeight="true" outlineLevel="0" collapsed="false"/>
    <row r="63412" customFormat="false" ht="12.75" hidden="false" customHeight="true" outlineLevel="0" collapsed="false"/>
    <row r="63413" customFormat="false" ht="12.75" hidden="false" customHeight="true" outlineLevel="0" collapsed="false"/>
    <row r="63414" customFormat="false" ht="12.75" hidden="false" customHeight="true" outlineLevel="0" collapsed="false"/>
    <row r="63415" customFormat="false" ht="12.75" hidden="false" customHeight="true" outlineLevel="0" collapsed="false"/>
    <row r="63416" customFormat="false" ht="12.75" hidden="false" customHeight="true" outlineLevel="0" collapsed="false"/>
    <row r="63417" customFormat="false" ht="12.75" hidden="false" customHeight="true" outlineLevel="0" collapsed="false"/>
    <row r="63418" customFormat="false" ht="12.75" hidden="false" customHeight="true" outlineLevel="0" collapsed="false"/>
    <row r="63419" customFormat="false" ht="12.75" hidden="false" customHeight="true" outlineLevel="0" collapsed="false"/>
    <row r="63420" customFormat="false" ht="12.75" hidden="false" customHeight="true" outlineLevel="0" collapsed="false"/>
    <row r="63421" customFormat="false" ht="12.75" hidden="false" customHeight="true" outlineLevel="0" collapsed="false"/>
    <row r="63422" customFormat="false" ht="12.75" hidden="false" customHeight="true" outlineLevel="0" collapsed="false"/>
    <row r="63423" customFormat="false" ht="12.75" hidden="false" customHeight="true" outlineLevel="0" collapsed="false"/>
    <row r="63424" customFormat="false" ht="12.75" hidden="false" customHeight="true" outlineLevel="0" collapsed="false"/>
    <row r="63425" customFormat="false" ht="12.75" hidden="false" customHeight="true" outlineLevel="0" collapsed="false"/>
    <row r="63426" customFormat="false" ht="12.75" hidden="false" customHeight="true" outlineLevel="0" collapsed="false"/>
    <row r="63427" customFormat="false" ht="12.75" hidden="false" customHeight="true" outlineLevel="0" collapsed="false"/>
    <row r="63428" customFormat="false" ht="12.75" hidden="false" customHeight="true" outlineLevel="0" collapsed="false"/>
    <row r="63429" customFormat="false" ht="12.75" hidden="false" customHeight="true" outlineLevel="0" collapsed="false"/>
    <row r="63430" customFormat="false" ht="12.75" hidden="false" customHeight="true" outlineLevel="0" collapsed="false"/>
    <row r="63431" customFormat="false" ht="12.75" hidden="false" customHeight="true" outlineLevel="0" collapsed="false"/>
    <row r="63432" customFormat="false" ht="12.75" hidden="false" customHeight="true" outlineLevel="0" collapsed="false"/>
    <row r="63433" customFormat="false" ht="12.75" hidden="false" customHeight="true" outlineLevel="0" collapsed="false"/>
    <row r="63434" customFormat="false" ht="12.75" hidden="false" customHeight="true" outlineLevel="0" collapsed="false"/>
    <row r="63435" customFormat="false" ht="12.75" hidden="false" customHeight="true" outlineLevel="0" collapsed="false"/>
    <row r="63436" customFormat="false" ht="12.75" hidden="false" customHeight="true" outlineLevel="0" collapsed="false"/>
    <row r="63437" customFormat="false" ht="12.75" hidden="false" customHeight="true" outlineLevel="0" collapsed="false"/>
    <row r="63438" customFormat="false" ht="12.75" hidden="false" customHeight="true" outlineLevel="0" collapsed="false"/>
    <row r="63439" customFormat="false" ht="12.75" hidden="false" customHeight="true" outlineLevel="0" collapsed="false"/>
    <row r="63440" customFormat="false" ht="12.75" hidden="false" customHeight="true" outlineLevel="0" collapsed="false"/>
    <row r="63441" customFormat="false" ht="12.75" hidden="false" customHeight="true" outlineLevel="0" collapsed="false"/>
    <row r="63442" customFormat="false" ht="12.75" hidden="false" customHeight="true" outlineLevel="0" collapsed="false"/>
    <row r="63443" customFormat="false" ht="12.75" hidden="false" customHeight="true" outlineLevel="0" collapsed="false"/>
    <row r="63444" customFormat="false" ht="12.75" hidden="false" customHeight="true" outlineLevel="0" collapsed="false"/>
    <row r="63445" customFormat="false" ht="12.75" hidden="false" customHeight="true" outlineLevel="0" collapsed="false"/>
    <row r="63446" customFormat="false" ht="12.75" hidden="false" customHeight="true" outlineLevel="0" collapsed="false"/>
    <row r="63447" customFormat="false" ht="12.75" hidden="false" customHeight="true" outlineLevel="0" collapsed="false"/>
    <row r="63448" customFormat="false" ht="12.75" hidden="false" customHeight="true" outlineLevel="0" collapsed="false"/>
    <row r="63449" customFormat="false" ht="12.75" hidden="false" customHeight="true" outlineLevel="0" collapsed="false"/>
    <row r="63450" customFormat="false" ht="12.75" hidden="false" customHeight="true" outlineLevel="0" collapsed="false"/>
    <row r="63451" customFormat="false" ht="12.75" hidden="false" customHeight="true" outlineLevel="0" collapsed="false"/>
    <row r="63452" customFormat="false" ht="12.75" hidden="false" customHeight="true" outlineLevel="0" collapsed="false"/>
    <row r="63453" customFormat="false" ht="12.75" hidden="false" customHeight="true" outlineLevel="0" collapsed="false"/>
    <row r="63454" customFormat="false" ht="12.75" hidden="false" customHeight="true" outlineLevel="0" collapsed="false"/>
    <row r="63455" customFormat="false" ht="12.75" hidden="false" customHeight="true" outlineLevel="0" collapsed="false"/>
    <row r="63456" customFormat="false" ht="12.75" hidden="false" customHeight="true" outlineLevel="0" collapsed="false"/>
    <row r="63457" customFormat="false" ht="12.75" hidden="false" customHeight="true" outlineLevel="0" collapsed="false"/>
    <row r="63458" customFormat="false" ht="12.75" hidden="false" customHeight="true" outlineLevel="0" collapsed="false"/>
    <row r="63459" customFormat="false" ht="12.75" hidden="false" customHeight="true" outlineLevel="0" collapsed="false"/>
    <row r="63460" customFormat="false" ht="12.75" hidden="false" customHeight="true" outlineLevel="0" collapsed="false"/>
    <row r="63461" customFormat="false" ht="12.75" hidden="false" customHeight="true" outlineLevel="0" collapsed="false"/>
    <row r="63462" customFormat="false" ht="12.75" hidden="false" customHeight="true" outlineLevel="0" collapsed="false"/>
    <row r="63463" customFormat="false" ht="12.75" hidden="false" customHeight="true" outlineLevel="0" collapsed="false"/>
    <row r="63464" customFormat="false" ht="12.75" hidden="false" customHeight="true" outlineLevel="0" collapsed="false"/>
    <row r="63465" customFormat="false" ht="12.75" hidden="false" customHeight="true" outlineLevel="0" collapsed="false"/>
    <row r="63466" customFormat="false" ht="12.75" hidden="false" customHeight="true" outlineLevel="0" collapsed="false"/>
    <row r="63467" customFormat="false" ht="12.75" hidden="false" customHeight="true" outlineLevel="0" collapsed="false"/>
    <row r="63468" customFormat="false" ht="12.75" hidden="false" customHeight="true" outlineLevel="0" collapsed="false"/>
    <row r="63469" customFormat="false" ht="12.75" hidden="false" customHeight="true" outlineLevel="0" collapsed="false"/>
    <row r="63470" customFormat="false" ht="12.75" hidden="false" customHeight="true" outlineLevel="0" collapsed="false"/>
    <row r="63471" customFormat="false" ht="12.75" hidden="false" customHeight="true" outlineLevel="0" collapsed="false"/>
    <row r="63472" customFormat="false" ht="12.75" hidden="false" customHeight="true" outlineLevel="0" collapsed="false"/>
    <row r="63473" customFormat="false" ht="12.75" hidden="false" customHeight="true" outlineLevel="0" collapsed="false"/>
    <row r="63474" customFormat="false" ht="12.75" hidden="false" customHeight="true" outlineLevel="0" collapsed="false"/>
    <row r="63475" customFormat="false" ht="12.75" hidden="false" customHeight="true" outlineLevel="0" collapsed="false"/>
    <row r="63476" customFormat="false" ht="12.75" hidden="false" customHeight="true" outlineLevel="0" collapsed="false"/>
    <row r="63477" customFormat="false" ht="12.75" hidden="false" customHeight="true" outlineLevel="0" collapsed="false"/>
    <row r="63478" customFormat="false" ht="12.75" hidden="false" customHeight="true" outlineLevel="0" collapsed="false"/>
    <row r="63479" customFormat="false" ht="12.75" hidden="false" customHeight="true" outlineLevel="0" collapsed="false"/>
    <row r="63480" customFormat="false" ht="12.75" hidden="false" customHeight="true" outlineLevel="0" collapsed="false"/>
    <row r="63481" customFormat="false" ht="12.75" hidden="false" customHeight="true" outlineLevel="0" collapsed="false"/>
    <row r="63482" customFormat="false" ht="12.75" hidden="false" customHeight="true" outlineLevel="0" collapsed="false"/>
    <row r="63483" customFormat="false" ht="12.75" hidden="false" customHeight="true" outlineLevel="0" collapsed="false"/>
    <row r="63484" customFormat="false" ht="12.75" hidden="false" customHeight="true" outlineLevel="0" collapsed="false"/>
    <row r="63485" customFormat="false" ht="12.75" hidden="false" customHeight="true" outlineLevel="0" collapsed="false"/>
    <row r="63486" customFormat="false" ht="12.75" hidden="false" customHeight="true" outlineLevel="0" collapsed="false"/>
    <row r="63487" customFormat="false" ht="12.75" hidden="false" customHeight="true" outlineLevel="0" collapsed="false"/>
    <row r="63488" customFormat="false" ht="12.75" hidden="false" customHeight="true" outlineLevel="0" collapsed="false"/>
    <row r="63489" customFormat="false" ht="12.75" hidden="false" customHeight="true" outlineLevel="0" collapsed="false"/>
    <row r="63490" customFormat="false" ht="12.75" hidden="false" customHeight="true" outlineLevel="0" collapsed="false"/>
    <row r="63491" customFormat="false" ht="12.75" hidden="false" customHeight="true" outlineLevel="0" collapsed="false"/>
    <row r="63492" customFormat="false" ht="12.75" hidden="false" customHeight="true" outlineLevel="0" collapsed="false"/>
    <row r="63493" customFormat="false" ht="12.75" hidden="false" customHeight="true" outlineLevel="0" collapsed="false"/>
    <row r="63494" customFormat="false" ht="12.75" hidden="false" customHeight="true" outlineLevel="0" collapsed="false"/>
    <row r="63495" customFormat="false" ht="12.75" hidden="false" customHeight="true" outlineLevel="0" collapsed="false"/>
    <row r="63496" customFormat="false" ht="12.75" hidden="false" customHeight="true" outlineLevel="0" collapsed="false"/>
    <row r="63497" customFormat="false" ht="12.75" hidden="false" customHeight="true" outlineLevel="0" collapsed="false"/>
    <row r="63498" customFormat="false" ht="12.75" hidden="false" customHeight="true" outlineLevel="0" collapsed="false"/>
    <row r="63499" customFormat="false" ht="12.75" hidden="false" customHeight="true" outlineLevel="0" collapsed="false"/>
    <row r="63500" customFormat="false" ht="12.75" hidden="false" customHeight="true" outlineLevel="0" collapsed="false"/>
    <row r="63501" customFormat="false" ht="12.75" hidden="false" customHeight="true" outlineLevel="0" collapsed="false"/>
    <row r="63502" customFormat="false" ht="12.75" hidden="false" customHeight="true" outlineLevel="0" collapsed="false"/>
    <row r="63503" customFormat="false" ht="12.75" hidden="false" customHeight="true" outlineLevel="0" collapsed="false"/>
    <row r="63504" customFormat="false" ht="12.75" hidden="false" customHeight="true" outlineLevel="0" collapsed="false"/>
    <row r="63505" customFormat="false" ht="12.75" hidden="false" customHeight="true" outlineLevel="0" collapsed="false"/>
    <row r="63506" customFormat="false" ht="12.75" hidden="false" customHeight="true" outlineLevel="0" collapsed="false"/>
    <row r="63507" customFormat="false" ht="12.75" hidden="false" customHeight="true" outlineLevel="0" collapsed="false"/>
    <row r="63508" customFormat="false" ht="12.75" hidden="false" customHeight="true" outlineLevel="0" collapsed="false"/>
    <row r="63509" customFormat="false" ht="12.75" hidden="false" customHeight="true" outlineLevel="0" collapsed="false"/>
    <row r="63510" customFormat="false" ht="12.75" hidden="false" customHeight="true" outlineLevel="0" collapsed="false"/>
    <row r="63511" customFormat="false" ht="12.75" hidden="false" customHeight="true" outlineLevel="0" collapsed="false"/>
    <row r="63512" customFormat="false" ht="12.75" hidden="false" customHeight="true" outlineLevel="0" collapsed="false"/>
    <row r="63513" customFormat="false" ht="12.75" hidden="false" customHeight="true" outlineLevel="0" collapsed="false"/>
    <row r="63514" customFormat="false" ht="12.75" hidden="false" customHeight="true" outlineLevel="0" collapsed="false"/>
    <row r="63515" customFormat="false" ht="12.75" hidden="false" customHeight="true" outlineLevel="0" collapsed="false"/>
    <row r="63516" customFormat="false" ht="12.75" hidden="false" customHeight="true" outlineLevel="0" collapsed="false"/>
    <row r="63517" customFormat="false" ht="12.75" hidden="false" customHeight="true" outlineLevel="0" collapsed="false"/>
    <row r="63518" customFormat="false" ht="12.75" hidden="false" customHeight="true" outlineLevel="0" collapsed="false"/>
    <row r="63519" customFormat="false" ht="12.75" hidden="false" customHeight="true" outlineLevel="0" collapsed="false"/>
    <row r="63520" customFormat="false" ht="12.75" hidden="false" customHeight="true" outlineLevel="0" collapsed="false"/>
    <row r="63521" customFormat="false" ht="12.75" hidden="false" customHeight="true" outlineLevel="0" collapsed="false"/>
    <row r="63522" customFormat="false" ht="12.75" hidden="false" customHeight="true" outlineLevel="0" collapsed="false"/>
    <row r="63523" customFormat="false" ht="12.75" hidden="false" customHeight="true" outlineLevel="0" collapsed="false"/>
    <row r="63524" customFormat="false" ht="12.75" hidden="false" customHeight="true" outlineLevel="0" collapsed="false"/>
    <row r="63525" customFormat="false" ht="12.75" hidden="false" customHeight="true" outlineLevel="0" collapsed="false"/>
    <row r="63526" customFormat="false" ht="12.75" hidden="false" customHeight="true" outlineLevel="0" collapsed="false"/>
    <row r="63527" customFormat="false" ht="12.75" hidden="false" customHeight="true" outlineLevel="0" collapsed="false"/>
    <row r="63528" customFormat="false" ht="12.75" hidden="false" customHeight="true" outlineLevel="0" collapsed="false"/>
    <row r="63529" customFormat="false" ht="12.75" hidden="false" customHeight="true" outlineLevel="0" collapsed="false"/>
    <row r="63530" customFormat="false" ht="12.75" hidden="false" customHeight="true" outlineLevel="0" collapsed="false"/>
    <row r="63531" customFormat="false" ht="12.75" hidden="false" customHeight="true" outlineLevel="0" collapsed="false"/>
    <row r="63532" customFormat="false" ht="12.75" hidden="false" customHeight="true" outlineLevel="0" collapsed="false"/>
    <row r="63533" customFormat="false" ht="12.75" hidden="false" customHeight="true" outlineLevel="0" collapsed="false"/>
    <row r="63534" customFormat="false" ht="12.75" hidden="false" customHeight="true" outlineLevel="0" collapsed="false"/>
    <row r="63535" customFormat="false" ht="12.75" hidden="false" customHeight="true" outlineLevel="0" collapsed="false"/>
    <row r="63536" customFormat="false" ht="12.75" hidden="false" customHeight="true" outlineLevel="0" collapsed="false"/>
    <row r="63537" customFormat="false" ht="12.75" hidden="false" customHeight="true" outlineLevel="0" collapsed="false"/>
    <row r="63538" customFormat="false" ht="12.75" hidden="false" customHeight="true" outlineLevel="0" collapsed="false"/>
    <row r="63539" customFormat="false" ht="12.75" hidden="false" customHeight="true" outlineLevel="0" collapsed="false"/>
    <row r="63540" customFormat="false" ht="12.75" hidden="false" customHeight="true" outlineLevel="0" collapsed="false"/>
    <row r="63541" customFormat="false" ht="12.75" hidden="false" customHeight="true" outlineLevel="0" collapsed="false"/>
    <row r="63542" customFormat="false" ht="12.75" hidden="false" customHeight="true" outlineLevel="0" collapsed="false"/>
    <row r="63543" customFormat="false" ht="12.75" hidden="false" customHeight="true" outlineLevel="0" collapsed="false"/>
    <row r="63544" customFormat="false" ht="12.75" hidden="false" customHeight="true" outlineLevel="0" collapsed="false"/>
    <row r="63545" customFormat="false" ht="12.75" hidden="false" customHeight="true" outlineLevel="0" collapsed="false"/>
    <row r="63546" customFormat="false" ht="12.75" hidden="false" customHeight="true" outlineLevel="0" collapsed="false"/>
    <row r="63547" customFormat="false" ht="12.75" hidden="false" customHeight="true" outlineLevel="0" collapsed="false"/>
    <row r="63548" customFormat="false" ht="12.75" hidden="false" customHeight="true" outlineLevel="0" collapsed="false"/>
    <row r="63549" customFormat="false" ht="12.75" hidden="false" customHeight="true" outlineLevel="0" collapsed="false"/>
    <row r="63550" customFormat="false" ht="12.75" hidden="false" customHeight="true" outlineLevel="0" collapsed="false"/>
    <row r="63551" customFormat="false" ht="12.75" hidden="false" customHeight="true" outlineLevel="0" collapsed="false"/>
    <row r="63552" customFormat="false" ht="12.75" hidden="false" customHeight="true" outlineLevel="0" collapsed="false"/>
    <row r="63553" customFormat="false" ht="12.75" hidden="false" customHeight="true" outlineLevel="0" collapsed="false"/>
    <row r="63554" customFormat="false" ht="12.75" hidden="false" customHeight="true" outlineLevel="0" collapsed="false"/>
    <row r="63555" customFormat="false" ht="12.75" hidden="false" customHeight="true" outlineLevel="0" collapsed="false"/>
    <row r="63556" customFormat="false" ht="12.75" hidden="false" customHeight="true" outlineLevel="0" collapsed="false"/>
    <row r="63557" customFormat="false" ht="12.75" hidden="false" customHeight="true" outlineLevel="0" collapsed="false"/>
    <row r="63558" customFormat="false" ht="12.75" hidden="false" customHeight="true" outlineLevel="0" collapsed="false"/>
    <row r="63559" customFormat="false" ht="12.75" hidden="false" customHeight="true" outlineLevel="0" collapsed="false"/>
    <row r="63560" customFormat="false" ht="12.75" hidden="false" customHeight="true" outlineLevel="0" collapsed="false"/>
    <row r="63561" customFormat="false" ht="12.75" hidden="false" customHeight="true" outlineLevel="0" collapsed="false"/>
    <row r="63562" customFormat="false" ht="12.75" hidden="false" customHeight="true" outlineLevel="0" collapsed="false"/>
    <row r="63563" customFormat="false" ht="12.75" hidden="false" customHeight="true" outlineLevel="0" collapsed="false"/>
    <row r="63564" customFormat="false" ht="12.75" hidden="false" customHeight="true" outlineLevel="0" collapsed="false"/>
    <row r="63565" customFormat="false" ht="12.75" hidden="false" customHeight="true" outlineLevel="0" collapsed="false"/>
    <row r="63566" customFormat="false" ht="12.75" hidden="false" customHeight="true" outlineLevel="0" collapsed="false"/>
    <row r="63567" customFormat="false" ht="12.75" hidden="false" customHeight="true" outlineLevel="0" collapsed="false"/>
    <row r="63568" customFormat="false" ht="12.75" hidden="false" customHeight="true" outlineLevel="0" collapsed="false"/>
    <row r="63569" customFormat="false" ht="12.75" hidden="false" customHeight="true" outlineLevel="0" collapsed="false"/>
    <row r="63570" customFormat="false" ht="12.75" hidden="false" customHeight="true" outlineLevel="0" collapsed="false"/>
    <row r="63571" customFormat="false" ht="12.75" hidden="false" customHeight="true" outlineLevel="0" collapsed="false"/>
    <row r="63572" customFormat="false" ht="12.75" hidden="false" customHeight="true" outlineLevel="0" collapsed="false"/>
    <row r="63573" customFormat="false" ht="12.75" hidden="false" customHeight="true" outlineLevel="0" collapsed="false"/>
    <row r="63574" customFormat="false" ht="12.75" hidden="false" customHeight="true" outlineLevel="0" collapsed="false"/>
    <row r="63575" customFormat="false" ht="12.75" hidden="false" customHeight="true" outlineLevel="0" collapsed="false"/>
    <row r="63576" customFormat="false" ht="12.75" hidden="false" customHeight="true" outlineLevel="0" collapsed="false"/>
    <row r="63577" customFormat="false" ht="12.75" hidden="false" customHeight="true" outlineLevel="0" collapsed="false"/>
    <row r="63578" customFormat="false" ht="12.75" hidden="false" customHeight="true" outlineLevel="0" collapsed="false"/>
    <row r="63579" customFormat="false" ht="12.75" hidden="false" customHeight="true" outlineLevel="0" collapsed="false"/>
    <row r="63580" customFormat="false" ht="12.75" hidden="false" customHeight="true" outlineLevel="0" collapsed="false"/>
    <row r="63581" customFormat="false" ht="12.75" hidden="false" customHeight="true" outlineLevel="0" collapsed="false"/>
    <row r="63582" customFormat="false" ht="12.75" hidden="false" customHeight="true" outlineLevel="0" collapsed="false"/>
    <row r="63583" customFormat="false" ht="12.75" hidden="false" customHeight="true" outlineLevel="0" collapsed="false"/>
    <row r="63584" customFormat="false" ht="12.75" hidden="false" customHeight="true" outlineLevel="0" collapsed="false"/>
    <row r="63585" customFormat="false" ht="12.75" hidden="false" customHeight="true" outlineLevel="0" collapsed="false"/>
    <row r="63586" customFormat="false" ht="12.75" hidden="false" customHeight="true" outlineLevel="0" collapsed="false"/>
    <row r="63587" customFormat="false" ht="12.75" hidden="false" customHeight="true" outlineLevel="0" collapsed="false"/>
    <row r="63588" customFormat="false" ht="12.75" hidden="false" customHeight="true" outlineLevel="0" collapsed="false"/>
    <row r="63589" customFormat="false" ht="12.75" hidden="false" customHeight="true" outlineLevel="0" collapsed="false"/>
    <row r="63590" customFormat="false" ht="12.75" hidden="false" customHeight="true" outlineLevel="0" collapsed="false"/>
    <row r="63591" customFormat="false" ht="12.75" hidden="false" customHeight="true" outlineLevel="0" collapsed="false"/>
    <row r="63592" customFormat="false" ht="12.75" hidden="false" customHeight="true" outlineLevel="0" collapsed="false"/>
    <row r="63593" customFormat="false" ht="12.75" hidden="false" customHeight="true" outlineLevel="0" collapsed="false"/>
    <row r="63594" customFormat="false" ht="12.75" hidden="false" customHeight="true" outlineLevel="0" collapsed="false"/>
    <row r="63595" customFormat="false" ht="12.75" hidden="false" customHeight="true" outlineLevel="0" collapsed="false"/>
    <row r="63596" customFormat="false" ht="12.75" hidden="false" customHeight="true" outlineLevel="0" collapsed="false"/>
    <row r="63597" customFormat="false" ht="12.75" hidden="false" customHeight="true" outlineLevel="0" collapsed="false"/>
    <row r="63598" customFormat="false" ht="12.75" hidden="false" customHeight="true" outlineLevel="0" collapsed="false"/>
    <row r="63599" customFormat="false" ht="12.75" hidden="false" customHeight="true" outlineLevel="0" collapsed="false"/>
    <row r="63600" customFormat="false" ht="12.75" hidden="false" customHeight="true" outlineLevel="0" collapsed="false"/>
    <row r="63601" customFormat="false" ht="12.75" hidden="false" customHeight="true" outlineLevel="0" collapsed="false"/>
    <row r="63602" customFormat="false" ht="12.75" hidden="false" customHeight="true" outlineLevel="0" collapsed="false"/>
    <row r="63603" customFormat="false" ht="12.75" hidden="false" customHeight="true" outlineLevel="0" collapsed="false"/>
    <row r="63604" customFormat="false" ht="12.75" hidden="false" customHeight="true" outlineLevel="0" collapsed="false"/>
    <row r="63605" customFormat="false" ht="12.75" hidden="false" customHeight="true" outlineLevel="0" collapsed="false"/>
    <row r="63606" customFormat="false" ht="12.75" hidden="false" customHeight="true" outlineLevel="0" collapsed="false"/>
    <row r="63607" customFormat="false" ht="12.75" hidden="false" customHeight="true" outlineLevel="0" collapsed="false"/>
    <row r="63608" customFormat="false" ht="12.75" hidden="false" customHeight="true" outlineLevel="0" collapsed="false"/>
    <row r="63609" customFormat="false" ht="12.75" hidden="false" customHeight="true" outlineLevel="0" collapsed="false"/>
    <row r="63610" customFormat="false" ht="12.75" hidden="false" customHeight="true" outlineLevel="0" collapsed="false"/>
    <row r="63611" customFormat="false" ht="12.75" hidden="false" customHeight="true" outlineLevel="0" collapsed="false"/>
    <row r="63612" customFormat="false" ht="12.75" hidden="false" customHeight="true" outlineLevel="0" collapsed="false"/>
    <row r="63613" customFormat="false" ht="12.75" hidden="false" customHeight="true" outlineLevel="0" collapsed="false"/>
    <row r="63614" customFormat="false" ht="12.75" hidden="false" customHeight="true" outlineLevel="0" collapsed="false"/>
    <row r="63615" customFormat="false" ht="12.75" hidden="false" customHeight="true" outlineLevel="0" collapsed="false"/>
    <row r="63616" customFormat="false" ht="12.75" hidden="false" customHeight="true" outlineLevel="0" collapsed="false"/>
    <row r="63617" customFormat="false" ht="12.75" hidden="false" customHeight="true" outlineLevel="0" collapsed="false"/>
    <row r="63618" customFormat="false" ht="12.75" hidden="false" customHeight="true" outlineLevel="0" collapsed="false"/>
    <row r="63619" customFormat="false" ht="12.75" hidden="false" customHeight="true" outlineLevel="0" collapsed="false"/>
    <row r="63620" customFormat="false" ht="12.75" hidden="false" customHeight="true" outlineLevel="0" collapsed="false"/>
    <row r="63621" customFormat="false" ht="12.75" hidden="false" customHeight="true" outlineLevel="0" collapsed="false"/>
    <row r="63622" customFormat="false" ht="12.75" hidden="false" customHeight="true" outlineLevel="0" collapsed="false"/>
    <row r="63623" customFormat="false" ht="12.75" hidden="false" customHeight="true" outlineLevel="0" collapsed="false"/>
    <row r="63624" customFormat="false" ht="12.75" hidden="false" customHeight="true" outlineLevel="0" collapsed="false"/>
    <row r="63625" customFormat="false" ht="12.75" hidden="false" customHeight="true" outlineLevel="0" collapsed="false"/>
    <row r="63626" customFormat="false" ht="12.75" hidden="false" customHeight="true" outlineLevel="0" collapsed="false"/>
    <row r="63627" customFormat="false" ht="12.75" hidden="false" customHeight="true" outlineLevel="0" collapsed="false"/>
    <row r="63628" customFormat="false" ht="12.75" hidden="false" customHeight="true" outlineLevel="0" collapsed="false"/>
    <row r="63629" customFormat="false" ht="12.75" hidden="false" customHeight="true" outlineLevel="0" collapsed="false"/>
    <row r="63630" customFormat="false" ht="12.75" hidden="false" customHeight="true" outlineLevel="0" collapsed="false"/>
    <row r="63631" customFormat="false" ht="12.75" hidden="false" customHeight="true" outlineLevel="0" collapsed="false"/>
    <row r="63632" customFormat="false" ht="12.75" hidden="false" customHeight="true" outlineLevel="0" collapsed="false"/>
    <row r="63633" customFormat="false" ht="12.75" hidden="false" customHeight="true" outlineLevel="0" collapsed="false"/>
    <row r="63634" customFormat="false" ht="12.75" hidden="false" customHeight="true" outlineLevel="0" collapsed="false"/>
    <row r="63635" customFormat="false" ht="12.75" hidden="false" customHeight="true" outlineLevel="0" collapsed="false"/>
    <row r="63636" customFormat="false" ht="12.75" hidden="false" customHeight="true" outlineLevel="0" collapsed="false"/>
    <row r="63637" customFormat="false" ht="12.75" hidden="false" customHeight="true" outlineLevel="0" collapsed="false"/>
    <row r="63638" customFormat="false" ht="12.75" hidden="false" customHeight="true" outlineLevel="0" collapsed="false"/>
    <row r="63639" customFormat="false" ht="12.75" hidden="false" customHeight="true" outlineLevel="0" collapsed="false"/>
    <row r="63640" customFormat="false" ht="12.75" hidden="false" customHeight="true" outlineLevel="0" collapsed="false"/>
    <row r="63641" customFormat="false" ht="12.75" hidden="false" customHeight="true" outlineLevel="0" collapsed="false"/>
    <row r="63642" customFormat="false" ht="12.75" hidden="false" customHeight="true" outlineLevel="0" collapsed="false"/>
    <row r="63643" customFormat="false" ht="12.75" hidden="false" customHeight="true" outlineLevel="0" collapsed="false"/>
    <row r="63644" customFormat="false" ht="12.75" hidden="false" customHeight="true" outlineLevel="0" collapsed="false"/>
    <row r="63645" customFormat="false" ht="12.75" hidden="false" customHeight="true" outlineLevel="0" collapsed="false"/>
    <row r="63646" customFormat="false" ht="12.75" hidden="false" customHeight="true" outlineLevel="0" collapsed="false"/>
    <row r="63647" customFormat="false" ht="12.75" hidden="false" customHeight="true" outlineLevel="0" collapsed="false"/>
    <row r="63648" customFormat="false" ht="12.75" hidden="false" customHeight="true" outlineLevel="0" collapsed="false"/>
    <row r="63649" customFormat="false" ht="12.75" hidden="false" customHeight="true" outlineLevel="0" collapsed="false"/>
    <row r="63650" customFormat="false" ht="12.75" hidden="false" customHeight="true" outlineLevel="0" collapsed="false"/>
    <row r="63651" customFormat="false" ht="12.75" hidden="false" customHeight="true" outlineLevel="0" collapsed="false"/>
    <row r="63652" customFormat="false" ht="12.75" hidden="false" customHeight="true" outlineLevel="0" collapsed="false"/>
    <row r="63653" customFormat="false" ht="12.75" hidden="false" customHeight="true" outlineLevel="0" collapsed="false"/>
    <row r="63654" customFormat="false" ht="12.75" hidden="false" customHeight="true" outlineLevel="0" collapsed="false"/>
    <row r="63655" customFormat="false" ht="12.75" hidden="false" customHeight="true" outlineLevel="0" collapsed="false"/>
    <row r="63656" customFormat="false" ht="12.75" hidden="false" customHeight="true" outlineLevel="0" collapsed="false"/>
    <row r="63657" customFormat="false" ht="12.75" hidden="false" customHeight="true" outlineLevel="0" collapsed="false"/>
    <row r="63658" customFormat="false" ht="12.75" hidden="false" customHeight="true" outlineLevel="0" collapsed="false"/>
    <row r="63659" customFormat="false" ht="12.75" hidden="false" customHeight="true" outlineLevel="0" collapsed="false"/>
    <row r="63660" customFormat="false" ht="12.75" hidden="false" customHeight="true" outlineLevel="0" collapsed="false"/>
    <row r="63661" customFormat="false" ht="12.75" hidden="false" customHeight="true" outlineLevel="0" collapsed="false"/>
    <row r="63662" customFormat="false" ht="12.75" hidden="false" customHeight="true" outlineLevel="0" collapsed="false"/>
    <row r="63663" customFormat="false" ht="12.75" hidden="false" customHeight="true" outlineLevel="0" collapsed="false"/>
    <row r="63664" customFormat="false" ht="12.75" hidden="false" customHeight="true" outlineLevel="0" collapsed="false"/>
    <row r="63665" customFormat="false" ht="12.75" hidden="false" customHeight="true" outlineLevel="0" collapsed="false"/>
    <row r="63666" customFormat="false" ht="12.75" hidden="false" customHeight="true" outlineLevel="0" collapsed="false"/>
    <row r="63667" customFormat="false" ht="12.75" hidden="false" customHeight="true" outlineLevel="0" collapsed="false"/>
    <row r="63668" customFormat="false" ht="12.75" hidden="false" customHeight="true" outlineLevel="0" collapsed="false"/>
    <row r="63669" customFormat="false" ht="12.75" hidden="false" customHeight="true" outlineLevel="0" collapsed="false"/>
    <row r="63670" customFormat="false" ht="12.75" hidden="false" customHeight="true" outlineLevel="0" collapsed="false"/>
    <row r="63671" customFormat="false" ht="12.75" hidden="false" customHeight="true" outlineLevel="0" collapsed="false"/>
    <row r="63672" customFormat="false" ht="12.75" hidden="false" customHeight="true" outlineLevel="0" collapsed="false"/>
    <row r="63673" customFormat="false" ht="12.75" hidden="false" customHeight="true" outlineLevel="0" collapsed="false"/>
    <row r="63674" customFormat="false" ht="12.75" hidden="false" customHeight="true" outlineLevel="0" collapsed="false"/>
    <row r="63675" customFormat="false" ht="12.75" hidden="false" customHeight="true" outlineLevel="0" collapsed="false"/>
    <row r="63676" customFormat="false" ht="12.75" hidden="false" customHeight="true" outlineLevel="0" collapsed="false"/>
    <row r="63677" customFormat="false" ht="12.75" hidden="false" customHeight="true" outlineLevel="0" collapsed="false"/>
    <row r="63678" customFormat="false" ht="12.75" hidden="false" customHeight="true" outlineLevel="0" collapsed="false"/>
    <row r="63679" customFormat="false" ht="12.75" hidden="false" customHeight="true" outlineLevel="0" collapsed="false"/>
    <row r="63680" customFormat="false" ht="12.75" hidden="false" customHeight="true" outlineLevel="0" collapsed="false"/>
    <row r="63681" customFormat="false" ht="12.75" hidden="false" customHeight="true" outlineLevel="0" collapsed="false"/>
    <row r="63682" customFormat="false" ht="12.75" hidden="false" customHeight="true" outlineLevel="0" collapsed="false"/>
    <row r="63683" customFormat="false" ht="12.75" hidden="false" customHeight="true" outlineLevel="0" collapsed="false"/>
    <row r="63684" customFormat="false" ht="12.75" hidden="false" customHeight="true" outlineLevel="0" collapsed="false"/>
    <row r="63685" customFormat="false" ht="12.75" hidden="false" customHeight="true" outlineLevel="0" collapsed="false"/>
    <row r="63686" customFormat="false" ht="12.75" hidden="false" customHeight="true" outlineLevel="0" collapsed="false"/>
    <row r="63687" customFormat="false" ht="12.75" hidden="false" customHeight="true" outlineLevel="0" collapsed="false"/>
    <row r="63688" customFormat="false" ht="12.75" hidden="false" customHeight="true" outlineLevel="0" collapsed="false"/>
    <row r="63689" customFormat="false" ht="12.75" hidden="false" customHeight="true" outlineLevel="0" collapsed="false"/>
    <row r="63690" customFormat="false" ht="12.75" hidden="false" customHeight="true" outlineLevel="0" collapsed="false"/>
    <row r="63691" customFormat="false" ht="12.75" hidden="false" customHeight="true" outlineLevel="0" collapsed="false"/>
    <row r="63692" customFormat="false" ht="12.75" hidden="false" customHeight="true" outlineLevel="0" collapsed="false"/>
    <row r="63693" customFormat="false" ht="12.75" hidden="false" customHeight="true" outlineLevel="0" collapsed="false"/>
    <row r="63694" customFormat="false" ht="12.75" hidden="false" customHeight="true" outlineLevel="0" collapsed="false"/>
    <row r="63695" customFormat="false" ht="12.75" hidden="false" customHeight="true" outlineLevel="0" collapsed="false"/>
    <row r="63696" customFormat="false" ht="12.75" hidden="false" customHeight="true" outlineLevel="0" collapsed="false"/>
    <row r="63697" customFormat="false" ht="12.75" hidden="false" customHeight="true" outlineLevel="0" collapsed="false"/>
    <row r="63698" customFormat="false" ht="12.75" hidden="false" customHeight="true" outlineLevel="0" collapsed="false"/>
    <row r="63699" customFormat="false" ht="12.75" hidden="false" customHeight="true" outlineLevel="0" collapsed="false"/>
    <row r="63700" customFormat="false" ht="12.75" hidden="false" customHeight="true" outlineLevel="0" collapsed="false"/>
    <row r="63701" customFormat="false" ht="12.75" hidden="false" customHeight="true" outlineLevel="0" collapsed="false"/>
    <row r="63702" customFormat="false" ht="12.75" hidden="false" customHeight="true" outlineLevel="0" collapsed="false"/>
    <row r="63703" customFormat="false" ht="12.75" hidden="false" customHeight="true" outlineLevel="0" collapsed="false"/>
    <row r="63704" customFormat="false" ht="12.75" hidden="false" customHeight="true" outlineLevel="0" collapsed="false"/>
    <row r="63705" customFormat="false" ht="12.75" hidden="false" customHeight="true" outlineLevel="0" collapsed="false"/>
    <row r="63706" customFormat="false" ht="12.75" hidden="false" customHeight="true" outlineLevel="0" collapsed="false"/>
    <row r="63707" customFormat="false" ht="12.75" hidden="false" customHeight="true" outlineLevel="0" collapsed="false"/>
    <row r="63708" customFormat="false" ht="12.75" hidden="false" customHeight="true" outlineLevel="0" collapsed="false"/>
    <row r="63709" customFormat="false" ht="12.75" hidden="false" customHeight="true" outlineLevel="0" collapsed="false"/>
    <row r="63710" customFormat="false" ht="12.75" hidden="false" customHeight="true" outlineLevel="0" collapsed="false"/>
    <row r="63711" customFormat="false" ht="12.75" hidden="false" customHeight="true" outlineLevel="0" collapsed="false"/>
    <row r="63712" customFormat="false" ht="12.75" hidden="false" customHeight="true" outlineLevel="0" collapsed="false"/>
    <row r="63713" customFormat="false" ht="12.75" hidden="false" customHeight="true" outlineLevel="0" collapsed="false"/>
    <row r="63714" customFormat="false" ht="12.75" hidden="false" customHeight="true" outlineLevel="0" collapsed="false"/>
    <row r="63715" customFormat="false" ht="12.75" hidden="false" customHeight="true" outlineLevel="0" collapsed="false"/>
    <row r="63716" customFormat="false" ht="12.75" hidden="false" customHeight="true" outlineLevel="0" collapsed="false"/>
    <row r="63717" customFormat="false" ht="12.75" hidden="false" customHeight="true" outlineLevel="0" collapsed="false"/>
    <row r="63718" customFormat="false" ht="12.75" hidden="false" customHeight="true" outlineLevel="0" collapsed="false"/>
    <row r="63719" customFormat="false" ht="12.75" hidden="false" customHeight="true" outlineLevel="0" collapsed="false"/>
    <row r="63720" customFormat="false" ht="12.75" hidden="false" customHeight="true" outlineLevel="0" collapsed="false"/>
    <row r="63721" customFormat="false" ht="12.75" hidden="false" customHeight="true" outlineLevel="0" collapsed="false"/>
    <row r="63722" customFormat="false" ht="12.75" hidden="false" customHeight="true" outlineLevel="0" collapsed="false"/>
    <row r="63723" customFormat="false" ht="12.75" hidden="false" customHeight="true" outlineLevel="0" collapsed="false"/>
    <row r="63724" customFormat="false" ht="12.75" hidden="false" customHeight="true" outlineLevel="0" collapsed="false"/>
    <row r="63725" customFormat="false" ht="12.75" hidden="false" customHeight="true" outlineLevel="0" collapsed="false"/>
    <row r="63726" customFormat="false" ht="12.75" hidden="false" customHeight="true" outlineLevel="0" collapsed="false"/>
    <row r="63727" customFormat="false" ht="12.75" hidden="false" customHeight="true" outlineLevel="0" collapsed="false"/>
    <row r="63728" customFormat="false" ht="12.75" hidden="false" customHeight="true" outlineLevel="0" collapsed="false"/>
    <row r="63729" customFormat="false" ht="12.75" hidden="false" customHeight="true" outlineLevel="0" collapsed="false"/>
    <row r="63730" customFormat="false" ht="12.75" hidden="false" customHeight="true" outlineLevel="0" collapsed="false"/>
    <row r="63731" customFormat="false" ht="12.75" hidden="false" customHeight="true" outlineLevel="0" collapsed="false"/>
    <row r="63732" customFormat="false" ht="12.75" hidden="false" customHeight="true" outlineLevel="0" collapsed="false"/>
    <row r="63733" customFormat="false" ht="12.75" hidden="false" customHeight="true" outlineLevel="0" collapsed="false"/>
    <row r="63734" customFormat="false" ht="12.75" hidden="false" customHeight="true" outlineLevel="0" collapsed="false"/>
    <row r="63735" customFormat="false" ht="12.75" hidden="false" customHeight="true" outlineLevel="0" collapsed="false"/>
    <row r="63736" customFormat="false" ht="12.75" hidden="false" customHeight="true" outlineLevel="0" collapsed="false"/>
    <row r="63737" customFormat="false" ht="12.75" hidden="false" customHeight="true" outlineLevel="0" collapsed="false"/>
    <row r="63738" customFormat="false" ht="12.75" hidden="false" customHeight="true" outlineLevel="0" collapsed="false"/>
    <row r="63739" customFormat="false" ht="12.75" hidden="false" customHeight="true" outlineLevel="0" collapsed="false"/>
    <row r="63740" customFormat="false" ht="12.75" hidden="false" customHeight="true" outlineLevel="0" collapsed="false"/>
    <row r="63741" customFormat="false" ht="12.75" hidden="false" customHeight="true" outlineLevel="0" collapsed="false"/>
    <row r="63742" customFormat="false" ht="12.75" hidden="false" customHeight="true" outlineLevel="0" collapsed="false"/>
    <row r="63743" customFormat="false" ht="12.75" hidden="false" customHeight="true" outlineLevel="0" collapsed="false"/>
    <row r="63744" customFormat="false" ht="12.75" hidden="false" customHeight="true" outlineLevel="0" collapsed="false"/>
    <row r="63745" customFormat="false" ht="12.75" hidden="false" customHeight="true" outlineLevel="0" collapsed="false"/>
    <row r="63746" customFormat="false" ht="12.75" hidden="false" customHeight="true" outlineLevel="0" collapsed="false"/>
    <row r="63747" customFormat="false" ht="12.75" hidden="false" customHeight="true" outlineLevel="0" collapsed="false"/>
    <row r="63748" customFormat="false" ht="12.75" hidden="false" customHeight="true" outlineLevel="0" collapsed="false"/>
    <row r="63749" customFormat="false" ht="12.75" hidden="false" customHeight="true" outlineLevel="0" collapsed="false"/>
    <row r="63750" customFormat="false" ht="12.75" hidden="false" customHeight="true" outlineLevel="0" collapsed="false"/>
    <row r="63751" customFormat="false" ht="12.75" hidden="false" customHeight="true" outlineLevel="0" collapsed="false"/>
    <row r="63752" customFormat="false" ht="12.75" hidden="false" customHeight="true" outlineLevel="0" collapsed="false"/>
    <row r="63753" customFormat="false" ht="12.75" hidden="false" customHeight="true" outlineLevel="0" collapsed="false"/>
    <row r="63754" customFormat="false" ht="12.75" hidden="false" customHeight="true" outlineLevel="0" collapsed="false"/>
    <row r="63755" customFormat="false" ht="12.75" hidden="false" customHeight="true" outlineLevel="0" collapsed="false"/>
    <row r="63756" customFormat="false" ht="12.75" hidden="false" customHeight="true" outlineLevel="0" collapsed="false"/>
    <row r="63757" customFormat="false" ht="12.75" hidden="false" customHeight="true" outlineLevel="0" collapsed="false"/>
    <row r="63758" customFormat="false" ht="12.75" hidden="false" customHeight="true" outlineLevel="0" collapsed="false"/>
    <row r="63759" customFormat="false" ht="12.75" hidden="false" customHeight="true" outlineLevel="0" collapsed="false"/>
    <row r="63760" customFormat="false" ht="12.75" hidden="false" customHeight="true" outlineLevel="0" collapsed="false"/>
    <row r="63761" customFormat="false" ht="12.75" hidden="false" customHeight="true" outlineLevel="0" collapsed="false"/>
    <row r="63762" customFormat="false" ht="12.75" hidden="false" customHeight="true" outlineLevel="0" collapsed="false"/>
    <row r="63763" customFormat="false" ht="12.75" hidden="false" customHeight="true" outlineLevel="0" collapsed="false"/>
    <row r="63764" customFormat="false" ht="12.75" hidden="false" customHeight="true" outlineLevel="0" collapsed="false"/>
    <row r="63765" customFormat="false" ht="12.75" hidden="false" customHeight="true" outlineLevel="0" collapsed="false"/>
    <row r="63766" customFormat="false" ht="12.75" hidden="false" customHeight="true" outlineLevel="0" collapsed="false"/>
    <row r="63767" customFormat="false" ht="12.75" hidden="false" customHeight="true" outlineLevel="0" collapsed="false"/>
    <row r="63768" customFormat="false" ht="12.75" hidden="false" customHeight="true" outlineLevel="0" collapsed="false"/>
    <row r="63769" customFormat="false" ht="12.75" hidden="false" customHeight="true" outlineLevel="0" collapsed="false"/>
    <row r="63770" customFormat="false" ht="12.75" hidden="false" customHeight="true" outlineLevel="0" collapsed="false"/>
    <row r="63771" customFormat="false" ht="12.75" hidden="false" customHeight="true" outlineLevel="0" collapsed="false"/>
    <row r="63772" customFormat="false" ht="12.75" hidden="false" customHeight="true" outlineLevel="0" collapsed="false"/>
    <row r="63773" customFormat="false" ht="12.75" hidden="false" customHeight="true" outlineLevel="0" collapsed="false"/>
    <row r="63774" customFormat="false" ht="12.75" hidden="false" customHeight="true" outlineLevel="0" collapsed="false"/>
    <row r="63775" customFormat="false" ht="12.75" hidden="false" customHeight="true" outlineLevel="0" collapsed="false"/>
    <row r="63776" customFormat="false" ht="12.75" hidden="false" customHeight="true" outlineLevel="0" collapsed="false"/>
    <row r="63777" customFormat="false" ht="12.75" hidden="false" customHeight="true" outlineLevel="0" collapsed="false"/>
    <row r="63778" customFormat="false" ht="12.75" hidden="false" customHeight="true" outlineLevel="0" collapsed="false"/>
    <row r="63779" customFormat="false" ht="12.75" hidden="false" customHeight="true" outlineLevel="0" collapsed="false"/>
    <row r="63780" customFormat="false" ht="12.75" hidden="false" customHeight="true" outlineLevel="0" collapsed="false"/>
    <row r="63781" customFormat="false" ht="12.75" hidden="false" customHeight="true" outlineLevel="0" collapsed="false"/>
    <row r="63782" customFormat="false" ht="12.75" hidden="false" customHeight="true" outlineLevel="0" collapsed="false"/>
    <row r="63783" customFormat="false" ht="12.75" hidden="false" customHeight="true" outlineLevel="0" collapsed="false"/>
    <row r="63784" customFormat="false" ht="12.75" hidden="false" customHeight="true" outlineLevel="0" collapsed="false"/>
    <row r="63785" customFormat="false" ht="12.75" hidden="false" customHeight="true" outlineLevel="0" collapsed="false"/>
    <row r="63786" customFormat="false" ht="12.75" hidden="false" customHeight="true" outlineLevel="0" collapsed="false"/>
    <row r="63787" customFormat="false" ht="12.75" hidden="false" customHeight="true" outlineLevel="0" collapsed="false"/>
    <row r="63788" customFormat="false" ht="12.75" hidden="false" customHeight="true" outlineLevel="0" collapsed="false"/>
    <row r="63789" customFormat="false" ht="12.75" hidden="false" customHeight="true" outlineLevel="0" collapsed="false"/>
    <row r="63790" customFormat="false" ht="12.75" hidden="false" customHeight="true" outlineLevel="0" collapsed="false"/>
    <row r="63791" customFormat="false" ht="12.75" hidden="false" customHeight="true" outlineLevel="0" collapsed="false"/>
    <row r="63792" customFormat="false" ht="12.75" hidden="false" customHeight="true" outlineLevel="0" collapsed="false"/>
    <row r="63793" customFormat="false" ht="12.75" hidden="false" customHeight="true" outlineLevel="0" collapsed="false"/>
    <row r="63794" customFormat="false" ht="12.75" hidden="false" customHeight="true" outlineLevel="0" collapsed="false"/>
    <row r="63795" customFormat="false" ht="12.75" hidden="false" customHeight="true" outlineLevel="0" collapsed="false"/>
    <row r="63796" customFormat="false" ht="12.75" hidden="false" customHeight="true" outlineLevel="0" collapsed="false"/>
    <row r="63797" customFormat="false" ht="12.75" hidden="false" customHeight="true" outlineLevel="0" collapsed="false"/>
    <row r="63798" customFormat="false" ht="12.75" hidden="false" customHeight="true" outlineLevel="0" collapsed="false"/>
    <row r="63799" customFormat="false" ht="12.75" hidden="false" customHeight="true" outlineLevel="0" collapsed="false"/>
    <row r="63800" customFormat="false" ht="12.75" hidden="false" customHeight="true" outlineLevel="0" collapsed="false"/>
    <row r="63801" customFormat="false" ht="12.75" hidden="false" customHeight="true" outlineLevel="0" collapsed="false"/>
    <row r="63802" customFormat="false" ht="12.75" hidden="false" customHeight="true" outlineLevel="0" collapsed="false"/>
    <row r="63803" customFormat="false" ht="12.75" hidden="false" customHeight="true" outlineLevel="0" collapsed="false"/>
    <row r="63804" customFormat="false" ht="12.75" hidden="false" customHeight="true" outlineLevel="0" collapsed="false"/>
    <row r="63805" customFormat="false" ht="12.75" hidden="false" customHeight="true" outlineLevel="0" collapsed="false"/>
    <row r="63806" customFormat="false" ht="12.75" hidden="false" customHeight="true" outlineLevel="0" collapsed="false"/>
    <row r="63807" customFormat="false" ht="12.75" hidden="false" customHeight="true" outlineLevel="0" collapsed="false"/>
    <row r="63808" customFormat="false" ht="12.75" hidden="false" customHeight="true" outlineLevel="0" collapsed="false"/>
    <row r="63809" customFormat="false" ht="12.75" hidden="false" customHeight="true" outlineLevel="0" collapsed="false"/>
    <row r="63810" customFormat="false" ht="12.75" hidden="false" customHeight="true" outlineLevel="0" collapsed="false"/>
    <row r="63811" customFormat="false" ht="12.75" hidden="false" customHeight="true" outlineLevel="0" collapsed="false"/>
    <row r="63812" customFormat="false" ht="12.75" hidden="false" customHeight="true" outlineLevel="0" collapsed="false"/>
    <row r="63813" customFormat="false" ht="12.75" hidden="false" customHeight="true" outlineLevel="0" collapsed="false"/>
    <row r="63814" customFormat="false" ht="12.75" hidden="false" customHeight="true" outlineLevel="0" collapsed="false"/>
    <row r="63815" customFormat="false" ht="12.75" hidden="false" customHeight="true" outlineLevel="0" collapsed="false"/>
    <row r="63816" customFormat="false" ht="12.75" hidden="false" customHeight="true" outlineLevel="0" collapsed="false"/>
    <row r="63817" customFormat="false" ht="12.75" hidden="false" customHeight="true" outlineLevel="0" collapsed="false"/>
    <row r="63818" customFormat="false" ht="12.75" hidden="false" customHeight="true" outlineLevel="0" collapsed="false"/>
    <row r="63819" customFormat="false" ht="12.75" hidden="false" customHeight="true" outlineLevel="0" collapsed="false"/>
    <row r="63820" customFormat="false" ht="12.75" hidden="false" customHeight="true" outlineLevel="0" collapsed="false"/>
    <row r="63821" customFormat="false" ht="12.75" hidden="false" customHeight="true" outlineLevel="0" collapsed="false"/>
    <row r="63822" customFormat="false" ht="12.75" hidden="false" customHeight="true" outlineLevel="0" collapsed="false"/>
    <row r="63823" customFormat="false" ht="12.75" hidden="false" customHeight="true" outlineLevel="0" collapsed="false"/>
    <row r="63824" customFormat="false" ht="12.75" hidden="false" customHeight="true" outlineLevel="0" collapsed="false"/>
    <row r="63825" customFormat="false" ht="12.75" hidden="false" customHeight="true" outlineLevel="0" collapsed="false"/>
    <row r="63826" customFormat="false" ht="12.75" hidden="false" customHeight="true" outlineLevel="0" collapsed="false"/>
    <row r="63827" customFormat="false" ht="12.75" hidden="false" customHeight="true" outlineLevel="0" collapsed="false"/>
    <row r="63828" customFormat="false" ht="12.75" hidden="false" customHeight="true" outlineLevel="0" collapsed="false"/>
    <row r="63829" customFormat="false" ht="12.75" hidden="false" customHeight="true" outlineLevel="0" collapsed="false"/>
    <row r="63830" customFormat="false" ht="12.75" hidden="false" customHeight="true" outlineLevel="0" collapsed="false"/>
    <row r="63831" customFormat="false" ht="12.75" hidden="false" customHeight="true" outlineLevel="0" collapsed="false"/>
    <row r="63832" customFormat="false" ht="12.75" hidden="false" customHeight="true" outlineLevel="0" collapsed="false"/>
    <row r="63833" customFormat="false" ht="12.75" hidden="false" customHeight="true" outlineLevel="0" collapsed="false"/>
    <row r="63834" customFormat="false" ht="12.75" hidden="false" customHeight="true" outlineLevel="0" collapsed="false"/>
    <row r="63835" customFormat="false" ht="12.75" hidden="false" customHeight="true" outlineLevel="0" collapsed="false"/>
    <row r="63836" customFormat="false" ht="12.75" hidden="false" customHeight="true" outlineLevel="0" collapsed="false"/>
    <row r="63837" customFormat="false" ht="12.75" hidden="false" customHeight="true" outlineLevel="0" collapsed="false"/>
    <row r="63838" customFormat="false" ht="12.75" hidden="false" customHeight="true" outlineLevel="0" collapsed="false"/>
    <row r="63839" customFormat="false" ht="12.75" hidden="false" customHeight="true" outlineLevel="0" collapsed="false"/>
    <row r="63840" customFormat="false" ht="12.75" hidden="false" customHeight="true" outlineLevel="0" collapsed="false"/>
    <row r="63841" customFormat="false" ht="12.75" hidden="false" customHeight="true" outlineLevel="0" collapsed="false"/>
    <row r="63842" customFormat="false" ht="12.75" hidden="false" customHeight="true" outlineLevel="0" collapsed="false"/>
    <row r="63843" customFormat="false" ht="12.75" hidden="false" customHeight="true" outlineLevel="0" collapsed="false"/>
    <row r="63844" customFormat="false" ht="12.75" hidden="false" customHeight="true" outlineLevel="0" collapsed="false"/>
    <row r="63845" customFormat="false" ht="12.75" hidden="false" customHeight="true" outlineLevel="0" collapsed="false"/>
    <row r="63846" customFormat="false" ht="12.75" hidden="false" customHeight="true" outlineLevel="0" collapsed="false"/>
    <row r="63847" customFormat="false" ht="12.75" hidden="false" customHeight="true" outlineLevel="0" collapsed="false"/>
    <row r="63848" customFormat="false" ht="12.75" hidden="false" customHeight="true" outlineLevel="0" collapsed="false"/>
    <row r="63849" customFormat="false" ht="12.75" hidden="false" customHeight="true" outlineLevel="0" collapsed="false"/>
    <row r="63850" customFormat="false" ht="12.75" hidden="false" customHeight="true" outlineLevel="0" collapsed="false"/>
    <row r="63851" customFormat="false" ht="12.75" hidden="false" customHeight="true" outlineLevel="0" collapsed="false"/>
    <row r="63852" customFormat="false" ht="12.75" hidden="false" customHeight="true" outlineLevel="0" collapsed="false"/>
    <row r="63853" customFormat="false" ht="12.75" hidden="false" customHeight="true" outlineLevel="0" collapsed="false"/>
    <row r="63854" customFormat="false" ht="12.75" hidden="false" customHeight="true" outlineLevel="0" collapsed="false"/>
    <row r="63855" customFormat="false" ht="12.75" hidden="false" customHeight="true" outlineLevel="0" collapsed="false"/>
    <row r="63856" customFormat="false" ht="12.75" hidden="false" customHeight="true" outlineLevel="0" collapsed="false"/>
    <row r="63857" customFormat="false" ht="12.75" hidden="false" customHeight="true" outlineLevel="0" collapsed="false"/>
    <row r="63858" customFormat="false" ht="12.75" hidden="false" customHeight="true" outlineLevel="0" collapsed="false"/>
    <row r="63859" customFormat="false" ht="12.75" hidden="false" customHeight="true" outlineLevel="0" collapsed="false"/>
    <row r="63860" customFormat="false" ht="12.75" hidden="false" customHeight="true" outlineLevel="0" collapsed="false"/>
    <row r="63861" customFormat="false" ht="12.75" hidden="false" customHeight="true" outlineLevel="0" collapsed="false"/>
    <row r="63862" customFormat="false" ht="12.75" hidden="false" customHeight="true" outlineLevel="0" collapsed="false"/>
    <row r="63863" customFormat="false" ht="12.75" hidden="false" customHeight="true" outlineLevel="0" collapsed="false"/>
    <row r="63864" customFormat="false" ht="12.75" hidden="false" customHeight="true" outlineLevel="0" collapsed="false"/>
    <row r="63865" customFormat="false" ht="12.75" hidden="false" customHeight="true" outlineLevel="0" collapsed="false"/>
    <row r="63866" customFormat="false" ht="12.75" hidden="false" customHeight="true" outlineLevel="0" collapsed="false"/>
    <row r="63867" customFormat="false" ht="12.75" hidden="false" customHeight="true" outlineLevel="0" collapsed="false"/>
    <row r="63868" customFormat="false" ht="12.75" hidden="false" customHeight="true" outlineLevel="0" collapsed="false"/>
    <row r="63869" customFormat="false" ht="12.75" hidden="false" customHeight="true" outlineLevel="0" collapsed="false"/>
    <row r="63870" customFormat="false" ht="12.75" hidden="false" customHeight="true" outlineLevel="0" collapsed="false"/>
    <row r="63871" customFormat="false" ht="12.75" hidden="false" customHeight="true" outlineLevel="0" collapsed="false"/>
    <row r="63872" customFormat="false" ht="12.75" hidden="false" customHeight="true" outlineLevel="0" collapsed="false"/>
    <row r="63873" customFormat="false" ht="12.75" hidden="false" customHeight="true" outlineLevel="0" collapsed="false"/>
    <row r="63874" customFormat="false" ht="12.75" hidden="false" customHeight="true" outlineLevel="0" collapsed="false"/>
    <row r="63875" customFormat="false" ht="12.75" hidden="false" customHeight="true" outlineLevel="0" collapsed="false"/>
    <row r="63876" customFormat="false" ht="12.75" hidden="false" customHeight="true" outlineLevel="0" collapsed="false"/>
    <row r="63877" customFormat="false" ht="12.75" hidden="false" customHeight="true" outlineLevel="0" collapsed="false"/>
    <row r="63878" customFormat="false" ht="12.75" hidden="false" customHeight="true" outlineLevel="0" collapsed="false"/>
    <row r="63879" customFormat="false" ht="12.75" hidden="false" customHeight="true" outlineLevel="0" collapsed="false"/>
    <row r="63880" customFormat="false" ht="12.75" hidden="false" customHeight="true" outlineLevel="0" collapsed="false"/>
    <row r="63881" customFormat="false" ht="12.75" hidden="false" customHeight="true" outlineLevel="0" collapsed="false"/>
    <row r="63882" customFormat="false" ht="12.75" hidden="false" customHeight="true" outlineLevel="0" collapsed="false"/>
    <row r="63883" customFormat="false" ht="12.75" hidden="false" customHeight="true" outlineLevel="0" collapsed="false"/>
    <row r="63884" customFormat="false" ht="12.75" hidden="false" customHeight="true" outlineLevel="0" collapsed="false"/>
    <row r="63885" customFormat="false" ht="12.75" hidden="false" customHeight="true" outlineLevel="0" collapsed="false"/>
    <row r="63886" customFormat="false" ht="12.75" hidden="false" customHeight="true" outlineLevel="0" collapsed="false"/>
    <row r="63887" customFormat="false" ht="12.75" hidden="false" customHeight="true" outlineLevel="0" collapsed="false"/>
    <row r="63888" customFormat="false" ht="12.75" hidden="false" customHeight="true" outlineLevel="0" collapsed="false"/>
    <row r="63889" customFormat="false" ht="12.75" hidden="false" customHeight="true" outlineLevel="0" collapsed="false"/>
    <row r="63890" customFormat="false" ht="12.75" hidden="false" customHeight="true" outlineLevel="0" collapsed="false"/>
    <row r="63891" customFormat="false" ht="12.75" hidden="false" customHeight="true" outlineLevel="0" collapsed="false"/>
    <row r="63892" customFormat="false" ht="12.75" hidden="false" customHeight="true" outlineLevel="0" collapsed="false"/>
    <row r="63893" customFormat="false" ht="12.75" hidden="false" customHeight="true" outlineLevel="0" collapsed="false"/>
    <row r="63894" customFormat="false" ht="12.75" hidden="false" customHeight="true" outlineLevel="0" collapsed="false"/>
    <row r="63895" customFormat="false" ht="12.75" hidden="false" customHeight="true" outlineLevel="0" collapsed="false"/>
    <row r="63896" customFormat="false" ht="12.75" hidden="false" customHeight="true" outlineLevel="0" collapsed="false"/>
    <row r="63897" customFormat="false" ht="12.75" hidden="false" customHeight="true" outlineLevel="0" collapsed="false"/>
    <row r="63898" customFormat="false" ht="12.75" hidden="false" customHeight="true" outlineLevel="0" collapsed="false"/>
    <row r="63899" customFormat="false" ht="12.75" hidden="false" customHeight="true" outlineLevel="0" collapsed="false"/>
    <row r="63900" customFormat="false" ht="12.75" hidden="false" customHeight="true" outlineLevel="0" collapsed="false"/>
    <row r="63901" customFormat="false" ht="12.75" hidden="false" customHeight="true" outlineLevel="0" collapsed="false"/>
    <row r="63902" customFormat="false" ht="12.75" hidden="false" customHeight="true" outlineLevel="0" collapsed="false"/>
    <row r="63903" customFormat="false" ht="12.75" hidden="false" customHeight="true" outlineLevel="0" collapsed="false"/>
    <row r="63904" customFormat="false" ht="12.75" hidden="false" customHeight="true" outlineLevel="0" collapsed="false"/>
    <row r="63905" customFormat="false" ht="12.75" hidden="false" customHeight="true" outlineLevel="0" collapsed="false"/>
    <row r="63906" customFormat="false" ht="12.75" hidden="false" customHeight="true" outlineLevel="0" collapsed="false"/>
    <row r="63907" customFormat="false" ht="12.75" hidden="false" customHeight="true" outlineLevel="0" collapsed="false"/>
    <row r="63908" customFormat="false" ht="12.75" hidden="false" customHeight="true" outlineLevel="0" collapsed="false"/>
    <row r="63909" customFormat="false" ht="12.75" hidden="false" customHeight="true" outlineLevel="0" collapsed="false"/>
    <row r="63910" customFormat="false" ht="12.75" hidden="false" customHeight="true" outlineLevel="0" collapsed="false"/>
    <row r="63911" customFormat="false" ht="12.75" hidden="false" customHeight="true" outlineLevel="0" collapsed="false"/>
    <row r="63912" customFormat="false" ht="12.75" hidden="false" customHeight="true" outlineLevel="0" collapsed="false"/>
    <row r="63913" customFormat="false" ht="12.75" hidden="false" customHeight="true" outlineLevel="0" collapsed="false"/>
    <row r="63914" customFormat="false" ht="12.75" hidden="false" customHeight="true" outlineLevel="0" collapsed="false"/>
    <row r="63915" customFormat="false" ht="12.75" hidden="false" customHeight="true" outlineLevel="0" collapsed="false"/>
    <row r="63916" customFormat="false" ht="12.75" hidden="false" customHeight="true" outlineLevel="0" collapsed="false"/>
    <row r="63917" customFormat="false" ht="12.75" hidden="false" customHeight="true" outlineLevel="0" collapsed="false"/>
    <row r="63918" customFormat="false" ht="12.75" hidden="false" customHeight="true" outlineLevel="0" collapsed="false"/>
    <row r="63919" customFormat="false" ht="12.75" hidden="false" customHeight="true" outlineLevel="0" collapsed="false"/>
    <row r="63920" customFormat="false" ht="12.75" hidden="false" customHeight="true" outlineLevel="0" collapsed="false"/>
    <row r="63921" customFormat="false" ht="12.75" hidden="false" customHeight="true" outlineLevel="0" collapsed="false"/>
    <row r="63922" customFormat="false" ht="12.75" hidden="false" customHeight="true" outlineLevel="0" collapsed="false"/>
    <row r="63923" customFormat="false" ht="12.75" hidden="false" customHeight="true" outlineLevel="0" collapsed="false"/>
    <row r="63924" customFormat="false" ht="12.75" hidden="false" customHeight="true" outlineLevel="0" collapsed="false"/>
    <row r="63925" customFormat="false" ht="12.75" hidden="false" customHeight="true" outlineLevel="0" collapsed="false"/>
    <row r="63926" customFormat="false" ht="12.75" hidden="false" customHeight="true" outlineLevel="0" collapsed="false"/>
    <row r="63927" customFormat="false" ht="12.75" hidden="false" customHeight="true" outlineLevel="0" collapsed="false"/>
    <row r="63928" customFormat="false" ht="12.75" hidden="false" customHeight="true" outlineLevel="0" collapsed="false"/>
    <row r="63929" customFormat="false" ht="12.75" hidden="false" customHeight="true" outlineLevel="0" collapsed="false"/>
    <row r="63930" customFormat="false" ht="12.75" hidden="false" customHeight="true" outlineLevel="0" collapsed="false"/>
    <row r="63931" customFormat="false" ht="12.75" hidden="false" customHeight="true" outlineLevel="0" collapsed="false"/>
    <row r="63932" customFormat="false" ht="12.75" hidden="false" customHeight="true" outlineLevel="0" collapsed="false"/>
    <row r="63933" customFormat="false" ht="12.75" hidden="false" customHeight="true" outlineLevel="0" collapsed="false"/>
    <row r="63934" customFormat="false" ht="12.75" hidden="false" customHeight="true" outlineLevel="0" collapsed="false"/>
    <row r="63935" customFormat="false" ht="12.75" hidden="false" customHeight="true" outlineLevel="0" collapsed="false"/>
    <row r="63936" customFormat="false" ht="12.75" hidden="false" customHeight="true" outlineLevel="0" collapsed="false"/>
    <row r="63937" customFormat="false" ht="12.75" hidden="false" customHeight="true" outlineLevel="0" collapsed="false"/>
    <row r="63938" customFormat="false" ht="12.75" hidden="false" customHeight="true" outlineLevel="0" collapsed="false"/>
    <row r="63939" customFormat="false" ht="12.75" hidden="false" customHeight="true" outlineLevel="0" collapsed="false"/>
    <row r="63940" customFormat="false" ht="12.75" hidden="false" customHeight="true" outlineLevel="0" collapsed="false"/>
    <row r="63941" customFormat="false" ht="12.75" hidden="false" customHeight="true" outlineLevel="0" collapsed="false"/>
    <row r="63942" customFormat="false" ht="12.75" hidden="false" customHeight="true" outlineLevel="0" collapsed="false"/>
    <row r="63943" customFormat="false" ht="12.75" hidden="false" customHeight="true" outlineLevel="0" collapsed="false"/>
    <row r="63944" customFormat="false" ht="12.75" hidden="false" customHeight="true" outlineLevel="0" collapsed="false"/>
    <row r="63945" customFormat="false" ht="12.75" hidden="false" customHeight="true" outlineLevel="0" collapsed="false"/>
    <row r="63946" customFormat="false" ht="12.75" hidden="false" customHeight="true" outlineLevel="0" collapsed="false"/>
    <row r="63947" customFormat="false" ht="12.75" hidden="false" customHeight="true" outlineLevel="0" collapsed="false"/>
    <row r="63948" customFormat="false" ht="12.75" hidden="false" customHeight="true" outlineLevel="0" collapsed="false"/>
    <row r="63949" customFormat="false" ht="12.75" hidden="false" customHeight="true" outlineLevel="0" collapsed="false"/>
    <row r="63950" customFormat="false" ht="12.75" hidden="false" customHeight="true" outlineLevel="0" collapsed="false"/>
    <row r="63951" customFormat="false" ht="12.75" hidden="false" customHeight="true" outlineLevel="0" collapsed="false"/>
    <row r="63952" customFormat="false" ht="12.75" hidden="false" customHeight="true" outlineLevel="0" collapsed="false"/>
    <row r="63953" customFormat="false" ht="12.75" hidden="false" customHeight="true" outlineLevel="0" collapsed="false"/>
    <row r="63954" customFormat="false" ht="12.75" hidden="false" customHeight="true" outlineLevel="0" collapsed="false"/>
    <row r="63955" customFormat="false" ht="12.75" hidden="false" customHeight="true" outlineLevel="0" collapsed="false"/>
    <row r="63956" customFormat="false" ht="12.75" hidden="false" customHeight="true" outlineLevel="0" collapsed="false"/>
    <row r="63957" customFormat="false" ht="12.75" hidden="false" customHeight="true" outlineLevel="0" collapsed="false"/>
    <row r="63958" customFormat="false" ht="12.75" hidden="false" customHeight="true" outlineLevel="0" collapsed="false"/>
    <row r="63959" customFormat="false" ht="12.75" hidden="false" customHeight="true" outlineLevel="0" collapsed="false"/>
    <row r="63960" customFormat="false" ht="12.75" hidden="false" customHeight="true" outlineLevel="0" collapsed="false"/>
    <row r="63961" customFormat="false" ht="12.75" hidden="false" customHeight="true" outlineLevel="0" collapsed="false"/>
    <row r="63962" customFormat="false" ht="12.75" hidden="false" customHeight="true" outlineLevel="0" collapsed="false"/>
    <row r="63963" customFormat="false" ht="12.75" hidden="false" customHeight="true" outlineLevel="0" collapsed="false"/>
    <row r="63964" customFormat="false" ht="12.75" hidden="false" customHeight="true" outlineLevel="0" collapsed="false"/>
    <row r="63965" customFormat="false" ht="12.75" hidden="false" customHeight="true" outlineLevel="0" collapsed="false"/>
    <row r="63966" customFormat="false" ht="12.75" hidden="false" customHeight="true" outlineLevel="0" collapsed="false"/>
    <row r="63967" customFormat="false" ht="12.75" hidden="false" customHeight="true" outlineLevel="0" collapsed="false"/>
    <row r="63968" customFormat="false" ht="12.75" hidden="false" customHeight="true" outlineLevel="0" collapsed="false"/>
    <row r="63969" customFormat="false" ht="12.75" hidden="false" customHeight="true" outlineLevel="0" collapsed="false"/>
    <row r="63970" customFormat="false" ht="12.75" hidden="false" customHeight="true" outlineLevel="0" collapsed="false"/>
    <row r="63971" customFormat="false" ht="12.75" hidden="false" customHeight="true" outlineLevel="0" collapsed="false"/>
    <row r="63972" customFormat="false" ht="12.75" hidden="false" customHeight="true" outlineLevel="0" collapsed="false"/>
    <row r="63973" customFormat="false" ht="12.75" hidden="false" customHeight="true" outlineLevel="0" collapsed="false"/>
    <row r="63974" customFormat="false" ht="12.75" hidden="false" customHeight="true" outlineLevel="0" collapsed="false"/>
    <row r="63975" customFormat="false" ht="12.75" hidden="false" customHeight="true" outlineLevel="0" collapsed="false"/>
    <row r="63976" customFormat="false" ht="12.75" hidden="false" customHeight="true" outlineLevel="0" collapsed="false"/>
    <row r="63977" customFormat="false" ht="12.75" hidden="false" customHeight="true" outlineLevel="0" collapsed="false"/>
    <row r="63978" customFormat="false" ht="12.75" hidden="false" customHeight="true" outlineLevel="0" collapsed="false"/>
    <row r="63979" customFormat="false" ht="12.75" hidden="false" customHeight="true" outlineLevel="0" collapsed="false"/>
    <row r="63980" customFormat="false" ht="12.75" hidden="false" customHeight="true" outlineLevel="0" collapsed="false"/>
    <row r="63981" customFormat="false" ht="12.75" hidden="false" customHeight="true" outlineLevel="0" collapsed="false"/>
    <row r="63982" customFormat="false" ht="12.75" hidden="false" customHeight="true" outlineLevel="0" collapsed="false"/>
    <row r="63983" customFormat="false" ht="12.75" hidden="false" customHeight="true" outlineLevel="0" collapsed="false"/>
    <row r="63984" customFormat="false" ht="12.75" hidden="false" customHeight="true" outlineLevel="0" collapsed="false"/>
    <row r="63985" customFormat="false" ht="12.75" hidden="false" customHeight="true" outlineLevel="0" collapsed="false"/>
    <row r="63986" customFormat="false" ht="12.75" hidden="false" customHeight="true" outlineLevel="0" collapsed="false"/>
    <row r="63987" customFormat="false" ht="12.75" hidden="false" customHeight="true" outlineLevel="0" collapsed="false"/>
    <row r="63988" customFormat="false" ht="12.75" hidden="false" customHeight="true" outlineLevel="0" collapsed="false"/>
    <row r="63989" customFormat="false" ht="12.75" hidden="false" customHeight="true" outlineLevel="0" collapsed="false"/>
    <row r="63990" customFormat="false" ht="12.75" hidden="false" customHeight="true" outlineLevel="0" collapsed="false"/>
    <row r="63991" customFormat="false" ht="12.75" hidden="false" customHeight="true" outlineLevel="0" collapsed="false"/>
    <row r="63992" customFormat="false" ht="12.75" hidden="false" customHeight="true" outlineLevel="0" collapsed="false"/>
    <row r="63993" customFormat="false" ht="12.75" hidden="false" customHeight="true" outlineLevel="0" collapsed="false"/>
    <row r="63994" customFormat="false" ht="12.75" hidden="false" customHeight="true" outlineLevel="0" collapsed="false"/>
    <row r="63995" customFormat="false" ht="12.75" hidden="false" customHeight="true" outlineLevel="0" collapsed="false"/>
    <row r="63996" customFormat="false" ht="12.75" hidden="false" customHeight="true" outlineLevel="0" collapsed="false"/>
    <row r="63997" customFormat="false" ht="12.75" hidden="false" customHeight="true" outlineLevel="0" collapsed="false"/>
    <row r="63998" customFormat="false" ht="12.75" hidden="false" customHeight="true" outlineLevel="0" collapsed="false"/>
    <row r="63999" customFormat="false" ht="12.75" hidden="false" customHeight="true" outlineLevel="0" collapsed="false"/>
    <row r="64000" customFormat="false" ht="12.75" hidden="false" customHeight="true" outlineLevel="0" collapsed="false"/>
    <row r="64001" customFormat="false" ht="12.75" hidden="false" customHeight="true" outlineLevel="0" collapsed="false"/>
    <row r="64002" customFormat="false" ht="12.75" hidden="false" customHeight="true" outlineLevel="0" collapsed="false"/>
    <row r="64003" customFormat="false" ht="12.75" hidden="false" customHeight="true" outlineLevel="0" collapsed="false"/>
    <row r="64004" customFormat="false" ht="12.75" hidden="false" customHeight="true" outlineLevel="0" collapsed="false"/>
    <row r="64005" customFormat="false" ht="12.75" hidden="false" customHeight="true" outlineLevel="0" collapsed="false"/>
    <row r="64006" customFormat="false" ht="12.75" hidden="false" customHeight="true" outlineLevel="0" collapsed="false"/>
    <row r="64007" customFormat="false" ht="12.75" hidden="false" customHeight="true" outlineLevel="0" collapsed="false"/>
    <row r="64008" customFormat="false" ht="12.75" hidden="false" customHeight="true" outlineLevel="0" collapsed="false"/>
    <row r="64009" customFormat="false" ht="12.75" hidden="false" customHeight="true" outlineLevel="0" collapsed="false"/>
    <row r="64010" customFormat="false" ht="12.75" hidden="false" customHeight="true" outlineLevel="0" collapsed="false"/>
    <row r="64011" customFormat="false" ht="12.75" hidden="false" customHeight="true" outlineLevel="0" collapsed="false"/>
    <row r="64012" customFormat="false" ht="12.75" hidden="false" customHeight="true" outlineLevel="0" collapsed="false"/>
    <row r="64013" customFormat="false" ht="12.75" hidden="false" customHeight="true" outlineLevel="0" collapsed="false"/>
    <row r="64014" customFormat="false" ht="12.75" hidden="false" customHeight="true" outlineLevel="0" collapsed="false"/>
    <row r="64015" customFormat="false" ht="12.75" hidden="false" customHeight="true" outlineLevel="0" collapsed="false"/>
    <row r="64016" customFormat="false" ht="12.75" hidden="false" customHeight="true" outlineLevel="0" collapsed="false"/>
    <row r="64017" customFormat="false" ht="12.75" hidden="false" customHeight="true" outlineLevel="0" collapsed="false"/>
    <row r="64018" customFormat="false" ht="12.75" hidden="false" customHeight="true" outlineLevel="0" collapsed="false"/>
    <row r="64019" customFormat="false" ht="12.75" hidden="false" customHeight="true" outlineLevel="0" collapsed="false"/>
    <row r="64020" customFormat="false" ht="12.75" hidden="false" customHeight="true" outlineLevel="0" collapsed="false"/>
    <row r="64021" customFormat="false" ht="12.75" hidden="false" customHeight="true" outlineLevel="0" collapsed="false"/>
    <row r="64022" customFormat="false" ht="12.75" hidden="false" customHeight="true" outlineLevel="0" collapsed="false"/>
    <row r="64023" customFormat="false" ht="12.75" hidden="false" customHeight="true" outlineLevel="0" collapsed="false"/>
    <row r="64024" customFormat="false" ht="12.75" hidden="false" customHeight="true" outlineLevel="0" collapsed="false"/>
    <row r="64025" customFormat="false" ht="12.75" hidden="false" customHeight="true" outlineLevel="0" collapsed="false"/>
    <row r="64026" customFormat="false" ht="12.75" hidden="false" customHeight="true" outlineLevel="0" collapsed="false"/>
    <row r="64027" customFormat="false" ht="12.75" hidden="false" customHeight="true" outlineLevel="0" collapsed="false"/>
    <row r="64028" customFormat="false" ht="12.75" hidden="false" customHeight="true" outlineLevel="0" collapsed="false"/>
    <row r="64029" customFormat="false" ht="12.75" hidden="false" customHeight="true" outlineLevel="0" collapsed="false"/>
    <row r="64030" customFormat="false" ht="12.75" hidden="false" customHeight="true" outlineLevel="0" collapsed="false"/>
    <row r="64031" customFormat="false" ht="12.75" hidden="false" customHeight="true" outlineLevel="0" collapsed="false"/>
    <row r="64032" customFormat="false" ht="12.75" hidden="false" customHeight="true" outlineLevel="0" collapsed="false"/>
    <row r="64033" customFormat="false" ht="12.75" hidden="false" customHeight="true" outlineLevel="0" collapsed="false"/>
    <row r="64034" customFormat="false" ht="12.75" hidden="false" customHeight="true" outlineLevel="0" collapsed="false"/>
    <row r="64035" customFormat="false" ht="12.75" hidden="false" customHeight="true" outlineLevel="0" collapsed="false"/>
    <row r="64036" customFormat="false" ht="12.75" hidden="false" customHeight="true" outlineLevel="0" collapsed="false"/>
    <row r="64037" customFormat="false" ht="12.75" hidden="false" customHeight="true" outlineLevel="0" collapsed="false"/>
    <row r="64038" customFormat="false" ht="12.75" hidden="false" customHeight="true" outlineLevel="0" collapsed="false"/>
    <row r="64039" customFormat="false" ht="12.75" hidden="false" customHeight="true" outlineLevel="0" collapsed="false"/>
    <row r="64040" customFormat="false" ht="12.75" hidden="false" customHeight="true" outlineLevel="0" collapsed="false"/>
    <row r="64041" customFormat="false" ht="12.75" hidden="false" customHeight="true" outlineLevel="0" collapsed="false"/>
    <row r="64042" customFormat="false" ht="12.75" hidden="false" customHeight="true" outlineLevel="0" collapsed="false"/>
    <row r="64043" customFormat="false" ht="12.75" hidden="false" customHeight="true" outlineLevel="0" collapsed="false"/>
    <row r="64044" customFormat="false" ht="12.75" hidden="false" customHeight="true" outlineLevel="0" collapsed="false"/>
    <row r="64045" customFormat="false" ht="12.75" hidden="false" customHeight="true" outlineLevel="0" collapsed="false"/>
    <row r="64046" customFormat="false" ht="12.75" hidden="false" customHeight="true" outlineLevel="0" collapsed="false"/>
    <row r="64047" customFormat="false" ht="12.75" hidden="false" customHeight="true" outlineLevel="0" collapsed="false"/>
    <row r="64048" customFormat="false" ht="12.75" hidden="false" customHeight="true" outlineLevel="0" collapsed="false"/>
    <row r="64049" customFormat="false" ht="12.75" hidden="false" customHeight="true" outlineLevel="0" collapsed="false"/>
    <row r="64050" customFormat="false" ht="12.75" hidden="false" customHeight="true" outlineLevel="0" collapsed="false"/>
    <row r="64051" customFormat="false" ht="12.75" hidden="false" customHeight="true" outlineLevel="0" collapsed="false"/>
    <row r="64052" customFormat="false" ht="12.75" hidden="false" customHeight="true" outlineLevel="0" collapsed="false"/>
    <row r="64053" customFormat="false" ht="12.75" hidden="false" customHeight="true" outlineLevel="0" collapsed="false"/>
    <row r="64054" customFormat="false" ht="12.75" hidden="false" customHeight="true" outlineLevel="0" collapsed="false"/>
    <row r="64055" customFormat="false" ht="12.75" hidden="false" customHeight="true" outlineLevel="0" collapsed="false"/>
    <row r="64056" customFormat="false" ht="12.75" hidden="false" customHeight="true" outlineLevel="0" collapsed="false"/>
    <row r="64057" customFormat="false" ht="12.75" hidden="false" customHeight="true" outlineLevel="0" collapsed="false"/>
    <row r="64058" customFormat="false" ht="12.75" hidden="false" customHeight="true" outlineLevel="0" collapsed="false"/>
    <row r="64059" customFormat="false" ht="12.75" hidden="false" customHeight="true" outlineLevel="0" collapsed="false"/>
    <row r="64060" customFormat="false" ht="12.75" hidden="false" customHeight="true" outlineLevel="0" collapsed="false"/>
    <row r="64061" customFormat="false" ht="12.75" hidden="false" customHeight="true" outlineLevel="0" collapsed="false"/>
    <row r="64062" customFormat="false" ht="12.75" hidden="false" customHeight="true" outlineLevel="0" collapsed="false"/>
    <row r="64063" customFormat="false" ht="12.75" hidden="false" customHeight="true" outlineLevel="0" collapsed="false"/>
    <row r="64064" customFormat="false" ht="12.75" hidden="false" customHeight="true" outlineLevel="0" collapsed="false"/>
    <row r="64065" customFormat="false" ht="12.75" hidden="false" customHeight="true" outlineLevel="0" collapsed="false"/>
    <row r="64066" customFormat="false" ht="12.75" hidden="false" customHeight="true" outlineLevel="0" collapsed="false"/>
    <row r="64067" customFormat="false" ht="12.75" hidden="false" customHeight="true" outlineLevel="0" collapsed="false"/>
    <row r="64068" customFormat="false" ht="12.75" hidden="false" customHeight="true" outlineLevel="0" collapsed="false"/>
    <row r="64069" customFormat="false" ht="12.75" hidden="false" customHeight="true" outlineLevel="0" collapsed="false"/>
    <row r="64070" customFormat="false" ht="12.75" hidden="false" customHeight="true" outlineLevel="0" collapsed="false"/>
    <row r="64071" customFormat="false" ht="12.75" hidden="false" customHeight="true" outlineLevel="0" collapsed="false"/>
    <row r="64072" customFormat="false" ht="12.75" hidden="false" customHeight="true" outlineLevel="0" collapsed="false"/>
    <row r="64073" customFormat="false" ht="12.75" hidden="false" customHeight="true" outlineLevel="0" collapsed="false"/>
    <row r="64074" customFormat="false" ht="12.75" hidden="false" customHeight="true" outlineLevel="0" collapsed="false"/>
    <row r="64075" customFormat="false" ht="12.75" hidden="false" customHeight="true" outlineLevel="0" collapsed="false"/>
    <row r="64076" customFormat="false" ht="12.75" hidden="false" customHeight="true" outlineLevel="0" collapsed="false"/>
    <row r="64077" customFormat="false" ht="12.75" hidden="false" customHeight="true" outlineLevel="0" collapsed="false"/>
    <row r="64078" customFormat="false" ht="12.75" hidden="false" customHeight="true" outlineLevel="0" collapsed="false"/>
    <row r="64079" customFormat="false" ht="12.75" hidden="false" customHeight="true" outlineLevel="0" collapsed="false"/>
    <row r="64080" customFormat="false" ht="12.75" hidden="false" customHeight="true" outlineLevel="0" collapsed="false"/>
    <row r="64081" customFormat="false" ht="12.75" hidden="false" customHeight="true" outlineLevel="0" collapsed="false"/>
    <row r="64082" customFormat="false" ht="12.75" hidden="false" customHeight="true" outlineLevel="0" collapsed="false"/>
    <row r="64083" customFormat="false" ht="12.75" hidden="false" customHeight="true" outlineLevel="0" collapsed="false"/>
    <row r="64084" customFormat="false" ht="12.75" hidden="false" customHeight="true" outlineLevel="0" collapsed="false"/>
    <row r="64085" customFormat="false" ht="12.75" hidden="false" customHeight="true" outlineLevel="0" collapsed="false"/>
    <row r="64086" customFormat="false" ht="12.75" hidden="false" customHeight="true" outlineLevel="0" collapsed="false"/>
    <row r="64087" customFormat="false" ht="12.75" hidden="false" customHeight="true" outlineLevel="0" collapsed="false"/>
    <row r="64088" customFormat="false" ht="12.75" hidden="false" customHeight="true" outlineLevel="0" collapsed="false"/>
    <row r="64089" customFormat="false" ht="12.75" hidden="false" customHeight="true" outlineLevel="0" collapsed="false"/>
    <row r="64090" customFormat="false" ht="12.75" hidden="false" customHeight="true" outlineLevel="0" collapsed="false"/>
    <row r="64091" customFormat="false" ht="12.75" hidden="false" customHeight="true" outlineLevel="0" collapsed="false"/>
    <row r="64092" customFormat="false" ht="12.75" hidden="false" customHeight="true" outlineLevel="0" collapsed="false"/>
    <row r="64093" customFormat="false" ht="12.75" hidden="false" customHeight="true" outlineLevel="0" collapsed="false"/>
    <row r="64094" customFormat="false" ht="12.75" hidden="false" customHeight="true" outlineLevel="0" collapsed="false"/>
    <row r="64095" customFormat="false" ht="12.75" hidden="false" customHeight="true" outlineLevel="0" collapsed="false"/>
    <row r="64096" customFormat="false" ht="12.75" hidden="false" customHeight="true" outlineLevel="0" collapsed="false"/>
    <row r="64097" customFormat="false" ht="12.75" hidden="false" customHeight="true" outlineLevel="0" collapsed="false"/>
    <row r="64098" customFormat="false" ht="12.75" hidden="false" customHeight="true" outlineLevel="0" collapsed="false"/>
    <row r="64099" customFormat="false" ht="12.75" hidden="false" customHeight="true" outlineLevel="0" collapsed="false"/>
    <row r="64100" customFormat="false" ht="12.75" hidden="false" customHeight="true" outlineLevel="0" collapsed="false"/>
    <row r="64101" customFormat="false" ht="12.75" hidden="false" customHeight="true" outlineLevel="0" collapsed="false"/>
    <row r="64102" customFormat="false" ht="12.75" hidden="false" customHeight="true" outlineLevel="0" collapsed="false"/>
    <row r="64103" customFormat="false" ht="12.75" hidden="false" customHeight="true" outlineLevel="0" collapsed="false"/>
    <row r="64104" customFormat="false" ht="12.75" hidden="false" customHeight="true" outlineLevel="0" collapsed="false"/>
    <row r="64105" customFormat="false" ht="12.75" hidden="false" customHeight="true" outlineLevel="0" collapsed="false"/>
    <row r="64106" customFormat="false" ht="12.75" hidden="false" customHeight="true" outlineLevel="0" collapsed="false"/>
    <row r="64107" customFormat="false" ht="12.75" hidden="false" customHeight="true" outlineLevel="0" collapsed="false"/>
    <row r="64108" customFormat="false" ht="12.75" hidden="false" customHeight="true" outlineLevel="0" collapsed="false"/>
    <row r="64109" customFormat="false" ht="12.75" hidden="false" customHeight="true" outlineLevel="0" collapsed="false"/>
    <row r="64110" customFormat="false" ht="12.75" hidden="false" customHeight="true" outlineLevel="0" collapsed="false"/>
    <row r="64111" customFormat="false" ht="12.75" hidden="false" customHeight="true" outlineLevel="0" collapsed="false"/>
    <row r="64112" customFormat="false" ht="12.75" hidden="false" customHeight="true" outlineLevel="0" collapsed="false"/>
    <row r="64113" customFormat="false" ht="12.75" hidden="false" customHeight="true" outlineLevel="0" collapsed="false"/>
    <row r="64114" customFormat="false" ht="12.75" hidden="false" customHeight="true" outlineLevel="0" collapsed="false"/>
    <row r="64115" customFormat="false" ht="12.75" hidden="false" customHeight="true" outlineLevel="0" collapsed="false"/>
    <row r="64116" customFormat="false" ht="12.75" hidden="false" customHeight="true" outlineLevel="0" collapsed="false"/>
    <row r="64117" customFormat="false" ht="12.75" hidden="false" customHeight="true" outlineLevel="0" collapsed="false"/>
    <row r="64118" customFormat="false" ht="12.75" hidden="false" customHeight="true" outlineLevel="0" collapsed="false"/>
    <row r="64119" customFormat="false" ht="12.75" hidden="false" customHeight="true" outlineLevel="0" collapsed="false"/>
    <row r="64120" customFormat="false" ht="12.75" hidden="false" customHeight="true" outlineLevel="0" collapsed="false"/>
    <row r="64121" customFormat="false" ht="12.75" hidden="false" customHeight="true" outlineLevel="0" collapsed="false"/>
    <row r="64122" customFormat="false" ht="12.75" hidden="false" customHeight="true" outlineLevel="0" collapsed="false"/>
    <row r="64123" customFormat="false" ht="12.75" hidden="false" customHeight="true" outlineLevel="0" collapsed="false"/>
    <row r="64124" customFormat="false" ht="12.75" hidden="false" customHeight="true" outlineLevel="0" collapsed="false"/>
    <row r="64125" customFormat="false" ht="12.75" hidden="false" customHeight="true" outlineLevel="0" collapsed="false"/>
    <row r="64126" customFormat="false" ht="12.75" hidden="false" customHeight="true" outlineLevel="0" collapsed="false"/>
    <row r="64127" customFormat="false" ht="12.75" hidden="false" customHeight="true" outlineLevel="0" collapsed="false"/>
    <row r="64128" customFormat="false" ht="12.75" hidden="false" customHeight="true" outlineLevel="0" collapsed="false"/>
    <row r="64129" customFormat="false" ht="12.75" hidden="false" customHeight="true" outlineLevel="0" collapsed="false"/>
    <row r="64130" customFormat="false" ht="12.75" hidden="false" customHeight="true" outlineLevel="0" collapsed="false"/>
    <row r="64131" customFormat="false" ht="12.75" hidden="false" customHeight="true" outlineLevel="0" collapsed="false"/>
    <row r="64132" customFormat="false" ht="12.75" hidden="false" customHeight="true" outlineLevel="0" collapsed="false"/>
    <row r="64133" customFormat="false" ht="12.75" hidden="false" customHeight="true" outlineLevel="0" collapsed="false"/>
    <row r="64134" customFormat="false" ht="12.75" hidden="false" customHeight="true" outlineLevel="0" collapsed="false"/>
    <row r="64135" customFormat="false" ht="12.75" hidden="false" customHeight="true" outlineLevel="0" collapsed="false"/>
    <row r="64136" customFormat="false" ht="12.75" hidden="false" customHeight="true" outlineLevel="0" collapsed="false"/>
    <row r="64137" customFormat="false" ht="12.75" hidden="false" customHeight="true" outlineLevel="0" collapsed="false"/>
    <row r="64138" customFormat="false" ht="12.75" hidden="false" customHeight="true" outlineLevel="0" collapsed="false"/>
    <row r="64139" customFormat="false" ht="12.75" hidden="false" customHeight="true" outlineLevel="0" collapsed="false"/>
    <row r="64140" customFormat="false" ht="12.75" hidden="false" customHeight="true" outlineLevel="0" collapsed="false"/>
    <row r="64141" customFormat="false" ht="12.75" hidden="false" customHeight="true" outlineLevel="0" collapsed="false"/>
    <row r="64142" customFormat="false" ht="12.75" hidden="false" customHeight="true" outlineLevel="0" collapsed="false"/>
    <row r="64143" customFormat="false" ht="12.75" hidden="false" customHeight="true" outlineLevel="0" collapsed="false"/>
    <row r="64144" customFormat="false" ht="12.75" hidden="false" customHeight="true" outlineLevel="0" collapsed="false"/>
    <row r="64145" customFormat="false" ht="12.75" hidden="false" customHeight="true" outlineLevel="0" collapsed="false"/>
    <row r="64146" customFormat="false" ht="12.75" hidden="false" customHeight="true" outlineLevel="0" collapsed="false"/>
    <row r="64147" customFormat="false" ht="12.75" hidden="false" customHeight="true" outlineLevel="0" collapsed="false"/>
    <row r="64148" customFormat="false" ht="12.75" hidden="false" customHeight="true" outlineLevel="0" collapsed="false"/>
    <row r="64149" customFormat="false" ht="12.75" hidden="false" customHeight="true" outlineLevel="0" collapsed="false"/>
    <row r="64150" customFormat="false" ht="12.75" hidden="false" customHeight="true" outlineLevel="0" collapsed="false"/>
    <row r="64151" customFormat="false" ht="12.75" hidden="false" customHeight="true" outlineLevel="0" collapsed="false"/>
    <row r="64152" customFormat="false" ht="12.75" hidden="false" customHeight="true" outlineLevel="0" collapsed="false"/>
    <row r="64153" customFormat="false" ht="12.75" hidden="false" customHeight="true" outlineLevel="0" collapsed="false"/>
    <row r="64154" customFormat="false" ht="12.75" hidden="false" customHeight="true" outlineLevel="0" collapsed="false"/>
    <row r="64155" customFormat="false" ht="12.75" hidden="false" customHeight="true" outlineLevel="0" collapsed="false"/>
    <row r="64156" customFormat="false" ht="12.75" hidden="false" customHeight="true" outlineLevel="0" collapsed="false"/>
    <row r="64157" customFormat="false" ht="12.75" hidden="false" customHeight="true" outlineLevel="0" collapsed="false"/>
    <row r="64158" customFormat="false" ht="12.75" hidden="false" customHeight="true" outlineLevel="0" collapsed="false"/>
    <row r="64159" customFormat="false" ht="12.75" hidden="false" customHeight="true" outlineLevel="0" collapsed="false"/>
    <row r="64160" customFormat="false" ht="12.75" hidden="false" customHeight="true" outlineLevel="0" collapsed="false"/>
    <row r="64161" customFormat="false" ht="12.75" hidden="false" customHeight="true" outlineLevel="0" collapsed="false"/>
    <row r="64162" customFormat="false" ht="12.75" hidden="false" customHeight="true" outlineLevel="0" collapsed="false"/>
    <row r="64163" customFormat="false" ht="12.75" hidden="false" customHeight="true" outlineLevel="0" collapsed="false"/>
    <row r="64164" customFormat="false" ht="12.75" hidden="false" customHeight="true" outlineLevel="0" collapsed="false"/>
    <row r="64165" customFormat="false" ht="12.75" hidden="false" customHeight="true" outlineLevel="0" collapsed="false"/>
    <row r="64166" customFormat="false" ht="12.75" hidden="false" customHeight="true" outlineLevel="0" collapsed="false"/>
    <row r="64167" customFormat="false" ht="12.75" hidden="false" customHeight="true" outlineLevel="0" collapsed="false"/>
    <row r="64168" customFormat="false" ht="12.75" hidden="false" customHeight="true" outlineLevel="0" collapsed="false"/>
    <row r="64169" customFormat="false" ht="12.75" hidden="false" customHeight="true" outlineLevel="0" collapsed="false"/>
    <row r="64170" customFormat="false" ht="12.75" hidden="false" customHeight="true" outlineLevel="0" collapsed="false"/>
    <row r="64171" customFormat="false" ht="12.75" hidden="false" customHeight="true" outlineLevel="0" collapsed="false"/>
    <row r="64172" customFormat="false" ht="12.75" hidden="false" customHeight="true" outlineLevel="0" collapsed="false"/>
    <row r="64173" customFormat="false" ht="12.75" hidden="false" customHeight="true" outlineLevel="0" collapsed="false"/>
    <row r="64174" customFormat="false" ht="12.75" hidden="false" customHeight="true" outlineLevel="0" collapsed="false"/>
    <row r="64175" customFormat="false" ht="12.75" hidden="false" customHeight="true" outlineLevel="0" collapsed="false"/>
    <row r="64176" customFormat="false" ht="12.75" hidden="false" customHeight="true" outlineLevel="0" collapsed="false"/>
    <row r="64177" customFormat="false" ht="12.75" hidden="false" customHeight="true" outlineLevel="0" collapsed="false"/>
    <row r="64178" customFormat="false" ht="12.75" hidden="false" customHeight="true" outlineLevel="0" collapsed="false"/>
    <row r="64179" customFormat="false" ht="12.75" hidden="false" customHeight="true" outlineLevel="0" collapsed="false"/>
    <row r="64180" customFormat="false" ht="12.75" hidden="false" customHeight="true" outlineLevel="0" collapsed="false"/>
    <row r="64181" customFormat="false" ht="12.75" hidden="false" customHeight="true" outlineLevel="0" collapsed="false"/>
    <row r="64182" customFormat="false" ht="12.75" hidden="false" customHeight="true" outlineLevel="0" collapsed="false"/>
    <row r="64183" customFormat="false" ht="12.75" hidden="false" customHeight="true" outlineLevel="0" collapsed="false"/>
    <row r="64184" customFormat="false" ht="12.75" hidden="false" customHeight="true" outlineLevel="0" collapsed="false"/>
    <row r="64185" customFormat="false" ht="12.75" hidden="false" customHeight="true" outlineLevel="0" collapsed="false"/>
    <row r="64186" customFormat="false" ht="12.75" hidden="false" customHeight="true" outlineLevel="0" collapsed="false"/>
    <row r="64187" customFormat="false" ht="12.75" hidden="false" customHeight="true" outlineLevel="0" collapsed="false"/>
    <row r="64188" customFormat="false" ht="12.75" hidden="false" customHeight="true" outlineLevel="0" collapsed="false"/>
    <row r="64189" customFormat="false" ht="12.75" hidden="false" customHeight="true" outlineLevel="0" collapsed="false"/>
    <row r="64190" customFormat="false" ht="12.75" hidden="false" customHeight="true" outlineLevel="0" collapsed="false"/>
    <row r="64191" customFormat="false" ht="12.75" hidden="false" customHeight="true" outlineLevel="0" collapsed="false"/>
    <row r="64192" customFormat="false" ht="12.75" hidden="false" customHeight="true" outlineLevel="0" collapsed="false"/>
    <row r="64193" customFormat="false" ht="12.75" hidden="false" customHeight="true" outlineLevel="0" collapsed="false"/>
    <row r="64194" customFormat="false" ht="12.75" hidden="false" customHeight="true" outlineLevel="0" collapsed="false"/>
    <row r="64195" customFormat="false" ht="12.75" hidden="false" customHeight="true" outlineLevel="0" collapsed="false"/>
    <row r="64196" customFormat="false" ht="12.75" hidden="false" customHeight="true" outlineLevel="0" collapsed="false"/>
    <row r="64197" customFormat="false" ht="12.75" hidden="false" customHeight="true" outlineLevel="0" collapsed="false"/>
    <row r="64198" customFormat="false" ht="12.75" hidden="false" customHeight="true" outlineLevel="0" collapsed="false"/>
    <row r="64199" customFormat="false" ht="12.75" hidden="false" customHeight="true" outlineLevel="0" collapsed="false"/>
    <row r="64200" customFormat="false" ht="12.75" hidden="false" customHeight="true" outlineLevel="0" collapsed="false"/>
    <row r="64201" customFormat="false" ht="12.75" hidden="false" customHeight="true" outlineLevel="0" collapsed="false"/>
    <row r="64202" customFormat="false" ht="12.75" hidden="false" customHeight="true" outlineLevel="0" collapsed="false"/>
    <row r="64203" customFormat="false" ht="12.75" hidden="false" customHeight="true" outlineLevel="0" collapsed="false"/>
    <row r="64204" customFormat="false" ht="12.75" hidden="false" customHeight="true" outlineLevel="0" collapsed="false"/>
    <row r="64205" customFormat="false" ht="12.75" hidden="false" customHeight="true" outlineLevel="0" collapsed="false"/>
    <row r="64206" customFormat="false" ht="12.75" hidden="false" customHeight="true" outlineLevel="0" collapsed="false"/>
    <row r="64207" customFormat="false" ht="12.75" hidden="false" customHeight="true" outlineLevel="0" collapsed="false"/>
    <row r="64208" customFormat="false" ht="12.75" hidden="false" customHeight="true" outlineLevel="0" collapsed="false"/>
    <row r="64209" customFormat="false" ht="12.75" hidden="false" customHeight="true" outlineLevel="0" collapsed="false"/>
    <row r="64210" customFormat="false" ht="12.75" hidden="false" customHeight="true" outlineLevel="0" collapsed="false"/>
    <row r="64211" customFormat="false" ht="12.75" hidden="false" customHeight="true" outlineLevel="0" collapsed="false"/>
    <row r="64212" customFormat="false" ht="12.75" hidden="false" customHeight="true" outlineLevel="0" collapsed="false"/>
    <row r="64213" customFormat="false" ht="12.75" hidden="false" customHeight="true" outlineLevel="0" collapsed="false"/>
    <row r="64214" customFormat="false" ht="12.75" hidden="false" customHeight="true" outlineLevel="0" collapsed="false"/>
    <row r="64215" customFormat="false" ht="12.75" hidden="false" customHeight="true" outlineLevel="0" collapsed="false"/>
    <row r="64216" customFormat="false" ht="12.75" hidden="false" customHeight="true" outlineLevel="0" collapsed="false"/>
    <row r="64217" customFormat="false" ht="12.75" hidden="false" customHeight="true" outlineLevel="0" collapsed="false"/>
    <row r="64218" customFormat="false" ht="12.75" hidden="false" customHeight="true" outlineLevel="0" collapsed="false"/>
    <row r="64219" customFormat="false" ht="12.75" hidden="false" customHeight="true" outlineLevel="0" collapsed="false"/>
    <row r="64220" customFormat="false" ht="12.75" hidden="false" customHeight="true" outlineLevel="0" collapsed="false"/>
    <row r="64221" customFormat="false" ht="12.75" hidden="false" customHeight="true" outlineLevel="0" collapsed="false"/>
    <row r="64222" customFormat="false" ht="12.75" hidden="false" customHeight="true" outlineLevel="0" collapsed="false"/>
    <row r="64223" customFormat="false" ht="12.75" hidden="false" customHeight="true" outlineLevel="0" collapsed="false"/>
    <row r="64224" customFormat="false" ht="12.75" hidden="false" customHeight="true" outlineLevel="0" collapsed="false"/>
    <row r="64225" customFormat="false" ht="12.75" hidden="false" customHeight="true" outlineLevel="0" collapsed="false"/>
    <row r="64226" customFormat="false" ht="12.75" hidden="false" customHeight="true" outlineLevel="0" collapsed="false"/>
    <row r="64227" customFormat="false" ht="12.75" hidden="false" customHeight="true" outlineLevel="0" collapsed="false"/>
    <row r="64228" customFormat="false" ht="12.75" hidden="false" customHeight="true" outlineLevel="0" collapsed="false"/>
    <row r="64229" customFormat="false" ht="12.75" hidden="false" customHeight="true" outlineLevel="0" collapsed="false"/>
    <row r="64230" customFormat="false" ht="12.75" hidden="false" customHeight="true" outlineLevel="0" collapsed="false"/>
    <row r="64231" customFormat="false" ht="12.75" hidden="false" customHeight="true" outlineLevel="0" collapsed="false"/>
    <row r="64232" customFormat="false" ht="12.75" hidden="false" customHeight="true" outlineLevel="0" collapsed="false"/>
    <row r="64233" customFormat="false" ht="12.75" hidden="false" customHeight="true" outlineLevel="0" collapsed="false"/>
    <row r="64234" customFormat="false" ht="12.75" hidden="false" customHeight="true" outlineLevel="0" collapsed="false"/>
    <row r="64235" customFormat="false" ht="12.75" hidden="false" customHeight="true" outlineLevel="0" collapsed="false"/>
    <row r="64236" customFormat="false" ht="12.75" hidden="false" customHeight="true" outlineLevel="0" collapsed="false"/>
    <row r="64237" customFormat="false" ht="12.75" hidden="false" customHeight="true" outlineLevel="0" collapsed="false"/>
    <row r="64238" customFormat="false" ht="12.75" hidden="false" customHeight="true" outlineLevel="0" collapsed="false"/>
    <row r="64239" customFormat="false" ht="12.75" hidden="false" customHeight="true" outlineLevel="0" collapsed="false"/>
    <row r="64240" customFormat="false" ht="12.75" hidden="false" customHeight="true" outlineLevel="0" collapsed="false"/>
    <row r="64241" customFormat="false" ht="12.75" hidden="false" customHeight="true" outlineLevel="0" collapsed="false"/>
    <row r="64242" customFormat="false" ht="12.75" hidden="false" customHeight="true" outlineLevel="0" collapsed="false"/>
    <row r="64243" customFormat="false" ht="12.75" hidden="false" customHeight="true" outlineLevel="0" collapsed="false"/>
    <row r="64244" customFormat="false" ht="12.75" hidden="false" customHeight="true" outlineLevel="0" collapsed="false"/>
    <row r="64245" customFormat="false" ht="12.75" hidden="false" customHeight="true" outlineLevel="0" collapsed="false"/>
    <row r="64246" customFormat="false" ht="12.75" hidden="false" customHeight="true" outlineLevel="0" collapsed="false"/>
    <row r="64247" customFormat="false" ht="12.75" hidden="false" customHeight="true" outlineLevel="0" collapsed="false"/>
    <row r="64248" customFormat="false" ht="12.75" hidden="false" customHeight="true" outlineLevel="0" collapsed="false"/>
    <row r="64249" customFormat="false" ht="12.75" hidden="false" customHeight="true" outlineLevel="0" collapsed="false"/>
    <row r="64250" customFormat="false" ht="12.75" hidden="false" customHeight="true" outlineLevel="0" collapsed="false"/>
    <row r="64251" customFormat="false" ht="12.75" hidden="false" customHeight="true" outlineLevel="0" collapsed="false"/>
    <row r="64252" customFormat="false" ht="12.75" hidden="false" customHeight="true" outlineLevel="0" collapsed="false"/>
    <row r="64253" customFormat="false" ht="12.75" hidden="false" customHeight="true" outlineLevel="0" collapsed="false"/>
    <row r="64254" customFormat="false" ht="12.75" hidden="false" customHeight="true" outlineLevel="0" collapsed="false"/>
    <row r="64255" customFormat="false" ht="12.75" hidden="false" customHeight="true" outlineLevel="0" collapsed="false"/>
    <row r="64256" customFormat="false" ht="12.75" hidden="false" customHeight="true" outlineLevel="0" collapsed="false"/>
    <row r="64257" customFormat="false" ht="12.75" hidden="false" customHeight="true" outlineLevel="0" collapsed="false"/>
    <row r="64258" customFormat="false" ht="12.75" hidden="false" customHeight="true" outlineLevel="0" collapsed="false"/>
    <row r="64259" customFormat="false" ht="12.75" hidden="false" customHeight="true" outlineLevel="0" collapsed="false"/>
    <row r="64260" customFormat="false" ht="12.75" hidden="false" customHeight="true" outlineLevel="0" collapsed="false"/>
    <row r="64261" customFormat="false" ht="12.75" hidden="false" customHeight="true" outlineLevel="0" collapsed="false"/>
    <row r="64262" customFormat="false" ht="12.75" hidden="false" customHeight="true" outlineLevel="0" collapsed="false"/>
    <row r="64263" customFormat="false" ht="12.75" hidden="false" customHeight="true" outlineLevel="0" collapsed="false"/>
    <row r="64264" customFormat="false" ht="12.75" hidden="false" customHeight="true" outlineLevel="0" collapsed="false"/>
    <row r="64265" customFormat="false" ht="12.75" hidden="false" customHeight="true" outlineLevel="0" collapsed="false"/>
    <row r="64266" customFormat="false" ht="12.75" hidden="false" customHeight="true" outlineLevel="0" collapsed="false"/>
    <row r="64267" customFormat="false" ht="12.75" hidden="false" customHeight="true" outlineLevel="0" collapsed="false"/>
    <row r="64268" customFormat="false" ht="12.75" hidden="false" customHeight="true" outlineLevel="0" collapsed="false"/>
    <row r="64269" customFormat="false" ht="12.75" hidden="false" customHeight="true" outlineLevel="0" collapsed="false"/>
    <row r="64270" customFormat="false" ht="12.75" hidden="false" customHeight="true" outlineLevel="0" collapsed="false"/>
    <row r="64271" customFormat="false" ht="12.75" hidden="false" customHeight="true" outlineLevel="0" collapsed="false"/>
    <row r="64272" customFormat="false" ht="12.75" hidden="false" customHeight="true" outlineLevel="0" collapsed="false"/>
    <row r="64273" customFormat="false" ht="12.75" hidden="false" customHeight="true" outlineLevel="0" collapsed="false"/>
    <row r="64274" customFormat="false" ht="12.75" hidden="false" customHeight="true" outlineLevel="0" collapsed="false"/>
    <row r="64275" customFormat="false" ht="12.75" hidden="false" customHeight="true" outlineLevel="0" collapsed="false"/>
    <row r="64276" customFormat="false" ht="12.75" hidden="false" customHeight="true" outlineLevel="0" collapsed="false"/>
    <row r="64277" customFormat="false" ht="12.75" hidden="false" customHeight="true" outlineLevel="0" collapsed="false"/>
    <row r="64278" customFormat="false" ht="12.75" hidden="false" customHeight="true" outlineLevel="0" collapsed="false"/>
    <row r="64279" customFormat="false" ht="12.75" hidden="false" customHeight="true" outlineLevel="0" collapsed="false"/>
    <row r="64280" customFormat="false" ht="12.75" hidden="false" customHeight="true" outlineLevel="0" collapsed="false"/>
    <row r="64281" customFormat="false" ht="12.75" hidden="false" customHeight="true" outlineLevel="0" collapsed="false"/>
    <row r="64282" customFormat="false" ht="12.75" hidden="false" customHeight="true" outlineLevel="0" collapsed="false"/>
    <row r="64283" customFormat="false" ht="12.75" hidden="false" customHeight="true" outlineLevel="0" collapsed="false"/>
    <row r="64284" customFormat="false" ht="12.75" hidden="false" customHeight="true" outlineLevel="0" collapsed="false"/>
    <row r="64285" customFormat="false" ht="12.75" hidden="false" customHeight="true" outlineLevel="0" collapsed="false"/>
    <row r="64286" customFormat="false" ht="12.75" hidden="false" customHeight="true" outlineLevel="0" collapsed="false"/>
    <row r="64287" customFormat="false" ht="12.75" hidden="false" customHeight="true" outlineLevel="0" collapsed="false"/>
    <row r="64288" customFormat="false" ht="12.75" hidden="false" customHeight="true" outlineLevel="0" collapsed="false"/>
    <row r="64289" customFormat="false" ht="12.75" hidden="false" customHeight="true" outlineLevel="0" collapsed="false"/>
    <row r="64290" customFormat="false" ht="12.75" hidden="false" customHeight="true" outlineLevel="0" collapsed="false"/>
    <row r="64291" customFormat="false" ht="12.75" hidden="false" customHeight="true" outlineLevel="0" collapsed="false"/>
    <row r="64292" customFormat="false" ht="12.75" hidden="false" customHeight="true" outlineLevel="0" collapsed="false"/>
    <row r="64293" customFormat="false" ht="12.75" hidden="false" customHeight="true" outlineLevel="0" collapsed="false"/>
    <row r="64294" customFormat="false" ht="12.75" hidden="false" customHeight="true" outlineLevel="0" collapsed="false"/>
    <row r="64295" customFormat="false" ht="12.75" hidden="false" customHeight="true" outlineLevel="0" collapsed="false"/>
    <row r="64296" customFormat="false" ht="12.75" hidden="false" customHeight="true" outlineLevel="0" collapsed="false"/>
    <row r="64297" customFormat="false" ht="12.75" hidden="false" customHeight="true" outlineLevel="0" collapsed="false"/>
    <row r="64298" customFormat="false" ht="12.75" hidden="false" customHeight="true" outlineLevel="0" collapsed="false"/>
    <row r="64299" customFormat="false" ht="12.75" hidden="false" customHeight="true" outlineLevel="0" collapsed="false"/>
    <row r="64300" customFormat="false" ht="12.75" hidden="false" customHeight="true" outlineLevel="0" collapsed="false"/>
    <row r="64301" customFormat="false" ht="12.75" hidden="false" customHeight="true" outlineLevel="0" collapsed="false"/>
    <row r="64302" customFormat="false" ht="12.75" hidden="false" customHeight="true" outlineLevel="0" collapsed="false"/>
    <row r="64303" customFormat="false" ht="12.75" hidden="false" customHeight="true" outlineLevel="0" collapsed="false"/>
    <row r="64304" customFormat="false" ht="12.75" hidden="false" customHeight="true" outlineLevel="0" collapsed="false"/>
    <row r="64305" customFormat="false" ht="12.75" hidden="false" customHeight="true" outlineLevel="0" collapsed="false"/>
    <row r="64306" customFormat="false" ht="12.75" hidden="false" customHeight="true" outlineLevel="0" collapsed="false"/>
    <row r="64307" customFormat="false" ht="12.75" hidden="false" customHeight="true" outlineLevel="0" collapsed="false"/>
    <row r="64308" customFormat="false" ht="12.75" hidden="false" customHeight="true" outlineLevel="0" collapsed="false"/>
    <row r="64309" customFormat="false" ht="12.75" hidden="false" customHeight="true" outlineLevel="0" collapsed="false"/>
    <row r="64310" customFormat="false" ht="12.75" hidden="false" customHeight="true" outlineLevel="0" collapsed="false"/>
    <row r="64311" customFormat="false" ht="12.75" hidden="false" customHeight="true" outlineLevel="0" collapsed="false"/>
    <row r="64312" customFormat="false" ht="12.75" hidden="false" customHeight="true" outlineLevel="0" collapsed="false"/>
    <row r="64313" customFormat="false" ht="12.75" hidden="false" customHeight="true" outlineLevel="0" collapsed="false"/>
    <row r="64314" customFormat="false" ht="12.75" hidden="false" customHeight="true" outlineLevel="0" collapsed="false"/>
    <row r="64315" customFormat="false" ht="12.75" hidden="false" customHeight="true" outlineLevel="0" collapsed="false"/>
    <row r="64316" customFormat="false" ht="12.75" hidden="false" customHeight="true" outlineLevel="0" collapsed="false"/>
    <row r="64317" customFormat="false" ht="12.75" hidden="false" customHeight="true" outlineLevel="0" collapsed="false"/>
    <row r="64318" customFormat="false" ht="12.75" hidden="false" customHeight="true" outlineLevel="0" collapsed="false"/>
    <row r="64319" customFormat="false" ht="12.75" hidden="false" customHeight="true" outlineLevel="0" collapsed="false"/>
    <row r="64320" customFormat="false" ht="12.75" hidden="false" customHeight="true" outlineLevel="0" collapsed="false"/>
    <row r="64321" customFormat="false" ht="12.75" hidden="false" customHeight="true" outlineLevel="0" collapsed="false"/>
    <row r="64322" customFormat="false" ht="12.75" hidden="false" customHeight="true" outlineLevel="0" collapsed="false"/>
    <row r="64323" customFormat="false" ht="12.75" hidden="false" customHeight="true" outlineLevel="0" collapsed="false"/>
    <row r="64324" customFormat="false" ht="12.75" hidden="false" customHeight="true" outlineLevel="0" collapsed="false"/>
    <row r="64325" customFormat="false" ht="12.75" hidden="false" customHeight="true" outlineLevel="0" collapsed="false"/>
    <row r="64326" customFormat="false" ht="12.75" hidden="false" customHeight="true" outlineLevel="0" collapsed="false"/>
    <row r="64327" customFormat="false" ht="12.75" hidden="false" customHeight="true" outlineLevel="0" collapsed="false"/>
    <row r="64328" customFormat="false" ht="12.75" hidden="false" customHeight="true" outlineLevel="0" collapsed="false"/>
    <row r="64329" customFormat="false" ht="12.75" hidden="false" customHeight="true" outlineLevel="0" collapsed="false"/>
    <row r="64330" customFormat="false" ht="12.75" hidden="false" customHeight="true" outlineLevel="0" collapsed="false"/>
    <row r="64331" customFormat="false" ht="12.75" hidden="false" customHeight="true" outlineLevel="0" collapsed="false"/>
    <row r="64332" customFormat="false" ht="12.75" hidden="false" customHeight="true" outlineLevel="0" collapsed="false"/>
    <row r="64333" customFormat="false" ht="12.75" hidden="false" customHeight="true" outlineLevel="0" collapsed="false"/>
    <row r="64334" customFormat="false" ht="12.75" hidden="false" customHeight="true" outlineLevel="0" collapsed="false"/>
    <row r="64335" customFormat="false" ht="12.75" hidden="false" customHeight="true" outlineLevel="0" collapsed="false"/>
    <row r="64336" customFormat="false" ht="12.75" hidden="false" customHeight="true" outlineLevel="0" collapsed="false"/>
    <row r="64337" customFormat="false" ht="12.75" hidden="false" customHeight="true" outlineLevel="0" collapsed="false"/>
    <row r="64338" customFormat="false" ht="12.75" hidden="false" customHeight="true" outlineLevel="0" collapsed="false"/>
    <row r="64339" customFormat="false" ht="12.75" hidden="false" customHeight="true" outlineLevel="0" collapsed="false"/>
    <row r="64340" customFormat="false" ht="12.75" hidden="false" customHeight="true" outlineLevel="0" collapsed="false"/>
    <row r="64341" customFormat="false" ht="12.75" hidden="false" customHeight="true" outlineLevel="0" collapsed="false"/>
    <row r="64342" customFormat="false" ht="12.75" hidden="false" customHeight="true" outlineLevel="0" collapsed="false"/>
    <row r="64343" customFormat="false" ht="12.75" hidden="false" customHeight="true" outlineLevel="0" collapsed="false"/>
    <row r="64344" customFormat="false" ht="12.75" hidden="false" customHeight="true" outlineLevel="0" collapsed="false"/>
    <row r="64345" customFormat="false" ht="12.75" hidden="false" customHeight="true" outlineLevel="0" collapsed="false"/>
    <row r="64346" customFormat="false" ht="12.75" hidden="false" customHeight="true" outlineLevel="0" collapsed="false"/>
    <row r="64347" customFormat="false" ht="12.75" hidden="false" customHeight="true" outlineLevel="0" collapsed="false"/>
    <row r="64348" customFormat="false" ht="12.75" hidden="false" customHeight="true" outlineLevel="0" collapsed="false"/>
    <row r="64349" customFormat="false" ht="12.75" hidden="false" customHeight="true" outlineLevel="0" collapsed="false"/>
    <row r="64350" customFormat="false" ht="12.75" hidden="false" customHeight="true" outlineLevel="0" collapsed="false"/>
    <row r="64351" customFormat="false" ht="12.75" hidden="false" customHeight="true" outlineLevel="0" collapsed="false"/>
    <row r="64352" customFormat="false" ht="12.75" hidden="false" customHeight="true" outlineLevel="0" collapsed="false"/>
    <row r="64353" customFormat="false" ht="12.75" hidden="false" customHeight="true" outlineLevel="0" collapsed="false"/>
    <row r="64354" customFormat="false" ht="12.75" hidden="false" customHeight="true" outlineLevel="0" collapsed="false"/>
    <row r="64355" customFormat="false" ht="12.75" hidden="false" customHeight="true" outlineLevel="0" collapsed="false"/>
    <row r="64356" customFormat="false" ht="12.75" hidden="false" customHeight="true" outlineLevel="0" collapsed="false"/>
    <row r="64357" customFormat="false" ht="12.75" hidden="false" customHeight="true" outlineLevel="0" collapsed="false"/>
    <row r="64358" customFormat="false" ht="12.75" hidden="false" customHeight="true" outlineLevel="0" collapsed="false"/>
    <row r="64359" customFormat="false" ht="12.75" hidden="false" customHeight="true" outlineLevel="0" collapsed="false"/>
    <row r="64360" customFormat="false" ht="12.75" hidden="false" customHeight="true" outlineLevel="0" collapsed="false"/>
    <row r="64361" customFormat="false" ht="12.75" hidden="false" customHeight="true" outlineLevel="0" collapsed="false"/>
    <row r="64362" customFormat="false" ht="12.75" hidden="false" customHeight="true" outlineLevel="0" collapsed="false"/>
    <row r="64363" customFormat="false" ht="12.75" hidden="false" customHeight="true" outlineLevel="0" collapsed="false"/>
    <row r="64364" customFormat="false" ht="12.75" hidden="false" customHeight="true" outlineLevel="0" collapsed="false"/>
    <row r="64365" customFormat="false" ht="12.75" hidden="false" customHeight="true" outlineLevel="0" collapsed="false"/>
    <row r="64366" customFormat="false" ht="12.75" hidden="false" customHeight="true" outlineLevel="0" collapsed="false"/>
    <row r="64367" customFormat="false" ht="12.75" hidden="false" customHeight="true" outlineLevel="0" collapsed="false"/>
    <row r="64368" customFormat="false" ht="12.75" hidden="false" customHeight="true" outlineLevel="0" collapsed="false"/>
    <row r="64369" customFormat="false" ht="12.75" hidden="false" customHeight="true" outlineLevel="0" collapsed="false"/>
    <row r="64370" customFormat="false" ht="12.75" hidden="false" customHeight="true" outlineLevel="0" collapsed="false"/>
    <row r="64371" customFormat="false" ht="12.75" hidden="false" customHeight="true" outlineLevel="0" collapsed="false"/>
    <row r="64372" customFormat="false" ht="12.75" hidden="false" customHeight="true" outlineLevel="0" collapsed="false"/>
    <row r="64373" customFormat="false" ht="12.75" hidden="false" customHeight="true" outlineLevel="0" collapsed="false"/>
    <row r="64374" customFormat="false" ht="12.75" hidden="false" customHeight="true" outlineLevel="0" collapsed="false"/>
    <row r="64375" customFormat="false" ht="12.75" hidden="false" customHeight="true" outlineLevel="0" collapsed="false"/>
    <row r="64376" customFormat="false" ht="12.75" hidden="false" customHeight="true" outlineLevel="0" collapsed="false"/>
    <row r="64377" customFormat="false" ht="12.75" hidden="false" customHeight="true" outlineLevel="0" collapsed="false"/>
    <row r="64378" customFormat="false" ht="12.75" hidden="false" customHeight="true" outlineLevel="0" collapsed="false"/>
    <row r="64379" customFormat="false" ht="12.75" hidden="false" customHeight="true" outlineLevel="0" collapsed="false"/>
    <row r="64380" customFormat="false" ht="12.75" hidden="false" customHeight="true" outlineLevel="0" collapsed="false"/>
    <row r="64381" customFormat="false" ht="12.75" hidden="false" customHeight="true" outlineLevel="0" collapsed="false"/>
    <row r="64382" customFormat="false" ht="12.75" hidden="false" customHeight="true" outlineLevel="0" collapsed="false"/>
    <row r="64383" customFormat="false" ht="12.75" hidden="false" customHeight="true" outlineLevel="0" collapsed="false"/>
    <row r="64384" customFormat="false" ht="12.75" hidden="false" customHeight="true" outlineLevel="0" collapsed="false"/>
    <row r="64385" customFormat="false" ht="12.75" hidden="false" customHeight="true" outlineLevel="0" collapsed="false"/>
    <row r="64386" customFormat="false" ht="12.75" hidden="false" customHeight="true" outlineLevel="0" collapsed="false"/>
    <row r="64387" customFormat="false" ht="12.75" hidden="false" customHeight="true" outlineLevel="0" collapsed="false"/>
    <row r="64388" customFormat="false" ht="12.75" hidden="false" customHeight="true" outlineLevel="0" collapsed="false"/>
    <row r="64389" customFormat="false" ht="12.75" hidden="false" customHeight="true" outlineLevel="0" collapsed="false"/>
    <row r="64390" customFormat="false" ht="12.75" hidden="false" customHeight="true" outlineLevel="0" collapsed="false"/>
    <row r="64391" customFormat="false" ht="12.75" hidden="false" customHeight="true" outlineLevel="0" collapsed="false"/>
    <row r="64392" customFormat="false" ht="12.75" hidden="false" customHeight="true" outlineLevel="0" collapsed="false"/>
    <row r="64393" customFormat="false" ht="12.75" hidden="false" customHeight="true" outlineLevel="0" collapsed="false"/>
    <row r="64394" customFormat="false" ht="12.75" hidden="false" customHeight="true" outlineLevel="0" collapsed="false"/>
    <row r="64395" customFormat="false" ht="12.75" hidden="false" customHeight="true" outlineLevel="0" collapsed="false"/>
    <row r="64396" customFormat="false" ht="12.75" hidden="false" customHeight="true" outlineLevel="0" collapsed="false"/>
    <row r="64397" customFormat="false" ht="12.75" hidden="false" customHeight="true" outlineLevel="0" collapsed="false"/>
    <row r="64398" customFormat="false" ht="12.75" hidden="false" customHeight="true" outlineLevel="0" collapsed="false"/>
    <row r="64399" customFormat="false" ht="12.75" hidden="false" customHeight="true" outlineLevel="0" collapsed="false"/>
    <row r="64400" customFormat="false" ht="12.75" hidden="false" customHeight="true" outlineLevel="0" collapsed="false"/>
    <row r="64401" customFormat="false" ht="12.75" hidden="false" customHeight="true" outlineLevel="0" collapsed="false"/>
    <row r="64402" customFormat="false" ht="12.75" hidden="false" customHeight="true" outlineLevel="0" collapsed="false"/>
    <row r="64403" customFormat="false" ht="12.75" hidden="false" customHeight="true" outlineLevel="0" collapsed="false"/>
    <row r="64404" customFormat="false" ht="12.75" hidden="false" customHeight="true" outlineLevel="0" collapsed="false"/>
    <row r="64405" customFormat="false" ht="12.75" hidden="false" customHeight="true" outlineLevel="0" collapsed="false"/>
    <row r="64406" customFormat="false" ht="12.75" hidden="false" customHeight="true" outlineLevel="0" collapsed="false"/>
    <row r="64407" customFormat="false" ht="12.75" hidden="false" customHeight="true" outlineLevel="0" collapsed="false"/>
    <row r="64408" customFormat="false" ht="12.75" hidden="false" customHeight="true" outlineLevel="0" collapsed="false"/>
    <row r="64409" customFormat="false" ht="12.75" hidden="false" customHeight="true" outlineLevel="0" collapsed="false"/>
    <row r="64410" customFormat="false" ht="12.75" hidden="false" customHeight="true" outlineLevel="0" collapsed="false"/>
    <row r="64411" customFormat="false" ht="12.75" hidden="false" customHeight="true" outlineLevel="0" collapsed="false"/>
    <row r="64412" customFormat="false" ht="12.75" hidden="false" customHeight="true" outlineLevel="0" collapsed="false"/>
    <row r="64413" customFormat="false" ht="12.75" hidden="false" customHeight="true" outlineLevel="0" collapsed="false"/>
    <row r="64414" customFormat="false" ht="12.75" hidden="false" customHeight="true" outlineLevel="0" collapsed="false"/>
    <row r="64415" customFormat="false" ht="12.75" hidden="false" customHeight="true" outlineLevel="0" collapsed="false"/>
    <row r="64416" customFormat="false" ht="12.75" hidden="false" customHeight="true" outlineLevel="0" collapsed="false"/>
    <row r="64417" customFormat="false" ht="12.75" hidden="false" customHeight="true" outlineLevel="0" collapsed="false"/>
    <row r="64418" customFormat="false" ht="12.75" hidden="false" customHeight="true" outlineLevel="0" collapsed="false"/>
    <row r="64419" customFormat="false" ht="12.75" hidden="false" customHeight="true" outlineLevel="0" collapsed="false"/>
    <row r="64420" customFormat="false" ht="12.75" hidden="false" customHeight="true" outlineLevel="0" collapsed="false"/>
    <row r="64421" customFormat="false" ht="12.75" hidden="false" customHeight="true" outlineLevel="0" collapsed="false"/>
    <row r="64422" customFormat="false" ht="12.75" hidden="false" customHeight="true" outlineLevel="0" collapsed="false"/>
    <row r="64423" customFormat="false" ht="12.75" hidden="false" customHeight="true" outlineLevel="0" collapsed="false"/>
    <row r="64424" customFormat="false" ht="12.75" hidden="false" customHeight="true" outlineLevel="0" collapsed="false"/>
    <row r="64425" customFormat="false" ht="12.75" hidden="false" customHeight="true" outlineLevel="0" collapsed="false"/>
    <row r="64426" customFormat="false" ht="12.75" hidden="false" customHeight="true" outlineLevel="0" collapsed="false"/>
    <row r="64427" customFormat="false" ht="12.75" hidden="false" customHeight="true" outlineLevel="0" collapsed="false"/>
    <row r="64428" customFormat="false" ht="12.75" hidden="false" customHeight="true" outlineLevel="0" collapsed="false"/>
    <row r="64429" customFormat="false" ht="12.75" hidden="false" customHeight="true" outlineLevel="0" collapsed="false"/>
    <row r="64430" customFormat="false" ht="12.75" hidden="false" customHeight="true" outlineLevel="0" collapsed="false"/>
    <row r="64431" customFormat="false" ht="12.75" hidden="false" customHeight="true" outlineLevel="0" collapsed="false"/>
    <row r="64432" customFormat="false" ht="12.75" hidden="false" customHeight="true" outlineLevel="0" collapsed="false"/>
    <row r="64433" customFormat="false" ht="12.75" hidden="false" customHeight="true" outlineLevel="0" collapsed="false"/>
    <row r="64434" customFormat="false" ht="12.75" hidden="false" customHeight="true" outlineLevel="0" collapsed="false"/>
    <row r="64435" customFormat="false" ht="12.75" hidden="false" customHeight="true" outlineLevel="0" collapsed="false"/>
    <row r="64436" customFormat="false" ht="12.75" hidden="false" customHeight="true" outlineLevel="0" collapsed="false"/>
    <row r="64437" customFormat="false" ht="12.75" hidden="false" customHeight="true" outlineLevel="0" collapsed="false"/>
    <row r="64438" customFormat="false" ht="12.75" hidden="false" customHeight="true" outlineLevel="0" collapsed="false"/>
    <row r="64439" customFormat="false" ht="12.75" hidden="false" customHeight="true" outlineLevel="0" collapsed="false"/>
    <row r="64440" customFormat="false" ht="12.75" hidden="false" customHeight="true" outlineLevel="0" collapsed="false"/>
    <row r="64441" customFormat="false" ht="12.75" hidden="false" customHeight="true" outlineLevel="0" collapsed="false"/>
    <row r="64442" customFormat="false" ht="12.75" hidden="false" customHeight="true" outlineLevel="0" collapsed="false"/>
    <row r="64443" customFormat="false" ht="12.75" hidden="false" customHeight="true" outlineLevel="0" collapsed="false"/>
    <row r="64444" customFormat="false" ht="12.75" hidden="false" customHeight="true" outlineLevel="0" collapsed="false"/>
    <row r="64445" customFormat="false" ht="12.75" hidden="false" customHeight="true" outlineLevel="0" collapsed="false"/>
    <row r="64446" customFormat="false" ht="12.75" hidden="false" customHeight="true" outlineLevel="0" collapsed="false"/>
    <row r="64447" customFormat="false" ht="12.75" hidden="false" customHeight="true" outlineLevel="0" collapsed="false"/>
    <row r="64448" customFormat="false" ht="12.75" hidden="false" customHeight="true" outlineLevel="0" collapsed="false"/>
    <row r="64449" customFormat="false" ht="12.75" hidden="false" customHeight="true" outlineLevel="0" collapsed="false"/>
    <row r="64450" customFormat="false" ht="12.75" hidden="false" customHeight="true" outlineLevel="0" collapsed="false"/>
    <row r="64451" customFormat="false" ht="12.75" hidden="false" customHeight="true" outlineLevel="0" collapsed="false"/>
    <row r="64452" customFormat="false" ht="12.75" hidden="false" customHeight="true" outlineLevel="0" collapsed="false"/>
    <row r="64453" customFormat="false" ht="12.75" hidden="false" customHeight="true" outlineLevel="0" collapsed="false"/>
    <row r="64454" customFormat="false" ht="12.75" hidden="false" customHeight="true" outlineLevel="0" collapsed="false"/>
    <row r="64455" customFormat="false" ht="12.75" hidden="false" customHeight="true" outlineLevel="0" collapsed="false"/>
    <row r="64456" customFormat="false" ht="12.75" hidden="false" customHeight="true" outlineLevel="0" collapsed="false"/>
    <row r="64457" customFormat="false" ht="12.75" hidden="false" customHeight="true" outlineLevel="0" collapsed="false"/>
    <row r="64458" customFormat="false" ht="12.75" hidden="false" customHeight="true" outlineLevel="0" collapsed="false"/>
    <row r="64459" customFormat="false" ht="12.75" hidden="false" customHeight="true" outlineLevel="0" collapsed="false"/>
    <row r="64460" customFormat="false" ht="12.75" hidden="false" customHeight="true" outlineLevel="0" collapsed="false"/>
    <row r="64461" customFormat="false" ht="12.75" hidden="false" customHeight="true" outlineLevel="0" collapsed="false"/>
    <row r="64462" customFormat="false" ht="12.75" hidden="false" customHeight="true" outlineLevel="0" collapsed="false"/>
    <row r="64463" customFormat="false" ht="12.75" hidden="false" customHeight="true" outlineLevel="0" collapsed="false"/>
    <row r="64464" customFormat="false" ht="12.75" hidden="false" customHeight="true" outlineLevel="0" collapsed="false"/>
    <row r="64465" customFormat="false" ht="12.75" hidden="false" customHeight="true" outlineLevel="0" collapsed="false"/>
    <row r="64466" customFormat="false" ht="12.75" hidden="false" customHeight="true" outlineLevel="0" collapsed="false"/>
    <row r="64467" customFormat="false" ht="12.75" hidden="false" customHeight="true" outlineLevel="0" collapsed="false"/>
    <row r="64468" customFormat="false" ht="12.75" hidden="false" customHeight="true" outlineLevel="0" collapsed="false"/>
    <row r="64469" customFormat="false" ht="12.75" hidden="false" customHeight="true" outlineLevel="0" collapsed="false"/>
    <row r="64470" customFormat="false" ht="12.75" hidden="false" customHeight="true" outlineLevel="0" collapsed="false"/>
    <row r="64471" customFormat="false" ht="12.75" hidden="false" customHeight="true" outlineLevel="0" collapsed="false"/>
    <row r="64472" customFormat="false" ht="12.75" hidden="false" customHeight="true" outlineLevel="0" collapsed="false"/>
    <row r="64473" customFormat="false" ht="12.75" hidden="false" customHeight="true" outlineLevel="0" collapsed="false"/>
    <row r="64474" customFormat="false" ht="12.75" hidden="false" customHeight="true" outlineLevel="0" collapsed="false"/>
    <row r="64475" customFormat="false" ht="12.75" hidden="false" customHeight="true" outlineLevel="0" collapsed="false"/>
    <row r="64476" customFormat="false" ht="12.75" hidden="false" customHeight="true" outlineLevel="0" collapsed="false"/>
    <row r="64477" customFormat="false" ht="12.75" hidden="false" customHeight="true" outlineLevel="0" collapsed="false"/>
    <row r="64478" customFormat="false" ht="12.75" hidden="false" customHeight="true" outlineLevel="0" collapsed="false"/>
    <row r="64479" customFormat="false" ht="12.75" hidden="false" customHeight="true" outlineLevel="0" collapsed="false"/>
    <row r="64480" customFormat="false" ht="12.75" hidden="false" customHeight="true" outlineLevel="0" collapsed="false"/>
    <row r="64481" customFormat="false" ht="12.75" hidden="false" customHeight="true" outlineLevel="0" collapsed="false"/>
    <row r="64482" customFormat="false" ht="12.75" hidden="false" customHeight="true" outlineLevel="0" collapsed="false"/>
    <row r="64483" customFormat="false" ht="12.75" hidden="false" customHeight="true" outlineLevel="0" collapsed="false"/>
    <row r="64484" customFormat="false" ht="12.75" hidden="false" customHeight="true" outlineLevel="0" collapsed="false"/>
    <row r="64485" customFormat="false" ht="12.75" hidden="false" customHeight="true" outlineLevel="0" collapsed="false"/>
    <row r="64486" customFormat="false" ht="12.75" hidden="false" customHeight="true" outlineLevel="0" collapsed="false"/>
    <row r="64487" customFormat="false" ht="12.75" hidden="false" customHeight="true" outlineLevel="0" collapsed="false"/>
    <row r="64488" customFormat="false" ht="12.75" hidden="false" customHeight="true" outlineLevel="0" collapsed="false"/>
    <row r="64489" customFormat="false" ht="12.75" hidden="false" customHeight="true" outlineLevel="0" collapsed="false"/>
    <row r="64490" customFormat="false" ht="12.75" hidden="false" customHeight="true" outlineLevel="0" collapsed="false"/>
    <row r="64491" customFormat="false" ht="12.75" hidden="false" customHeight="true" outlineLevel="0" collapsed="false"/>
    <row r="64492" customFormat="false" ht="12.75" hidden="false" customHeight="true" outlineLevel="0" collapsed="false"/>
    <row r="64493" customFormat="false" ht="12.75" hidden="false" customHeight="true" outlineLevel="0" collapsed="false"/>
    <row r="64494" customFormat="false" ht="12.75" hidden="false" customHeight="true" outlineLevel="0" collapsed="false"/>
    <row r="64495" customFormat="false" ht="12.75" hidden="false" customHeight="true" outlineLevel="0" collapsed="false"/>
    <row r="64496" customFormat="false" ht="12.75" hidden="false" customHeight="true" outlineLevel="0" collapsed="false"/>
    <row r="64497" customFormat="false" ht="12.75" hidden="false" customHeight="true" outlineLevel="0" collapsed="false"/>
    <row r="64498" customFormat="false" ht="12.75" hidden="false" customHeight="true" outlineLevel="0" collapsed="false"/>
    <row r="64499" customFormat="false" ht="12.75" hidden="false" customHeight="true" outlineLevel="0" collapsed="false"/>
    <row r="64500" customFormat="false" ht="12.75" hidden="false" customHeight="true" outlineLevel="0" collapsed="false"/>
    <row r="64501" customFormat="false" ht="12.75" hidden="false" customHeight="true" outlineLevel="0" collapsed="false"/>
    <row r="64502" customFormat="false" ht="12.75" hidden="false" customHeight="true" outlineLevel="0" collapsed="false"/>
    <row r="64503" customFormat="false" ht="12.75" hidden="false" customHeight="true" outlineLevel="0" collapsed="false"/>
    <row r="64504" customFormat="false" ht="12.75" hidden="false" customHeight="true" outlineLevel="0" collapsed="false"/>
    <row r="64505" customFormat="false" ht="12.75" hidden="false" customHeight="true" outlineLevel="0" collapsed="false"/>
    <row r="64506" customFormat="false" ht="12.75" hidden="false" customHeight="true" outlineLevel="0" collapsed="false"/>
    <row r="64507" customFormat="false" ht="12.75" hidden="false" customHeight="true" outlineLevel="0" collapsed="false"/>
    <row r="64508" customFormat="false" ht="12.75" hidden="false" customHeight="true" outlineLevel="0" collapsed="false"/>
    <row r="64509" customFormat="false" ht="12.75" hidden="false" customHeight="true" outlineLevel="0" collapsed="false"/>
    <row r="64510" customFormat="false" ht="12.75" hidden="false" customHeight="true" outlineLevel="0" collapsed="false"/>
    <row r="64511" customFormat="false" ht="12.75" hidden="false" customHeight="true" outlineLevel="0" collapsed="false"/>
    <row r="64512" customFormat="false" ht="12.75" hidden="false" customHeight="true" outlineLevel="0" collapsed="false"/>
    <row r="64513" customFormat="false" ht="12.75" hidden="false" customHeight="true" outlineLevel="0" collapsed="false"/>
    <row r="64514" customFormat="false" ht="12.75" hidden="false" customHeight="true" outlineLevel="0" collapsed="false"/>
    <row r="64515" customFormat="false" ht="12.75" hidden="false" customHeight="true" outlineLevel="0" collapsed="false"/>
    <row r="64516" customFormat="false" ht="12.75" hidden="false" customHeight="true" outlineLevel="0" collapsed="false"/>
    <row r="64517" customFormat="false" ht="12.75" hidden="false" customHeight="true" outlineLevel="0" collapsed="false"/>
    <row r="64518" customFormat="false" ht="12.75" hidden="false" customHeight="true" outlineLevel="0" collapsed="false"/>
    <row r="64519" customFormat="false" ht="12.75" hidden="false" customHeight="true" outlineLevel="0" collapsed="false"/>
    <row r="64520" customFormat="false" ht="12.75" hidden="false" customHeight="true" outlineLevel="0" collapsed="false"/>
    <row r="64521" customFormat="false" ht="12.75" hidden="false" customHeight="true" outlineLevel="0" collapsed="false"/>
    <row r="64522" customFormat="false" ht="12.75" hidden="false" customHeight="true" outlineLevel="0" collapsed="false"/>
    <row r="64523" customFormat="false" ht="12.75" hidden="false" customHeight="true" outlineLevel="0" collapsed="false"/>
    <row r="64524" customFormat="false" ht="12.75" hidden="false" customHeight="true" outlineLevel="0" collapsed="false"/>
    <row r="64525" customFormat="false" ht="12.75" hidden="false" customHeight="true" outlineLevel="0" collapsed="false"/>
    <row r="64526" customFormat="false" ht="12.75" hidden="false" customHeight="true" outlineLevel="0" collapsed="false"/>
    <row r="64527" customFormat="false" ht="12.75" hidden="false" customHeight="true" outlineLevel="0" collapsed="false"/>
    <row r="64528" customFormat="false" ht="12.75" hidden="false" customHeight="true" outlineLevel="0" collapsed="false"/>
    <row r="64529" customFormat="false" ht="12.75" hidden="false" customHeight="true" outlineLevel="0" collapsed="false"/>
    <row r="64530" customFormat="false" ht="12.75" hidden="false" customHeight="true" outlineLevel="0" collapsed="false"/>
    <row r="64531" customFormat="false" ht="12.75" hidden="false" customHeight="true" outlineLevel="0" collapsed="false"/>
    <row r="64532" customFormat="false" ht="12.75" hidden="false" customHeight="true" outlineLevel="0" collapsed="false"/>
    <row r="64533" customFormat="false" ht="12.75" hidden="false" customHeight="true" outlineLevel="0" collapsed="false"/>
    <row r="64534" customFormat="false" ht="12.75" hidden="false" customHeight="true" outlineLevel="0" collapsed="false"/>
    <row r="64535" customFormat="false" ht="12.75" hidden="false" customHeight="true" outlineLevel="0" collapsed="false"/>
    <row r="64536" customFormat="false" ht="12.75" hidden="false" customHeight="true" outlineLevel="0" collapsed="false"/>
    <row r="64537" customFormat="false" ht="12.75" hidden="false" customHeight="true" outlineLevel="0" collapsed="false"/>
    <row r="64538" customFormat="false" ht="12.75" hidden="false" customHeight="true" outlineLevel="0" collapsed="false"/>
    <row r="64539" customFormat="false" ht="12.75" hidden="false" customHeight="true" outlineLevel="0" collapsed="false"/>
    <row r="64540" customFormat="false" ht="12.75" hidden="false" customHeight="true" outlineLevel="0" collapsed="false"/>
    <row r="64541" customFormat="false" ht="12.75" hidden="false" customHeight="true" outlineLevel="0" collapsed="false"/>
    <row r="64542" customFormat="false" ht="12.75" hidden="false" customHeight="true" outlineLevel="0" collapsed="false"/>
    <row r="64543" customFormat="false" ht="12.75" hidden="false" customHeight="true" outlineLevel="0" collapsed="false"/>
    <row r="64544" customFormat="false" ht="12.75" hidden="false" customHeight="true" outlineLevel="0" collapsed="false"/>
    <row r="64545" customFormat="false" ht="12.75" hidden="false" customHeight="true" outlineLevel="0" collapsed="false"/>
    <row r="64546" customFormat="false" ht="12.75" hidden="false" customHeight="true" outlineLevel="0" collapsed="false"/>
    <row r="64547" customFormat="false" ht="12.75" hidden="false" customHeight="true" outlineLevel="0" collapsed="false"/>
    <row r="64548" customFormat="false" ht="12.75" hidden="false" customHeight="true" outlineLevel="0" collapsed="false"/>
    <row r="64549" customFormat="false" ht="12.75" hidden="false" customHeight="true" outlineLevel="0" collapsed="false"/>
    <row r="64550" customFormat="false" ht="12.75" hidden="false" customHeight="true" outlineLevel="0" collapsed="false"/>
    <row r="64551" customFormat="false" ht="12.75" hidden="false" customHeight="true" outlineLevel="0" collapsed="false"/>
    <row r="64552" customFormat="false" ht="12.75" hidden="false" customHeight="true" outlineLevel="0" collapsed="false"/>
    <row r="64553" customFormat="false" ht="12.75" hidden="false" customHeight="true" outlineLevel="0" collapsed="false"/>
    <row r="64554" customFormat="false" ht="12.75" hidden="false" customHeight="true" outlineLevel="0" collapsed="false"/>
    <row r="64555" customFormat="false" ht="12.75" hidden="false" customHeight="true" outlineLevel="0" collapsed="false"/>
    <row r="64556" customFormat="false" ht="12.75" hidden="false" customHeight="true" outlineLevel="0" collapsed="false"/>
    <row r="64557" customFormat="false" ht="12.75" hidden="false" customHeight="true" outlineLevel="0" collapsed="false"/>
    <row r="64558" customFormat="false" ht="12.75" hidden="false" customHeight="true" outlineLevel="0" collapsed="false"/>
    <row r="64559" customFormat="false" ht="12.75" hidden="false" customHeight="true" outlineLevel="0" collapsed="false"/>
    <row r="64560" customFormat="false" ht="12.75" hidden="false" customHeight="true" outlineLevel="0" collapsed="false"/>
    <row r="64561" customFormat="false" ht="12.75" hidden="false" customHeight="true" outlineLevel="0" collapsed="false"/>
    <row r="64562" customFormat="false" ht="12.75" hidden="false" customHeight="true" outlineLevel="0" collapsed="false"/>
    <row r="64563" customFormat="false" ht="12.75" hidden="false" customHeight="true" outlineLevel="0" collapsed="false"/>
    <row r="64564" customFormat="false" ht="12.75" hidden="false" customHeight="true" outlineLevel="0" collapsed="false"/>
    <row r="64565" customFormat="false" ht="12.75" hidden="false" customHeight="true" outlineLevel="0" collapsed="false"/>
    <row r="64566" customFormat="false" ht="12.75" hidden="false" customHeight="true" outlineLevel="0" collapsed="false"/>
    <row r="64567" customFormat="false" ht="12.75" hidden="false" customHeight="true" outlineLevel="0" collapsed="false"/>
    <row r="64568" customFormat="false" ht="12.75" hidden="false" customHeight="true" outlineLevel="0" collapsed="false"/>
    <row r="64569" customFormat="false" ht="12.75" hidden="false" customHeight="true" outlineLevel="0" collapsed="false"/>
    <row r="64570" customFormat="false" ht="12.75" hidden="false" customHeight="true" outlineLevel="0" collapsed="false"/>
    <row r="64571" customFormat="false" ht="12.75" hidden="false" customHeight="true" outlineLevel="0" collapsed="false"/>
    <row r="64572" customFormat="false" ht="12.75" hidden="false" customHeight="true" outlineLevel="0" collapsed="false"/>
    <row r="64573" customFormat="false" ht="12.75" hidden="false" customHeight="true" outlineLevel="0" collapsed="false"/>
    <row r="64574" customFormat="false" ht="12.75" hidden="false" customHeight="true" outlineLevel="0" collapsed="false"/>
    <row r="64575" customFormat="false" ht="12.75" hidden="false" customHeight="true" outlineLevel="0" collapsed="false"/>
    <row r="64576" customFormat="false" ht="12.75" hidden="false" customHeight="true" outlineLevel="0" collapsed="false"/>
    <row r="64577" customFormat="false" ht="12.75" hidden="false" customHeight="true" outlineLevel="0" collapsed="false"/>
    <row r="64578" customFormat="false" ht="12.75" hidden="false" customHeight="true" outlineLevel="0" collapsed="false"/>
    <row r="64579" customFormat="false" ht="12.75" hidden="false" customHeight="true" outlineLevel="0" collapsed="false"/>
    <row r="64580" customFormat="false" ht="12.75" hidden="false" customHeight="true" outlineLevel="0" collapsed="false"/>
    <row r="64581" customFormat="false" ht="12.75" hidden="false" customHeight="true" outlineLevel="0" collapsed="false"/>
    <row r="64582" customFormat="false" ht="12.75" hidden="false" customHeight="true" outlineLevel="0" collapsed="false"/>
    <row r="64583" customFormat="false" ht="12.75" hidden="false" customHeight="true" outlineLevel="0" collapsed="false"/>
    <row r="64584" customFormat="false" ht="12.75" hidden="false" customHeight="true" outlineLevel="0" collapsed="false"/>
    <row r="64585" customFormat="false" ht="12.75" hidden="false" customHeight="true" outlineLevel="0" collapsed="false"/>
    <row r="64586" customFormat="false" ht="12.75" hidden="false" customHeight="true" outlineLevel="0" collapsed="false"/>
    <row r="64587" customFormat="false" ht="12.75" hidden="false" customHeight="true" outlineLevel="0" collapsed="false"/>
    <row r="64588" customFormat="false" ht="12.75" hidden="false" customHeight="true" outlineLevel="0" collapsed="false"/>
    <row r="64589" customFormat="false" ht="12.75" hidden="false" customHeight="true" outlineLevel="0" collapsed="false"/>
    <row r="64590" customFormat="false" ht="12.75" hidden="false" customHeight="true" outlineLevel="0" collapsed="false"/>
    <row r="64591" customFormat="false" ht="12.75" hidden="false" customHeight="true" outlineLevel="0" collapsed="false"/>
    <row r="64592" customFormat="false" ht="12.75" hidden="false" customHeight="true" outlineLevel="0" collapsed="false"/>
    <row r="64593" customFormat="false" ht="12.75" hidden="false" customHeight="true" outlineLevel="0" collapsed="false"/>
    <row r="64594" customFormat="false" ht="12.75" hidden="false" customHeight="true" outlineLevel="0" collapsed="false"/>
    <row r="64595" customFormat="false" ht="12.75" hidden="false" customHeight="true" outlineLevel="0" collapsed="false"/>
    <row r="64596" customFormat="false" ht="12.75" hidden="false" customHeight="true" outlineLevel="0" collapsed="false"/>
    <row r="64597" customFormat="false" ht="12.75" hidden="false" customHeight="true" outlineLevel="0" collapsed="false"/>
    <row r="64598" customFormat="false" ht="12.75" hidden="false" customHeight="true" outlineLevel="0" collapsed="false"/>
    <row r="64599" customFormat="false" ht="12.75" hidden="false" customHeight="true" outlineLevel="0" collapsed="false"/>
    <row r="64600" customFormat="false" ht="12.75" hidden="false" customHeight="true" outlineLevel="0" collapsed="false"/>
    <row r="64601" customFormat="false" ht="12.75" hidden="false" customHeight="true" outlineLevel="0" collapsed="false"/>
    <row r="64602" customFormat="false" ht="12.75" hidden="false" customHeight="true" outlineLevel="0" collapsed="false"/>
    <row r="64603" customFormat="false" ht="12.75" hidden="false" customHeight="true" outlineLevel="0" collapsed="false"/>
    <row r="64604" customFormat="false" ht="12.75" hidden="false" customHeight="true" outlineLevel="0" collapsed="false"/>
    <row r="64605" customFormat="false" ht="12.75" hidden="false" customHeight="true" outlineLevel="0" collapsed="false"/>
    <row r="64606" customFormat="false" ht="12.75" hidden="false" customHeight="true" outlineLevel="0" collapsed="false"/>
    <row r="64607" customFormat="false" ht="12.75" hidden="false" customHeight="true" outlineLevel="0" collapsed="false"/>
    <row r="64608" customFormat="false" ht="12.75" hidden="false" customHeight="true" outlineLevel="0" collapsed="false"/>
    <row r="64609" customFormat="false" ht="12.75" hidden="false" customHeight="true" outlineLevel="0" collapsed="false"/>
    <row r="64610" customFormat="false" ht="12.75" hidden="false" customHeight="true" outlineLevel="0" collapsed="false"/>
    <row r="64611" customFormat="false" ht="12.75" hidden="false" customHeight="true" outlineLevel="0" collapsed="false"/>
    <row r="64612" customFormat="false" ht="12.75" hidden="false" customHeight="true" outlineLevel="0" collapsed="false"/>
    <row r="64613" customFormat="false" ht="12.75" hidden="false" customHeight="true" outlineLevel="0" collapsed="false"/>
    <row r="64614" customFormat="false" ht="12.75" hidden="false" customHeight="true" outlineLevel="0" collapsed="false"/>
    <row r="64615" customFormat="false" ht="12.75" hidden="false" customHeight="true" outlineLevel="0" collapsed="false"/>
    <row r="64616" customFormat="false" ht="12.75" hidden="false" customHeight="true" outlineLevel="0" collapsed="false"/>
    <row r="64617" customFormat="false" ht="12.75" hidden="false" customHeight="true" outlineLevel="0" collapsed="false"/>
    <row r="64618" customFormat="false" ht="12.75" hidden="false" customHeight="true" outlineLevel="0" collapsed="false"/>
    <row r="64619" customFormat="false" ht="12.75" hidden="false" customHeight="true" outlineLevel="0" collapsed="false"/>
    <row r="64620" customFormat="false" ht="12.75" hidden="false" customHeight="true" outlineLevel="0" collapsed="false"/>
    <row r="64621" customFormat="false" ht="12.75" hidden="false" customHeight="true" outlineLevel="0" collapsed="false"/>
    <row r="64622" customFormat="false" ht="12.75" hidden="false" customHeight="true" outlineLevel="0" collapsed="false"/>
    <row r="64623" customFormat="false" ht="12.75" hidden="false" customHeight="true" outlineLevel="0" collapsed="false"/>
    <row r="64624" customFormat="false" ht="12.75" hidden="false" customHeight="true" outlineLevel="0" collapsed="false"/>
    <row r="64625" customFormat="false" ht="12.75" hidden="false" customHeight="true" outlineLevel="0" collapsed="false"/>
    <row r="64626" customFormat="false" ht="12.75" hidden="false" customHeight="true" outlineLevel="0" collapsed="false"/>
    <row r="64627" customFormat="false" ht="12.75" hidden="false" customHeight="true" outlineLevel="0" collapsed="false"/>
    <row r="64628" customFormat="false" ht="12.75" hidden="false" customHeight="true" outlineLevel="0" collapsed="false"/>
    <row r="64629" customFormat="false" ht="12.75" hidden="false" customHeight="true" outlineLevel="0" collapsed="false"/>
    <row r="64630" customFormat="false" ht="12.75" hidden="false" customHeight="true" outlineLevel="0" collapsed="false"/>
    <row r="64631" customFormat="false" ht="12.75" hidden="false" customHeight="true" outlineLevel="0" collapsed="false"/>
    <row r="64632" customFormat="false" ht="12.75" hidden="false" customHeight="true" outlineLevel="0" collapsed="false"/>
    <row r="64633" customFormat="false" ht="12.75" hidden="false" customHeight="true" outlineLevel="0" collapsed="false"/>
    <row r="64634" customFormat="false" ht="12.75" hidden="false" customHeight="true" outlineLevel="0" collapsed="false"/>
    <row r="64635" customFormat="false" ht="12.75" hidden="false" customHeight="true" outlineLevel="0" collapsed="false"/>
    <row r="64636" customFormat="false" ht="12.75" hidden="false" customHeight="true" outlineLevel="0" collapsed="false"/>
    <row r="64637" customFormat="false" ht="12.75" hidden="false" customHeight="true" outlineLevel="0" collapsed="false"/>
    <row r="64638" customFormat="false" ht="12.75" hidden="false" customHeight="true" outlineLevel="0" collapsed="false"/>
    <row r="64639" customFormat="false" ht="12.75" hidden="false" customHeight="true" outlineLevel="0" collapsed="false"/>
    <row r="64640" customFormat="false" ht="12.75" hidden="false" customHeight="true" outlineLevel="0" collapsed="false"/>
    <row r="64641" customFormat="false" ht="12.75" hidden="false" customHeight="true" outlineLevel="0" collapsed="false"/>
    <row r="64642" customFormat="false" ht="12.75" hidden="false" customHeight="true" outlineLevel="0" collapsed="false"/>
    <row r="64643" customFormat="false" ht="12.75" hidden="false" customHeight="true" outlineLevel="0" collapsed="false"/>
    <row r="64644" customFormat="false" ht="12.75" hidden="false" customHeight="true" outlineLevel="0" collapsed="false"/>
    <row r="64645" customFormat="false" ht="12.75" hidden="false" customHeight="true" outlineLevel="0" collapsed="false"/>
    <row r="64646" customFormat="false" ht="12.75" hidden="false" customHeight="true" outlineLevel="0" collapsed="false"/>
    <row r="64647" customFormat="false" ht="12.75" hidden="false" customHeight="true" outlineLevel="0" collapsed="false"/>
    <row r="64648" customFormat="false" ht="12.75" hidden="false" customHeight="true" outlineLevel="0" collapsed="false"/>
    <row r="64649" customFormat="false" ht="12.75" hidden="false" customHeight="true" outlineLevel="0" collapsed="false"/>
    <row r="64650" customFormat="false" ht="12.75" hidden="false" customHeight="true" outlineLevel="0" collapsed="false"/>
    <row r="64651" customFormat="false" ht="12.75" hidden="false" customHeight="true" outlineLevel="0" collapsed="false"/>
    <row r="64652" customFormat="false" ht="12.75" hidden="false" customHeight="true" outlineLevel="0" collapsed="false"/>
    <row r="64653" customFormat="false" ht="12.75" hidden="false" customHeight="true" outlineLevel="0" collapsed="false"/>
    <row r="64654" customFormat="false" ht="12.75" hidden="false" customHeight="true" outlineLevel="0" collapsed="false"/>
    <row r="64655" customFormat="false" ht="12.75" hidden="false" customHeight="true" outlineLevel="0" collapsed="false"/>
    <row r="64656" customFormat="false" ht="12.75" hidden="false" customHeight="true" outlineLevel="0" collapsed="false"/>
    <row r="64657" customFormat="false" ht="12.75" hidden="false" customHeight="true" outlineLevel="0" collapsed="false"/>
    <row r="64658" customFormat="false" ht="12.75" hidden="false" customHeight="true" outlineLevel="0" collapsed="false"/>
    <row r="64659" customFormat="false" ht="12.75" hidden="false" customHeight="true" outlineLevel="0" collapsed="false"/>
    <row r="64660" customFormat="false" ht="12.75" hidden="false" customHeight="true" outlineLevel="0" collapsed="false"/>
    <row r="64661" customFormat="false" ht="12.75" hidden="false" customHeight="true" outlineLevel="0" collapsed="false"/>
    <row r="64662" customFormat="false" ht="12.75" hidden="false" customHeight="true" outlineLevel="0" collapsed="false"/>
    <row r="64663" customFormat="false" ht="12.75" hidden="false" customHeight="true" outlineLevel="0" collapsed="false"/>
    <row r="64664" customFormat="false" ht="12.75" hidden="false" customHeight="true" outlineLevel="0" collapsed="false"/>
    <row r="64665" customFormat="false" ht="12.75" hidden="false" customHeight="true" outlineLevel="0" collapsed="false"/>
    <row r="64666" customFormat="false" ht="12.75" hidden="false" customHeight="true" outlineLevel="0" collapsed="false"/>
    <row r="64667" customFormat="false" ht="12.75" hidden="false" customHeight="true" outlineLevel="0" collapsed="false"/>
    <row r="64668" customFormat="false" ht="12.75" hidden="false" customHeight="true" outlineLevel="0" collapsed="false"/>
    <row r="64669" customFormat="false" ht="12.75" hidden="false" customHeight="true" outlineLevel="0" collapsed="false"/>
    <row r="64670" customFormat="false" ht="12.75" hidden="false" customHeight="true" outlineLevel="0" collapsed="false"/>
    <row r="64671" customFormat="false" ht="12.75" hidden="false" customHeight="true" outlineLevel="0" collapsed="false"/>
    <row r="64672" customFormat="false" ht="12.75" hidden="false" customHeight="true" outlineLevel="0" collapsed="false"/>
    <row r="64673" customFormat="false" ht="12.75" hidden="false" customHeight="true" outlineLevel="0" collapsed="false"/>
    <row r="64674" customFormat="false" ht="12.75" hidden="false" customHeight="true" outlineLevel="0" collapsed="false"/>
    <row r="64675" customFormat="false" ht="12.75" hidden="false" customHeight="true" outlineLevel="0" collapsed="false"/>
    <row r="64676" customFormat="false" ht="12.75" hidden="false" customHeight="true" outlineLevel="0" collapsed="false"/>
    <row r="64677" customFormat="false" ht="12.75" hidden="false" customHeight="true" outlineLevel="0" collapsed="false"/>
    <row r="64678" customFormat="false" ht="12.75" hidden="false" customHeight="true" outlineLevel="0" collapsed="false"/>
    <row r="64679" customFormat="false" ht="12.75" hidden="false" customHeight="true" outlineLevel="0" collapsed="false"/>
    <row r="64680" customFormat="false" ht="12.75" hidden="false" customHeight="true" outlineLevel="0" collapsed="false"/>
    <row r="64681" customFormat="false" ht="12.75" hidden="false" customHeight="true" outlineLevel="0" collapsed="false"/>
    <row r="64682" customFormat="false" ht="12.75" hidden="false" customHeight="true" outlineLevel="0" collapsed="false"/>
    <row r="64683" customFormat="false" ht="12.75" hidden="false" customHeight="true" outlineLevel="0" collapsed="false"/>
    <row r="64684" customFormat="false" ht="12.75" hidden="false" customHeight="true" outlineLevel="0" collapsed="false"/>
    <row r="64685" customFormat="false" ht="12.75" hidden="false" customHeight="true" outlineLevel="0" collapsed="false"/>
    <row r="64686" customFormat="false" ht="12.75" hidden="false" customHeight="true" outlineLevel="0" collapsed="false"/>
    <row r="64687" customFormat="false" ht="12.75" hidden="false" customHeight="true" outlineLevel="0" collapsed="false"/>
    <row r="64688" customFormat="false" ht="12.75" hidden="false" customHeight="true" outlineLevel="0" collapsed="false"/>
    <row r="64689" customFormat="false" ht="12.75" hidden="false" customHeight="true" outlineLevel="0" collapsed="false"/>
    <row r="64690" customFormat="false" ht="12.75" hidden="false" customHeight="true" outlineLevel="0" collapsed="false"/>
    <row r="64691" customFormat="false" ht="12.75" hidden="false" customHeight="true" outlineLevel="0" collapsed="false"/>
    <row r="64692" customFormat="false" ht="12.75" hidden="false" customHeight="true" outlineLevel="0" collapsed="false"/>
    <row r="64693" customFormat="false" ht="12.75" hidden="false" customHeight="true" outlineLevel="0" collapsed="false"/>
    <row r="64694" customFormat="false" ht="12.75" hidden="false" customHeight="true" outlineLevel="0" collapsed="false"/>
    <row r="64695" customFormat="false" ht="12.75" hidden="false" customHeight="true" outlineLevel="0" collapsed="false"/>
    <row r="64696" customFormat="false" ht="12.75" hidden="false" customHeight="true" outlineLevel="0" collapsed="false"/>
    <row r="64697" customFormat="false" ht="12.75" hidden="false" customHeight="true" outlineLevel="0" collapsed="false"/>
    <row r="64698" customFormat="false" ht="12.75" hidden="false" customHeight="true" outlineLevel="0" collapsed="false"/>
    <row r="64699" customFormat="false" ht="12.75" hidden="false" customHeight="true" outlineLevel="0" collapsed="false"/>
    <row r="64700" customFormat="false" ht="12.75" hidden="false" customHeight="true" outlineLevel="0" collapsed="false"/>
    <row r="64701" customFormat="false" ht="12.75" hidden="false" customHeight="true" outlineLevel="0" collapsed="false"/>
    <row r="64702" customFormat="false" ht="12.75" hidden="false" customHeight="true" outlineLevel="0" collapsed="false"/>
    <row r="64703" customFormat="false" ht="12.75" hidden="false" customHeight="true" outlineLevel="0" collapsed="false"/>
    <row r="64704" customFormat="false" ht="12.75" hidden="false" customHeight="true" outlineLevel="0" collapsed="false"/>
    <row r="64705" customFormat="false" ht="12.75" hidden="false" customHeight="true" outlineLevel="0" collapsed="false"/>
    <row r="64706" customFormat="false" ht="12.75" hidden="false" customHeight="true" outlineLevel="0" collapsed="false"/>
    <row r="64707" customFormat="false" ht="12.75" hidden="false" customHeight="true" outlineLevel="0" collapsed="false"/>
    <row r="64708" customFormat="false" ht="12.75" hidden="false" customHeight="true" outlineLevel="0" collapsed="false"/>
    <row r="64709" customFormat="false" ht="12.75" hidden="false" customHeight="true" outlineLevel="0" collapsed="false"/>
    <row r="64710" customFormat="false" ht="12.75" hidden="false" customHeight="true" outlineLevel="0" collapsed="false"/>
    <row r="64711" customFormat="false" ht="12.75" hidden="false" customHeight="true" outlineLevel="0" collapsed="false"/>
    <row r="64712" customFormat="false" ht="12.75" hidden="false" customHeight="true" outlineLevel="0" collapsed="false"/>
    <row r="64713" customFormat="false" ht="12.75" hidden="false" customHeight="true" outlineLevel="0" collapsed="false"/>
    <row r="64714" customFormat="false" ht="12.75" hidden="false" customHeight="true" outlineLevel="0" collapsed="false"/>
    <row r="64715" customFormat="false" ht="12.75" hidden="false" customHeight="true" outlineLevel="0" collapsed="false"/>
    <row r="64716" customFormat="false" ht="12.75" hidden="false" customHeight="true" outlineLevel="0" collapsed="false"/>
    <row r="64717" customFormat="false" ht="12.75" hidden="false" customHeight="true" outlineLevel="0" collapsed="false"/>
    <row r="64718" customFormat="false" ht="12.75" hidden="false" customHeight="true" outlineLevel="0" collapsed="false"/>
    <row r="64719" customFormat="false" ht="12.75" hidden="false" customHeight="true" outlineLevel="0" collapsed="false"/>
    <row r="64720" customFormat="false" ht="12.75" hidden="false" customHeight="true" outlineLevel="0" collapsed="false"/>
    <row r="64721" customFormat="false" ht="12.75" hidden="false" customHeight="true" outlineLevel="0" collapsed="false"/>
    <row r="64722" customFormat="false" ht="12.75" hidden="false" customHeight="true" outlineLevel="0" collapsed="false"/>
    <row r="64723" customFormat="false" ht="12.75" hidden="false" customHeight="true" outlineLevel="0" collapsed="false"/>
    <row r="64724" customFormat="false" ht="12.75" hidden="false" customHeight="true" outlineLevel="0" collapsed="false"/>
    <row r="64725" customFormat="false" ht="12.75" hidden="false" customHeight="true" outlineLevel="0" collapsed="false"/>
    <row r="64726" customFormat="false" ht="12.75" hidden="false" customHeight="true" outlineLevel="0" collapsed="false"/>
    <row r="64727" customFormat="false" ht="12.75" hidden="false" customHeight="true" outlineLevel="0" collapsed="false"/>
    <row r="64728" customFormat="false" ht="12.75" hidden="false" customHeight="true" outlineLevel="0" collapsed="false"/>
    <row r="64729" customFormat="false" ht="12.75" hidden="false" customHeight="true" outlineLevel="0" collapsed="false"/>
    <row r="64730" customFormat="false" ht="12.75" hidden="false" customHeight="true" outlineLevel="0" collapsed="false"/>
    <row r="64731" customFormat="false" ht="12.75" hidden="false" customHeight="true" outlineLevel="0" collapsed="false"/>
    <row r="64732" customFormat="false" ht="12.75" hidden="false" customHeight="true" outlineLevel="0" collapsed="false"/>
    <row r="64733" customFormat="false" ht="12.75" hidden="false" customHeight="true" outlineLevel="0" collapsed="false"/>
    <row r="64734" customFormat="false" ht="12.75" hidden="false" customHeight="true" outlineLevel="0" collapsed="false"/>
    <row r="64735" customFormat="false" ht="12.75" hidden="false" customHeight="true" outlineLevel="0" collapsed="false"/>
    <row r="64736" customFormat="false" ht="12.75" hidden="false" customHeight="true" outlineLevel="0" collapsed="false"/>
    <row r="64737" customFormat="false" ht="12.75" hidden="false" customHeight="true" outlineLevel="0" collapsed="false"/>
    <row r="64738" customFormat="false" ht="12.75" hidden="false" customHeight="true" outlineLevel="0" collapsed="false"/>
    <row r="64739" customFormat="false" ht="12.75" hidden="false" customHeight="true" outlineLevel="0" collapsed="false"/>
    <row r="64740" customFormat="false" ht="12.75" hidden="false" customHeight="true" outlineLevel="0" collapsed="false"/>
    <row r="64741" customFormat="false" ht="12.75" hidden="false" customHeight="true" outlineLevel="0" collapsed="false"/>
    <row r="64742" customFormat="false" ht="12.75" hidden="false" customHeight="true" outlineLevel="0" collapsed="false"/>
    <row r="64743" customFormat="false" ht="12.75" hidden="false" customHeight="true" outlineLevel="0" collapsed="false"/>
    <row r="64744" customFormat="false" ht="12.75" hidden="false" customHeight="true" outlineLevel="0" collapsed="false"/>
    <row r="64745" customFormat="false" ht="12.75" hidden="false" customHeight="true" outlineLevel="0" collapsed="false"/>
    <row r="64746" customFormat="false" ht="12.75" hidden="false" customHeight="true" outlineLevel="0" collapsed="false"/>
    <row r="64747" customFormat="false" ht="12.75" hidden="false" customHeight="true" outlineLevel="0" collapsed="false"/>
    <row r="64748" customFormat="false" ht="12.75" hidden="false" customHeight="true" outlineLevel="0" collapsed="false"/>
    <row r="64749" customFormat="false" ht="12.75" hidden="false" customHeight="true" outlineLevel="0" collapsed="false"/>
    <row r="64750" customFormat="false" ht="12.75" hidden="false" customHeight="true" outlineLevel="0" collapsed="false"/>
    <row r="64751" customFormat="false" ht="12.75" hidden="false" customHeight="true" outlineLevel="0" collapsed="false"/>
    <row r="64752" customFormat="false" ht="12.75" hidden="false" customHeight="true" outlineLevel="0" collapsed="false"/>
    <row r="64753" customFormat="false" ht="12.75" hidden="false" customHeight="true" outlineLevel="0" collapsed="false"/>
    <row r="64754" customFormat="false" ht="12.75" hidden="false" customHeight="true" outlineLevel="0" collapsed="false"/>
    <row r="64755" customFormat="false" ht="12.75" hidden="false" customHeight="true" outlineLevel="0" collapsed="false"/>
    <row r="64756" customFormat="false" ht="12.75" hidden="false" customHeight="true" outlineLevel="0" collapsed="false"/>
    <row r="64757" customFormat="false" ht="12.75" hidden="false" customHeight="true" outlineLevel="0" collapsed="false"/>
    <row r="64758" customFormat="false" ht="12.75" hidden="false" customHeight="true" outlineLevel="0" collapsed="false"/>
    <row r="64759" customFormat="false" ht="12.75" hidden="false" customHeight="true" outlineLevel="0" collapsed="false"/>
    <row r="64760" customFormat="false" ht="12.75" hidden="false" customHeight="true" outlineLevel="0" collapsed="false"/>
    <row r="64761" customFormat="false" ht="12.75" hidden="false" customHeight="true" outlineLevel="0" collapsed="false"/>
    <row r="64762" customFormat="false" ht="12.75" hidden="false" customHeight="true" outlineLevel="0" collapsed="false"/>
    <row r="64763" customFormat="false" ht="12.75" hidden="false" customHeight="true" outlineLevel="0" collapsed="false"/>
    <row r="64764" customFormat="false" ht="12.75" hidden="false" customHeight="true" outlineLevel="0" collapsed="false"/>
    <row r="64765" customFormat="false" ht="12.75" hidden="false" customHeight="true" outlineLevel="0" collapsed="false"/>
    <row r="64766" customFormat="false" ht="12.75" hidden="false" customHeight="true" outlineLevel="0" collapsed="false"/>
    <row r="64767" customFormat="false" ht="12.75" hidden="false" customHeight="true" outlineLevel="0" collapsed="false"/>
    <row r="64768" customFormat="false" ht="12.75" hidden="false" customHeight="true" outlineLevel="0" collapsed="false"/>
    <row r="64769" customFormat="false" ht="12.75" hidden="false" customHeight="true" outlineLevel="0" collapsed="false"/>
    <row r="64770" customFormat="false" ht="12.75" hidden="false" customHeight="true" outlineLevel="0" collapsed="false"/>
    <row r="64771" customFormat="false" ht="12.75" hidden="false" customHeight="true" outlineLevel="0" collapsed="false"/>
    <row r="64772" customFormat="false" ht="12.75" hidden="false" customHeight="true" outlineLevel="0" collapsed="false"/>
    <row r="64773" customFormat="false" ht="12.75" hidden="false" customHeight="true" outlineLevel="0" collapsed="false"/>
    <row r="64774" customFormat="false" ht="12.75" hidden="false" customHeight="true" outlineLevel="0" collapsed="false"/>
    <row r="64775" customFormat="false" ht="12.75" hidden="false" customHeight="true" outlineLevel="0" collapsed="false"/>
    <row r="64776" customFormat="false" ht="12.75" hidden="false" customHeight="true" outlineLevel="0" collapsed="false"/>
    <row r="64777" customFormat="false" ht="12.75" hidden="false" customHeight="true" outlineLevel="0" collapsed="false"/>
    <row r="64778" customFormat="false" ht="12.75" hidden="false" customHeight="true" outlineLevel="0" collapsed="false"/>
    <row r="64779" customFormat="false" ht="12.75" hidden="false" customHeight="true" outlineLevel="0" collapsed="false"/>
    <row r="64780" customFormat="false" ht="12.75" hidden="false" customHeight="true" outlineLevel="0" collapsed="false"/>
    <row r="64781" customFormat="false" ht="12.75" hidden="false" customHeight="true" outlineLevel="0" collapsed="false"/>
    <row r="64782" customFormat="false" ht="12.75" hidden="false" customHeight="true" outlineLevel="0" collapsed="false"/>
    <row r="64783" customFormat="false" ht="12.75" hidden="false" customHeight="true" outlineLevel="0" collapsed="false"/>
    <row r="64784" customFormat="false" ht="12.75" hidden="false" customHeight="true" outlineLevel="0" collapsed="false"/>
    <row r="64785" customFormat="false" ht="12.75" hidden="false" customHeight="true" outlineLevel="0" collapsed="false"/>
    <row r="64786" customFormat="false" ht="12.75" hidden="false" customHeight="true" outlineLevel="0" collapsed="false"/>
    <row r="64787" customFormat="false" ht="12.75" hidden="false" customHeight="true" outlineLevel="0" collapsed="false"/>
    <row r="64788" customFormat="false" ht="12.75" hidden="false" customHeight="true" outlineLevel="0" collapsed="false"/>
    <row r="64789" customFormat="false" ht="12.75" hidden="false" customHeight="true" outlineLevel="0" collapsed="false"/>
    <row r="64790" customFormat="false" ht="12.75" hidden="false" customHeight="true" outlineLevel="0" collapsed="false"/>
    <row r="64791" customFormat="false" ht="12.75" hidden="false" customHeight="true" outlineLevel="0" collapsed="false"/>
    <row r="64792" customFormat="false" ht="12.75" hidden="false" customHeight="true" outlineLevel="0" collapsed="false"/>
    <row r="64793" customFormat="false" ht="12.75" hidden="false" customHeight="true" outlineLevel="0" collapsed="false"/>
    <row r="64794" customFormat="false" ht="12.75" hidden="false" customHeight="true" outlineLevel="0" collapsed="false"/>
    <row r="64795" customFormat="false" ht="12.75" hidden="false" customHeight="true" outlineLevel="0" collapsed="false"/>
    <row r="64796" customFormat="false" ht="12.75" hidden="false" customHeight="true" outlineLevel="0" collapsed="false"/>
    <row r="64797" customFormat="false" ht="12.75" hidden="false" customHeight="true" outlineLevel="0" collapsed="false"/>
    <row r="64798" customFormat="false" ht="12.75" hidden="false" customHeight="true" outlineLevel="0" collapsed="false"/>
    <row r="64799" customFormat="false" ht="12.75" hidden="false" customHeight="true" outlineLevel="0" collapsed="false"/>
    <row r="64800" customFormat="false" ht="12.75" hidden="false" customHeight="true" outlineLevel="0" collapsed="false"/>
    <row r="64801" customFormat="false" ht="12.75" hidden="false" customHeight="true" outlineLevel="0" collapsed="false"/>
    <row r="64802" customFormat="false" ht="12.75" hidden="false" customHeight="true" outlineLevel="0" collapsed="false"/>
    <row r="64803" customFormat="false" ht="12.75" hidden="false" customHeight="true" outlineLevel="0" collapsed="false"/>
    <row r="64804" customFormat="false" ht="12.75" hidden="false" customHeight="true" outlineLevel="0" collapsed="false"/>
    <row r="64805" customFormat="false" ht="12.75" hidden="false" customHeight="true" outlineLevel="0" collapsed="false"/>
    <row r="64806" customFormat="false" ht="12.75" hidden="false" customHeight="true" outlineLevel="0" collapsed="false"/>
    <row r="64807" customFormat="false" ht="12.75" hidden="false" customHeight="true" outlineLevel="0" collapsed="false"/>
    <row r="64808" customFormat="false" ht="12.75" hidden="false" customHeight="true" outlineLevel="0" collapsed="false"/>
    <row r="64809" customFormat="false" ht="12.75" hidden="false" customHeight="true" outlineLevel="0" collapsed="false"/>
    <row r="64810" customFormat="false" ht="12.75" hidden="false" customHeight="true" outlineLevel="0" collapsed="false"/>
    <row r="64811" customFormat="false" ht="12.75" hidden="false" customHeight="true" outlineLevel="0" collapsed="false"/>
    <row r="64812" customFormat="false" ht="12.75" hidden="false" customHeight="true" outlineLevel="0" collapsed="false"/>
    <row r="64813" customFormat="false" ht="12.75" hidden="false" customHeight="true" outlineLevel="0" collapsed="false"/>
    <row r="64814" customFormat="false" ht="12.75" hidden="false" customHeight="true" outlineLevel="0" collapsed="false"/>
    <row r="64815" customFormat="false" ht="12.75" hidden="false" customHeight="true" outlineLevel="0" collapsed="false"/>
    <row r="64816" customFormat="false" ht="12.75" hidden="false" customHeight="true" outlineLevel="0" collapsed="false"/>
    <row r="64817" customFormat="false" ht="12.75" hidden="false" customHeight="true" outlineLevel="0" collapsed="false"/>
    <row r="64818" customFormat="false" ht="12.75" hidden="false" customHeight="true" outlineLevel="0" collapsed="false"/>
    <row r="64819" customFormat="false" ht="12.75" hidden="false" customHeight="true" outlineLevel="0" collapsed="false"/>
    <row r="64820" customFormat="false" ht="12.75" hidden="false" customHeight="true" outlineLevel="0" collapsed="false"/>
    <row r="64821" customFormat="false" ht="12.75" hidden="false" customHeight="true" outlineLevel="0" collapsed="false"/>
    <row r="64822" customFormat="false" ht="12.75" hidden="false" customHeight="true" outlineLevel="0" collapsed="false"/>
    <row r="64823" customFormat="false" ht="12.75" hidden="false" customHeight="true" outlineLevel="0" collapsed="false"/>
    <row r="64824" customFormat="false" ht="12.75" hidden="false" customHeight="true" outlineLevel="0" collapsed="false"/>
    <row r="64825" customFormat="false" ht="12.75" hidden="false" customHeight="true" outlineLevel="0" collapsed="false"/>
    <row r="64826" customFormat="false" ht="12.75" hidden="false" customHeight="true" outlineLevel="0" collapsed="false"/>
    <row r="64827" customFormat="false" ht="12.75" hidden="false" customHeight="true" outlineLevel="0" collapsed="false"/>
    <row r="64828" customFormat="false" ht="12.75" hidden="false" customHeight="true" outlineLevel="0" collapsed="false"/>
    <row r="64829" customFormat="false" ht="12.75" hidden="false" customHeight="true" outlineLevel="0" collapsed="false"/>
    <row r="64830" customFormat="false" ht="12.75" hidden="false" customHeight="true" outlineLevel="0" collapsed="false"/>
    <row r="64831" customFormat="false" ht="12.75" hidden="false" customHeight="true" outlineLevel="0" collapsed="false"/>
    <row r="64832" customFormat="false" ht="12.75" hidden="false" customHeight="true" outlineLevel="0" collapsed="false"/>
    <row r="64833" customFormat="false" ht="12.75" hidden="false" customHeight="true" outlineLevel="0" collapsed="false"/>
    <row r="64834" customFormat="false" ht="12.75" hidden="false" customHeight="true" outlineLevel="0" collapsed="false"/>
    <row r="64835" customFormat="false" ht="12.75" hidden="false" customHeight="true" outlineLevel="0" collapsed="false"/>
    <row r="64836" customFormat="false" ht="12.75" hidden="false" customHeight="true" outlineLevel="0" collapsed="false"/>
    <row r="64837" customFormat="false" ht="12.75" hidden="false" customHeight="true" outlineLevel="0" collapsed="false"/>
    <row r="64838" customFormat="false" ht="12.75" hidden="false" customHeight="true" outlineLevel="0" collapsed="false"/>
    <row r="64839" customFormat="false" ht="12.75" hidden="false" customHeight="true" outlineLevel="0" collapsed="false"/>
    <row r="64840" customFormat="false" ht="12.75" hidden="false" customHeight="true" outlineLevel="0" collapsed="false"/>
    <row r="64841" customFormat="false" ht="12.75" hidden="false" customHeight="true" outlineLevel="0" collapsed="false"/>
    <row r="64842" customFormat="false" ht="12.75" hidden="false" customHeight="true" outlineLevel="0" collapsed="false"/>
    <row r="64843" customFormat="false" ht="12.75" hidden="false" customHeight="true" outlineLevel="0" collapsed="false"/>
    <row r="64844" customFormat="false" ht="12.75" hidden="false" customHeight="true" outlineLevel="0" collapsed="false"/>
    <row r="64845" customFormat="false" ht="12.75" hidden="false" customHeight="true" outlineLevel="0" collapsed="false"/>
    <row r="64846" customFormat="false" ht="12.75" hidden="false" customHeight="true" outlineLevel="0" collapsed="false"/>
    <row r="64847" customFormat="false" ht="12.75" hidden="false" customHeight="true" outlineLevel="0" collapsed="false"/>
    <row r="64848" customFormat="false" ht="12.75" hidden="false" customHeight="true" outlineLevel="0" collapsed="false"/>
    <row r="64849" customFormat="false" ht="12.75" hidden="false" customHeight="true" outlineLevel="0" collapsed="false"/>
    <row r="64850" customFormat="false" ht="12.75" hidden="false" customHeight="true" outlineLevel="0" collapsed="false"/>
    <row r="64851" customFormat="false" ht="12.75" hidden="false" customHeight="true" outlineLevel="0" collapsed="false"/>
    <row r="64852" customFormat="false" ht="12.75" hidden="false" customHeight="true" outlineLevel="0" collapsed="false"/>
    <row r="64853" customFormat="false" ht="12.75" hidden="false" customHeight="true" outlineLevel="0" collapsed="false"/>
    <row r="64854" customFormat="false" ht="12.75" hidden="false" customHeight="true" outlineLevel="0" collapsed="false"/>
    <row r="64855" customFormat="false" ht="12.75" hidden="false" customHeight="true" outlineLevel="0" collapsed="false"/>
    <row r="64856" customFormat="false" ht="12.75" hidden="false" customHeight="true" outlineLevel="0" collapsed="false"/>
    <row r="64857" customFormat="false" ht="12.75" hidden="false" customHeight="true" outlineLevel="0" collapsed="false"/>
    <row r="64858" customFormat="false" ht="12.75" hidden="false" customHeight="true" outlineLevel="0" collapsed="false"/>
    <row r="64859" customFormat="false" ht="12.75" hidden="false" customHeight="true" outlineLevel="0" collapsed="false"/>
    <row r="64860" customFormat="false" ht="12.75" hidden="false" customHeight="true" outlineLevel="0" collapsed="false"/>
    <row r="64861" customFormat="false" ht="12.75" hidden="false" customHeight="true" outlineLevel="0" collapsed="false"/>
    <row r="64862" customFormat="false" ht="12.75" hidden="false" customHeight="true" outlineLevel="0" collapsed="false"/>
    <row r="64863" customFormat="false" ht="12.75" hidden="false" customHeight="true" outlineLevel="0" collapsed="false"/>
    <row r="64864" customFormat="false" ht="12.75" hidden="false" customHeight="true" outlineLevel="0" collapsed="false"/>
    <row r="64865" customFormat="false" ht="12.75" hidden="false" customHeight="true" outlineLevel="0" collapsed="false"/>
    <row r="64866" customFormat="false" ht="12.75" hidden="false" customHeight="true" outlineLevel="0" collapsed="false"/>
    <row r="64867" customFormat="false" ht="12.75" hidden="false" customHeight="true" outlineLevel="0" collapsed="false"/>
    <row r="64868" customFormat="false" ht="12.75" hidden="false" customHeight="true" outlineLevel="0" collapsed="false"/>
    <row r="64869" customFormat="false" ht="12.75" hidden="false" customHeight="true" outlineLevel="0" collapsed="false"/>
    <row r="64870" customFormat="false" ht="12.75" hidden="false" customHeight="true" outlineLevel="0" collapsed="false"/>
    <row r="64871" customFormat="false" ht="12.75" hidden="false" customHeight="true" outlineLevel="0" collapsed="false"/>
    <row r="64872" customFormat="false" ht="12.75" hidden="false" customHeight="true" outlineLevel="0" collapsed="false"/>
    <row r="64873" customFormat="false" ht="12.75" hidden="false" customHeight="true" outlineLevel="0" collapsed="false"/>
    <row r="64874" customFormat="false" ht="12.75" hidden="false" customHeight="true" outlineLevel="0" collapsed="false"/>
    <row r="64875" customFormat="false" ht="12.75" hidden="false" customHeight="true" outlineLevel="0" collapsed="false"/>
    <row r="64876" customFormat="false" ht="12.75" hidden="false" customHeight="true" outlineLevel="0" collapsed="false"/>
    <row r="64877" customFormat="false" ht="12.75" hidden="false" customHeight="true" outlineLevel="0" collapsed="false"/>
    <row r="64878" customFormat="false" ht="12.75" hidden="false" customHeight="true" outlineLevel="0" collapsed="false"/>
    <row r="64879" customFormat="false" ht="12.75" hidden="false" customHeight="true" outlineLevel="0" collapsed="false"/>
    <row r="64880" customFormat="false" ht="12.75" hidden="false" customHeight="true" outlineLevel="0" collapsed="false"/>
    <row r="64881" customFormat="false" ht="12.75" hidden="false" customHeight="true" outlineLevel="0" collapsed="false"/>
    <row r="64882" customFormat="false" ht="12.75" hidden="false" customHeight="true" outlineLevel="0" collapsed="false"/>
    <row r="64883" customFormat="false" ht="12.75" hidden="false" customHeight="true" outlineLevel="0" collapsed="false"/>
    <row r="64884" customFormat="false" ht="12.75" hidden="false" customHeight="true" outlineLevel="0" collapsed="false"/>
    <row r="64885" customFormat="false" ht="12.75" hidden="false" customHeight="true" outlineLevel="0" collapsed="false"/>
    <row r="64886" customFormat="false" ht="12.75" hidden="false" customHeight="true" outlineLevel="0" collapsed="false"/>
    <row r="64887" customFormat="false" ht="12.75" hidden="false" customHeight="true" outlineLevel="0" collapsed="false"/>
    <row r="64888" customFormat="false" ht="12.75" hidden="false" customHeight="true" outlineLevel="0" collapsed="false"/>
    <row r="64889" customFormat="false" ht="12.75" hidden="false" customHeight="true" outlineLevel="0" collapsed="false"/>
    <row r="64890" customFormat="false" ht="12.75" hidden="false" customHeight="true" outlineLevel="0" collapsed="false"/>
    <row r="64891" customFormat="false" ht="12.75" hidden="false" customHeight="true" outlineLevel="0" collapsed="false"/>
    <row r="64892" customFormat="false" ht="12.75" hidden="false" customHeight="true" outlineLevel="0" collapsed="false"/>
    <row r="64893" customFormat="false" ht="12.75" hidden="false" customHeight="true" outlineLevel="0" collapsed="false"/>
    <row r="64894" customFormat="false" ht="12.75" hidden="false" customHeight="true" outlineLevel="0" collapsed="false"/>
    <row r="64895" customFormat="false" ht="12.75" hidden="false" customHeight="true" outlineLevel="0" collapsed="false"/>
    <row r="64896" customFormat="false" ht="12.75" hidden="false" customHeight="true" outlineLevel="0" collapsed="false"/>
    <row r="64897" customFormat="false" ht="12.75" hidden="false" customHeight="true" outlineLevel="0" collapsed="false"/>
    <row r="64898" customFormat="false" ht="12.75" hidden="false" customHeight="true" outlineLevel="0" collapsed="false"/>
    <row r="64899" customFormat="false" ht="12.75" hidden="false" customHeight="true" outlineLevel="0" collapsed="false"/>
    <row r="64900" customFormat="false" ht="12.75" hidden="false" customHeight="true" outlineLevel="0" collapsed="false"/>
    <row r="64901" customFormat="false" ht="12.75" hidden="false" customHeight="true" outlineLevel="0" collapsed="false"/>
    <row r="64902" customFormat="false" ht="12.75" hidden="false" customHeight="true" outlineLevel="0" collapsed="false"/>
    <row r="64903" customFormat="false" ht="12.75" hidden="false" customHeight="true" outlineLevel="0" collapsed="false"/>
    <row r="64904" customFormat="false" ht="12.75" hidden="false" customHeight="true" outlineLevel="0" collapsed="false"/>
    <row r="64905" customFormat="false" ht="12.75" hidden="false" customHeight="true" outlineLevel="0" collapsed="false"/>
    <row r="64906" customFormat="false" ht="12.75" hidden="false" customHeight="true" outlineLevel="0" collapsed="false"/>
    <row r="64907" customFormat="false" ht="12.75" hidden="false" customHeight="true" outlineLevel="0" collapsed="false"/>
    <row r="64908" customFormat="false" ht="12.75" hidden="false" customHeight="true" outlineLevel="0" collapsed="false"/>
    <row r="64909" customFormat="false" ht="12.75" hidden="false" customHeight="true" outlineLevel="0" collapsed="false"/>
    <row r="64910" customFormat="false" ht="12.75" hidden="false" customHeight="true" outlineLevel="0" collapsed="false"/>
    <row r="64911" customFormat="false" ht="12.75" hidden="false" customHeight="true" outlineLevel="0" collapsed="false"/>
    <row r="64912" customFormat="false" ht="12.75" hidden="false" customHeight="true" outlineLevel="0" collapsed="false"/>
    <row r="64913" customFormat="false" ht="12.75" hidden="false" customHeight="true" outlineLevel="0" collapsed="false"/>
    <row r="64914" customFormat="false" ht="12.75" hidden="false" customHeight="true" outlineLevel="0" collapsed="false"/>
    <row r="64915" customFormat="false" ht="12.75" hidden="false" customHeight="true" outlineLevel="0" collapsed="false"/>
    <row r="64916" customFormat="false" ht="12.75" hidden="false" customHeight="true" outlineLevel="0" collapsed="false"/>
    <row r="64917" customFormat="false" ht="12.75" hidden="false" customHeight="true" outlineLevel="0" collapsed="false"/>
    <row r="64918" customFormat="false" ht="12.75" hidden="false" customHeight="true" outlineLevel="0" collapsed="false"/>
    <row r="64919" customFormat="false" ht="12.75" hidden="false" customHeight="true" outlineLevel="0" collapsed="false"/>
    <row r="64920" customFormat="false" ht="12.75" hidden="false" customHeight="true" outlineLevel="0" collapsed="false"/>
    <row r="64921" customFormat="false" ht="12.75" hidden="false" customHeight="true" outlineLevel="0" collapsed="false"/>
    <row r="64922" customFormat="false" ht="12.75" hidden="false" customHeight="true" outlineLevel="0" collapsed="false"/>
    <row r="64923" customFormat="false" ht="12.75" hidden="false" customHeight="true" outlineLevel="0" collapsed="false"/>
    <row r="64924" customFormat="false" ht="12.75" hidden="false" customHeight="true" outlineLevel="0" collapsed="false"/>
    <row r="64925" customFormat="false" ht="12.75" hidden="false" customHeight="true" outlineLevel="0" collapsed="false"/>
    <row r="64926" customFormat="false" ht="12.75" hidden="false" customHeight="true" outlineLevel="0" collapsed="false"/>
    <row r="64927" customFormat="false" ht="12.75" hidden="false" customHeight="true" outlineLevel="0" collapsed="false"/>
    <row r="64928" customFormat="false" ht="12.75" hidden="false" customHeight="true" outlineLevel="0" collapsed="false"/>
    <row r="64929" customFormat="false" ht="12.75" hidden="false" customHeight="true" outlineLevel="0" collapsed="false"/>
    <row r="64930" customFormat="false" ht="12.75" hidden="false" customHeight="true" outlineLevel="0" collapsed="false"/>
    <row r="64931" customFormat="false" ht="12.75" hidden="false" customHeight="true" outlineLevel="0" collapsed="false"/>
    <row r="64932" customFormat="false" ht="12.75" hidden="false" customHeight="true" outlineLevel="0" collapsed="false"/>
    <row r="64933" customFormat="false" ht="12.75" hidden="false" customHeight="true" outlineLevel="0" collapsed="false"/>
    <row r="64934" customFormat="false" ht="12.75" hidden="false" customHeight="true" outlineLevel="0" collapsed="false"/>
    <row r="64935" customFormat="false" ht="12.75" hidden="false" customHeight="true" outlineLevel="0" collapsed="false"/>
    <row r="64936" customFormat="false" ht="12.75" hidden="false" customHeight="true" outlineLevel="0" collapsed="false"/>
    <row r="64937" customFormat="false" ht="12.75" hidden="false" customHeight="true" outlineLevel="0" collapsed="false"/>
    <row r="64938" customFormat="false" ht="12.75" hidden="false" customHeight="true" outlineLevel="0" collapsed="false"/>
    <row r="64939" customFormat="false" ht="12.75" hidden="false" customHeight="true" outlineLevel="0" collapsed="false"/>
    <row r="64940" customFormat="false" ht="12.75" hidden="false" customHeight="true" outlineLevel="0" collapsed="false"/>
    <row r="64941" customFormat="false" ht="12.75" hidden="false" customHeight="true" outlineLevel="0" collapsed="false"/>
    <row r="64942" customFormat="false" ht="12.75" hidden="false" customHeight="true" outlineLevel="0" collapsed="false"/>
    <row r="64943" customFormat="false" ht="12.75" hidden="false" customHeight="true" outlineLevel="0" collapsed="false"/>
    <row r="64944" customFormat="false" ht="12.75" hidden="false" customHeight="true" outlineLevel="0" collapsed="false"/>
    <row r="64945" customFormat="false" ht="12.75" hidden="false" customHeight="true" outlineLevel="0" collapsed="false"/>
    <row r="64946" customFormat="false" ht="12.75" hidden="false" customHeight="true" outlineLevel="0" collapsed="false"/>
    <row r="64947" customFormat="false" ht="12.75" hidden="false" customHeight="true" outlineLevel="0" collapsed="false"/>
    <row r="64948" customFormat="false" ht="12.75" hidden="false" customHeight="true" outlineLevel="0" collapsed="false"/>
    <row r="64949" customFormat="false" ht="12.75" hidden="false" customHeight="true" outlineLevel="0" collapsed="false"/>
    <row r="64950" customFormat="false" ht="12.75" hidden="false" customHeight="true" outlineLevel="0" collapsed="false"/>
    <row r="64951" customFormat="false" ht="12.75" hidden="false" customHeight="true" outlineLevel="0" collapsed="false"/>
    <row r="64952" customFormat="false" ht="12.75" hidden="false" customHeight="true" outlineLevel="0" collapsed="false"/>
    <row r="64953" customFormat="false" ht="12.75" hidden="false" customHeight="true" outlineLevel="0" collapsed="false"/>
    <row r="64954" customFormat="false" ht="12.75" hidden="false" customHeight="true" outlineLevel="0" collapsed="false"/>
    <row r="64955" customFormat="false" ht="12.75" hidden="false" customHeight="true" outlineLevel="0" collapsed="false"/>
    <row r="64956" customFormat="false" ht="12.75" hidden="false" customHeight="true" outlineLevel="0" collapsed="false"/>
    <row r="64957" customFormat="false" ht="12.75" hidden="false" customHeight="true" outlineLevel="0" collapsed="false"/>
    <row r="64958" customFormat="false" ht="12.75" hidden="false" customHeight="true" outlineLevel="0" collapsed="false"/>
    <row r="64959" customFormat="false" ht="12.75" hidden="false" customHeight="true" outlineLevel="0" collapsed="false"/>
    <row r="64960" customFormat="false" ht="12.75" hidden="false" customHeight="true" outlineLevel="0" collapsed="false"/>
    <row r="64961" customFormat="false" ht="12.75" hidden="false" customHeight="true" outlineLevel="0" collapsed="false"/>
    <row r="64962" customFormat="false" ht="12.75" hidden="false" customHeight="true" outlineLevel="0" collapsed="false"/>
    <row r="64963" customFormat="false" ht="12.75" hidden="false" customHeight="true" outlineLevel="0" collapsed="false"/>
    <row r="64964" customFormat="false" ht="12.75" hidden="false" customHeight="true" outlineLevel="0" collapsed="false"/>
    <row r="64965" customFormat="false" ht="12.75" hidden="false" customHeight="true" outlineLevel="0" collapsed="false"/>
    <row r="64966" customFormat="false" ht="12.75" hidden="false" customHeight="true" outlineLevel="0" collapsed="false"/>
    <row r="64967" customFormat="false" ht="12.75" hidden="false" customHeight="true" outlineLevel="0" collapsed="false"/>
    <row r="64968" customFormat="false" ht="12.75" hidden="false" customHeight="true" outlineLevel="0" collapsed="false"/>
    <row r="64969" customFormat="false" ht="12.75" hidden="false" customHeight="true" outlineLevel="0" collapsed="false"/>
    <row r="64970" customFormat="false" ht="12.75" hidden="false" customHeight="true" outlineLevel="0" collapsed="false"/>
    <row r="64971" customFormat="false" ht="12.75" hidden="false" customHeight="true" outlineLevel="0" collapsed="false"/>
    <row r="64972" customFormat="false" ht="12.75" hidden="false" customHeight="true" outlineLevel="0" collapsed="false"/>
    <row r="64973" customFormat="false" ht="12.75" hidden="false" customHeight="true" outlineLevel="0" collapsed="false"/>
    <row r="64974" customFormat="false" ht="12.75" hidden="false" customHeight="true" outlineLevel="0" collapsed="false"/>
    <row r="64975" customFormat="false" ht="12.75" hidden="false" customHeight="true" outlineLevel="0" collapsed="false"/>
    <row r="64976" customFormat="false" ht="12.75" hidden="false" customHeight="true" outlineLevel="0" collapsed="false"/>
    <row r="64977" customFormat="false" ht="12.75" hidden="false" customHeight="true" outlineLevel="0" collapsed="false"/>
    <row r="64978" customFormat="false" ht="12.75" hidden="false" customHeight="true" outlineLevel="0" collapsed="false"/>
    <row r="64979" customFormat="false" ht="12.75" hidden="false" customHeight="true" outlineLevel="0" collapsed="false"/>
    <row r="64980" customFormat="false" ht="12.75" hidden="false" customHeight="true" outlineLevel="0" collapsed="false"/>
    <row r="64981" customFormat="false" ht="12.75" hidden="false" customHeight="true" outlineLevel="0" collapsed="false"/>
    <row r="64982" customFormat="false" ht="12.75" hidden="false" customHeight="true" outlineLevel="0" collapsed="false"/>
    <row r="64983" customFormat="false" ht="12.75" hidden="false" customHeight="true" outlineLevel="0" collapsed="false"/>
    <row r="64984" customFormat="false" ht="12.75" hidden="false" customHeight="true" outlineLevel="0" collapsed="false"/>
    <row r="64985" customFormat="false" ht="12.75" hidden="false" customHeight="true" outlineLevel="0" collapsed="false"/>
    <row r="64986" customFormat="false" ht="12.75" hidden="false" customHeight="true" outlineLevel="0" collapsed="false"/>
    <row r="64987" customFormat="false" ht="12.75" hidden="false" customHeight="true" outlineLevel="0" collapsed="false"/>
    <row r="64988" customFormat="false" ht="12.75" hidden="false" customHeight="true" outlineLevel="0" collapsed="false"/>
    <row r="64989" customFormat="false" ht="12.75" hidden="false" customHeight="true" outlineLevel="0" collapsed="false"/>
    <row r="64990" customFormat="false" ht="12.75" hidden="false" customHeight="true" outlineLevel="0" collapsed="false"/>
    <row r="64991" customFormat="false" ht="12.75" hidden="false" customHeight="true" outlineLevel="0" collapsed="false"/>
    <row r="64992" customFormat="false" ht="12.75" hidden="false" customHeight="true" outlineLevel="0" collapsed="false"/>
    <row r="64993" customFormat="false" ht="12.75" hidden="false" customHeight="true" outlineLevel="0" collapsed="false"/>
    <row r="64994" customFormat="false" ht="12.75" hidden="false" customHeight="true" outlineLevel="0" collapsed="false"/>
    <row r="64995" customFormat="false" ht="12.75" hidden="false" customHeight="true" outlineLevel="0" collapsed="false"/>
    <row r="64996" customFormat="false" ht="12.75" hidden="false" customHeight="true" outlineLevel="0" collapsed="false"/>
    <row r="64997" customFormat="false" ht="12.75" hidden="false" customHeight="true" outlineLevel="0" collapsed="false"/>
    <row r="64998" customFormat="false" ht="12.75" hidden="false" customHeight="true" outlineLevel="0" collapsed="false"/>
    <row r="64999" customFormat="false" ht="12.75" hidden="false" customHeight="true" outlineLevel="0" collapsed="false"/>
    <row r="65000" customFormat="false" ht="12.75" hidden="false" customHeight="true" outlineLevel="0" collapsed="false"/>
    <row r="65001" customFormat="false" ht="12.75" hidden="false" customHeight="true" outlineLevel="0" collapsed="false"/>
    <row r="65002" customFormat="false" ht="12.75" hidden="false" customHeight="true" outlineLevel="0" collapsed="false"/>
    <row r="65003" customFormat="false" ht="12.75" hidden="false" customHeight="true" outlineLevel="0" collapsed="false"/>
    <row r="65004" customFormat="false" ht="12.75" hidden="false" customHeight="true" outlineLevel="0" collapsed="false"/>
    <row r="65005" customFormat="false" ht="12.75" hidden="false" customHeight="true" outlineLevel="0" collapsed="false"/>
    <row r="65006" customFormat="false" ht="12.75" hidden="false" customHeight="true" outlineLevel="0" collapsed="false"/>
    <row r="65007" customFormat="false" ht="12.75" hidden="false" customHeight="true" outlineLevel="0" collapsed="false"/>
    <row r="65008" customFormat="false" ht="12.75" hidden="false" customHeight="true" outlineLevel="0" collapsed="false"/>
    <row r="65009" customFormat="false" ht="12.75" hidden="false" customHeight="true" outlineLevel="0" collapsed="false"/>
    <row r="65010" customFormat="false" ht="12.75" hidden="false" customHeight="true" outlineLevel="0" collapsed="false"/>
    <row r="65011" customFormat="false" ht="12.75" hidden="false" customHeight="true" outlineLevel="0" collapsed="false"/>
    <row r="65012" customFormat="false" ht="12.75" hidden="false" customHeight="true" outlineLevel="0" collapsed="false"/>
    <row r="65013" customFormat="false" ht="12.75" hidden="false" customHeight="true" outlineLevel="0" collapsed="false"/>
    <row r="65014" customFormat="false" ht="12.75" hidden="false" customHeight="true" outlineLevel="0" collapsed="false"/>
    <row r="65015" customFormat="false" ht="12.75" hidden="false" customHeight="true" outlineLevel="0" collapsed="false"/>
    <row r="65016" customFormat="false" ht="12.75" hidden="false" customHeight="true" outlineLevel="0" collapsed="false"/>
    <row r="65017" customFormat="false" ht="12.75" hidden="false" customHeight="true" outlineLevel="0" collapsed="false"/>
    <row r="65018" customFormat="false" ht="12.75" hidden="false" customHeight="true" outlineLevel="0" collapsed="false"/>
    <row r="65019" customFormat="false" ht="12.75" hidden="false" customHeight="true" outlineLevel="0" collapsed="false"/>
    <row r="65020" customFormat="false" ht="12.75" hidden="false" customHeight="true" outlineLevel="0" collapsed="false"/>
    <row r="65021" customFormat="false" ht="12.75" hidden="false" customHeight="true" outlineLevel="0" collapsed="false"/>
    <row r="65022" customFormat="false" ht="12.75" hidden="false" customHeight="true" outlineLevel="0" collapsed="false"/>
    <row r="65023" customFormat="false" ht="12.75" hidden="false" customHeight="true" outlineLevel="0" collapsed="false"/>
    <row r="65024" customFormat="false" ht="12.75" hidden="false" customHeight="true" outlineLevel="0" collapsed="false"/>
    <row r="65025" customFormat="false" ht="12.75" hidden="false" customHeight="true" outlineLevel="0" collapsed="false"/>
    <row r="65026" customFormat="false" ht="12.75" hidden="false" customHeight="true" outlineLevel="0" collapsed="false"/>
    <row r="65027" customFormat="false" ht="12.75" hidden="false" customHeight="true" outlineLevel="0" collapsed="false"/>
    <row r="65028" customFormat="false" ht="12.75" hidden="false" customHeight="true" outlineLevel="0" collapsed="false"/>
    <row r="65029" customFormat="false" ht="12.75" hidden="false" customHeight="true" outlineLevel="0" collapsed="false"/>
    <row r="65030" customFormat="false" ht="12.75" hidden="false" customHeight="true" outlineLevel="0" collapsed="false"/>
    <row r="65031" customFormat="false" ht="12.75" hidden="false" customHeight="true" outlineLevel="0" collapsed="false"/>
    <row r="65032" customFormat="false" ht="12.75" hidden="false" customHeight="true" outlineLevel="0" collapsed="false"/>
    <row r="65033" customFormat="false" ht="12.75" hidden="false" customHeight="true" outlineLevel="0" collapsed="false"/>
    <row r="65034" customFormat="false" ht="12.75" hidden="false" customHeight="true" outlineLevel="0" collapsed="false"/>
    <row r="65035" customFormat="false" ht="12.75" hidden="false" customHeight="true" outlineLevel="0" collapsed="false"/>
    <row r="65036" customFormat="false" ht="12.75" hidden="false" customHeight="true" outlineLevel="0" collapsed="false"/>
    <row r="65037" customFormat="false" ht="12.75" hidden="false" customHeight="true" outlineLevel="0" collapsed="false"/>
    <row r="65038" customFormat="false" ht="12.75" hidden="false" customHeight="true" outlineLevel="0" collapsed="false"/>
    <row r="65039" customFormat="false" ht="12.75" hidden="false" customHeight="true" outlineLevel="0" collapsed="false"/>
    <row r="65040" customFormat="false" ht="12.75" hidden="false" customHeight="true" outlineLevel="0" collapsed="false"/>
    <row r="65041" customFormat="false" ht="12.75" hidden="false" customHeight="true" outlineLevel="0" collapsed="false"/>
    <row r="65042" customFormat="false" ht="12.75" hidden="false" customHeight="true" outlineLevel="0" collapsed="false"/>
    <row r="65043" customFormat="false" ht="12.75" hidden="false" customHeight="true" outlineLevel="0" collapsed="false"/>
    <row r="65044" customFormat="false" ht="12.75" hidden="false" customHeight="true" outlineLevel="0" collapsed="false"/>
    <row r="65045" customFormat="false" ht="12.75" hidden="false" customHeight="true" outlineLevel="0" collapsed="false"/>
    <row r="65046" customFormat="false" ht="12.75" hidden="false" customHeight="true" outlineLevel="0" collapsed="false"/>
    <row r="65047" customFormat="false" ht="12.75" hidden="false" customHeight="true" outlineLevel="0" collapsed="false"/>
    <row r="65048" customFormat="false" ht="12.75" hidden="false" customHeight="true" outlineLevel="0" collapsed="false"/>
    <row r="65049" customFormat="false" ht="12.75" hidden="false" customHeight="true" outlineLevel="0" collapsed="false"/>
    <row r="65050" customFormat="false" ht="12.75" hidden="false" customHeight="true" outlineLevel="0" collapsed="false"/>
    <row r="65051" customFormat="false" ht="12.75" hidden="false" customHeight="true" outlineLevel="0" collapsed="false"/>
    <row r="65052" customFormat="false" ht="12.75" hidden="false" customHeight="true" outlineLevel="0" collapsed="false"/>
    <row r="65053" customFormat="false" ht="12.75" hidden="false" customHeight="true" outlineLevel="0" collapsed="false"/>
    <row r="65054" customFormat="false" ht="12.75" hidden="false" customHeight="true" outlineLevel="0" collapsed="false"/>
    <row r="65055" customFormat="false" ht="12.75" hidden="false" customHeight="true" outlineLevel="0" collapsed="false"/>
    <row r="65056" customFormat="false" ht="12.75" hidden="false" customHeight="true" outlineLevel="0" collapsed="false"/>
    <row r="65057" customFormat="false" ht="12.75" hidden="false" customHeight="true" outlineLevel="0" collapsed="false"/>
    <row r="65058" customFormat="false" ht="12.75" hidden="false" customHeight="true" outlineLevel="0" collapsed="false"/>
    <row r="65059" customFormat="false" ht="12.75" hidden="false" customHeight="true" outlineLevel="0" collapsed="false"/>
    <row r="65060" customFormat="false" ht="12.75" hidden="false" customHeight="true" outlineLevel="0" collapsed="false"/>
    <row r="65061" customFormat="false" ht="12.75" hidden="false" customHeight="true" outlineLevel="0" collapsed="false"/>
    <row r="65062" customFormat="false" ht="12.75" hidden="false" customHeight="true" outlineLevel="0" collapsed="false"/>
    <row r="65063" customFormat="false" ht="12.75" hidden="false" customHeight="true" outlineLevel="0" collapsed="false"/>
    <row r="65064" customFormat="false" ht="12.75" hidden="false" customHeight="true" outlineLevel="0" collapsed="false"/>
    <row r="65065" customFormat="false" ht="12.75" hidden="false" customHeight="true" outlineLevel="0" collapsed="false"/>
    <row r="65066" customFormat="false" ht="12.75" hidden="false" customHeight="true" outlineLevel="0" collapsed="false"/>
    <row r="65067" customFormat="false" ht="12.75" hidden="false" customHeight="true" outlineLevel="0" collapsed="false"/>
    <row r="65068" customFormat="false" ht="12.75" hidden="false" customHeight="true" outlineLevel="0" collapsed="false"/>
    <row r="65069" customFormat="false" ht="12.75" hidden="false" customHeight="true" outlineLevel="0" collapsed="false"/>
    <row r="65070" customFormat="false" ht="12.75" hidden="false" customHeight="true" outlineLevel="0" collapsed="false"/>
    <row r="65071" customFormat="false" ht="12.75" hidden="false" customHeight="true" outlineLevel="0" collapsed="false"/>
    <row r="65072" customFormat="false" ht="12.75" hidden="false" customHeight="true" outlineLevel="0" collapsed="false"/>
    <row r="65073" customFormat="false" ht="12.75" hidden="false" customHeight="true" outlineLevel="0" collapsed="false"/>
    <row r="65074" customFormat="false" ht="12.75" hidden="false" customHeight="true" outlineLevel="0" collapsed="false"/>
    <row r="65075" customFormat="false" ht="12.75" hidden="false" customHeight="true" outlineLevel="0" collapsed="false"/>
    <row r="65076" customFormat="false" ht="12.75" hidden="false" customHeight="true" outlineLevel="0" collapsed="false"/>
    <row r="65077" customFormat="false" ht="12.75" hidden="false" customHeight="true" outlineLevel="0" collapsed="false"/>
    <row r="65078" customFormat="false" ht="12.75" hidden="false" customHeight="true" outlineLevel="0" collapsed="false"/>
    <row r="65079" customFormat="false" ht="12.75" hidden="false" customHeight="true" outlineLevel="0" collapsed="false"/>
    <row r="65080" customFormat="false" ht="12.75" hidden="false" customHeight="true" outlineLevel="0" collapsed="false"/>
    <row r="65081" customFormat="false" ht="12.75" hidden="false" customHeight="true" outlineLevel="0" collapsed="false"/>
    <row r="65082" customFormat="false" ht="12.75" hidden="false" customHeight="true" outlineLevel="0" collapsed="false"/>
    <row r="65083" customFormat="false" ht="12.75" hidden="false" customHeight="true" outlineLevel="0" collapsed="false"/>
    <row r="65084" customFormat="false" ht="12.75" hidden="false" customHeight="true" outlineLevel="0" collapsed="false"/>
    <row r="65085" customFormat="false" ht="12.75" hidden="false" customHeight="true" outlineLevel="0" collapsed="false"/>
    <row r="65086" customFormat="false" ht="12.75" hidden="false" customHeight="true" outlineLevel="0" collapsed="false"/>
    <row r="65087" customFormat="false" ht="12.75" hidden="false" customHeight="true" outlineLevel="0" collapsed="false"/>
    <row r="65088" customFormat="false" ht="12.75" hidden="false" customHeight="true" outlineLevel="0" collapsed="false"/>
    <row r="65089" customFormat="false" ht="12.75" hidden="false" customHeight="true" outlineLevel="0" collapsed="false"/>
    <row r="65090" customFormat="false" ht="12.75" hidden="false" customHeight="true" outlineLevel="0" collapsed="false"/>
    <row r="65091" customFormat="false" ht="12.75" hidden="false" customHeight="true" outlineLevel="0" collapsed="false"/>
    <row r="65092" customFormat="false" ht="12.75" hidden="false" customHeight="true" outlineLevel="0" collapsed="false"/>
    <row r="65093" customFormat="false" ht="12.75" hidden="false" customHeight="true" outlineLevel="0" collapsed="false"/>
    <row r="65094" customFormat="false" ht="12.75" hidden="false" customHeight="true" outlineLevel="0" collapsed="false"/>
    <row r="65095" customFormat="false" ht="12.75" hidden="false" customHeight="true" outlineLevel="0" collapsed="false"/>
    <row r="65096" customFormat="false" ht="12.75" hidden="false" customHeight="true" outlineLevel="0" collapsed="false"/>
    <row r="65097" customFormat="false" ht="12.75" hidden="false" customHeight="true" outlineLevel="0" collapsed="false"/>
    <row r="65098" customFormat="false" ht="12.75" hidden="false" customHeight="true" outlineLevel="0" collapsed="false"/>
    <row r="65099" customFormat="false" ht="12.75" hidden="false" customHeight="true" outlineLevel="0" collapsed="false"/>
    <row r="65100" customFormat="false" ht="12.75" hidden="false" customHeight="true" outlineLevel="0" collapsed="false"/>
    <row r="65101" customFormat="false" ht="12.75" hidden="false" customHeight="true" outlineLevel="0" collapsed="false"/>
    <row r="65102" customFormat="false" ht="12.75" hidden="false" customHeight="true" outlineLevel="0" collapsed="false"/>
    <row r="65103" customFormat="false" ht="12.75" hidden="false" customHeight="true" outlineLevel="0" collapsed="false"/>
    <row r="65104" customFormat="false" ht="12.75" hidden="false" customHeight="true" outlineLevel="0" collapsed="false"/>
    <row r="65105" customFormat="false" ht="12.75" hidden="false" customHeight="true" outlineLevel="0" collapsed="false"/>
    <row r="65106" customFormat="false" ht="12.75" hidden="false" customHeight="true" outlineLevel="0" collapsed="false"/>
    <row r="65107" customFormat="false" ht="12.75" hidden="false" customHeight="true" outlineLevel="0" collapsed="false"/>
    <row r="65108" customFormat="false" ht="12.75" hidden="false" customHeight="true" outlineLevel="0" collapsed="false"/>
    <row r="65109" customFormat="false" ht="12.75" hidden="false" customHeight="true" outlineLevel="0" collapsed="false"/>
    <row r="65110" customFormat="false" ht="12.75" hidden="false" customHeight="true" outlineLevel="0" collapsed="false"/>
    <row r="65111" customFormat="false" ht="12.75" hidden="false" customHeight="true" outlineLevel="0" collapsed="false"/>
    <row r="65112" customFormat="false" ht="12.75" hidden="false" customHeight="true" outlineLevel="0" collapsed="false"/>
    <row r="65113" customFormat="false" ht="12.75" hidden="false" customHeight="true" outlineLevel="0" collapsed="false"/>
    <row r="65114" customFormat="false" ht="12.75" hidden="false" customHeight="true" outlineLevel="0" collapsed="false"/>
    <row r="65115" customFormat="false" ht="12.75" hidden="false" customHeight="true" outlineLevel="0" collapsed="false"/>
    <row r="65116" customFormat="false" ht="12.75" hidden="false" customHeight="true" outlineLevel="0" collapsed="false"/>
    <row r="65117" customFormat="false" ht="12.75" hidden="false" customHeight="true" outlineLevel="0" collapsed="false"/>
    <row r="65118" customFormat="false" ht="12.75" hidden="false" customHeight="true" outlineLevel="0" collapsed="false"/>
    <row r="65119" customFormat="false" ht="12.75" hidden="false" customHeight="true" outlineLevel="0" collapsed="false"/>
    <row r="65120" customFormat="false" ht="12.75" hidden="false" customHeight="true" outlineLevel="0" collapsed="false"/>
    <row r="65121" customFormat="false" ht="12.75" hidden="false" customHeight="true" outlineLevel="0" collapsed="false"/>
    <row r="65122" customFormat="false" ht="12.75" hidden="false" customHeight="true" outlineLevel="0" collapsed="false"/>
    <row r="65123" customFormat="false" ht="12.75" hidden="false" customHeight="true" outlineLevel="0" collapsed="false"/>
    <row r="65124" customFormat="false" ht="12.75" hidden="false" customHeight="true" outlineLevel="0" collapsed="false"/>
    <row r="65125" customFormat="false" ht="12.75" hidden="false" customHeight="true" outlineLevel="0" collapsed="false"/>
    <row r="65126" customFormat="false" ht="12.75" hidden="false" customHeight="true" outlineLevel="0" collapsed="false"/>
    <row r="65127" customFormat="false" ht="12.75" hidden="false" customHeight="true" outlineLevel="0" collapsed="false"/>
    <row r="65128" customFormat="false" ht="12.75" hidden="false" customHeight="true" outlineLevel="0" collapsed="false"/>
    <row r="65129" customFormat="false" ht="12.75" hidden="false" customHeight="true" outlineLevel="0" collapsed="false"/>
    <row r="65130" customFormat="false" ht="12.75" hidden="false" customHeight="true" outlineLevel="0" collapsed="false"/>
    <row r="65131" customFormat="false" ht="12.75" hidden="false" customHeight="true" outlineLevel="0" collapsed="false"/>
    <row r="65132" customFormat="false" ht="12.75" hidden="false" customHeight="true" outlineLevel="0" collapsed="false"/>
    <row r="65133" customFormat="false" ht="12.75" hidden="false" customHeight="true" outlineLevel="0" collapsed="false"/>
    <row r="65134" customFormat="false" ht="12.75" hidden="false" customHeight="true" outlineLevel="0" collapsed="false"/>
    <row r="65135" customFormat="false" ht="12.75" hidden="false" customHeight="true" outlineLevel="0" collapsed="false"/>
    <row r="65136" customFormat="false" ht="12.75" hidden="false" customHeight="true" outlineLevel="0" collapsed="false"/>
    <row r="65137" customFormat="false" ht="12.75" hidden="false" customHeight="true" outlineLevel="0" collapsed="false"/>
    <row r="65138" customFormat="false" ht="12.75" hidden="false" customHeight="true" outlineLevel="0" collapsed="false"/>
    <row r="65139" customFormat="false" ht="12.75" hidden="false" customHeight="true" outlineLevel="0" collapsed="false"/>
    <row r="65140" customFormat="false" ht="12.75" hidden="false" customHeight="true" outlineLevel="0" collapsed="false"/>
    <row r="65141" customFormat="false" ht="12.75" hidden="false" customHeight="true" outlineLevel="0" collapsed="false"/>
    <row r="65142" customFormat="false" ht="12.75" hidden="false" customHeight="true" outlineLevel="0" collapsed="false"/>
    <row r="65143" customFormat="false" ht="12.75" hidden="false" customHeight="true" outlineLevel="0" collapsed="false"/>
    <row r="65144" customFormat="false" ht="12.75" hidden="false" customHeight="true" outlineLevel="0" collapsed="false"/>
    <row r="65145" customFormat="false" ht="12.75" hidden="false" customHeight="true" outlineLevel="0" collapsed="false"/>
    <row r="65146" customFormat="false" ht="12.75" hidden="false" customHeight="true" outlineLevel="0" collapsed="false"/>
    <row r="65147" customFormat="false" ht="12.75" hidden="false" customHeight="true" outlineLevel="0" collapsed="false"/>
    <row r="65148" customFormat="false" ht="12.75" hidden="false" customHeight="true" outlineLevel="0" collapsed="false"/>
    <row r="65149" customFormat="false" ht="12.75" hidden="false" customHeight="true" outlineLevel="0" collapsed="false"/>
    <row r="65150" customFormat="false" ht="12.75" hidden="false" customHeight="true" outlineLevel="0" collapsed="false"/>
    <row r="65151" customFormat="false" ht="12.75" hidden="false" customHeight="true" outlineLevel="0" collapsed="false"/>
    <row r="65152" customFormat="false" ht="12.75" hidden="false" customHeight="true" outlineLevel="0" collapsed="false"/>
    <row r="65153" customFormat="false" ht="12.75" hidden="false" customHeight="true" outlineLevel="0" collapsed="false"/>
    <row r="65154" customFormat="false" ht="12.75" hidden="false" customHeight="true" outlineLevel="0" collapsed="false"/>
    <row r="65155" customFormat="false" ht="12.75" hidden="false" customHeight="true" outlineLevel="0" collapsed="false"/>
    <row r="65156" customFormat="false" ht="12.75" hidden="false" customHeight="true" outlineLevel="0" collapsed="false"/>
    <row r="65157" customFormat="false" ht="12.75" hidden="false" customHeight="true" outlineLevel="0" collapsed="false"/>
    <row r="65158" customFormat="false" ht="12.75" hidden="false" customHeight="true" outlineLevel="0" collapsed="false"/>
    <row r="65159" customFormat="false" ht="12.75" hidden="false" customHeight="true" outlineLevel="0" collapsed="false"/>
    <row r="65160" customFormat="false" ht="12.75" hidden="false" customHeight="true" outlineLevel="0" collapsed="false"/>
    <row r="65161" customFormat="false" ht="12.75" hidden="false" customHeight="true" outlineLevel="0" collapsed="false"/>
    <row r="65162" customFormat="false" ht="12.75" hidden="false" customHeight="true" outlineLevel="0" collapsed="false"/>
    <row r="65163" customFormat="false" ht="12.75" hidden="false" customHeight="true" outlineLevel="0" collapsed="false"/>
    <row r="65164" customFormat="false" ht="12.75" hidden="false" customHeight="true" outlineLevel="0" collapsed="false"/>
    <row r="65165" customFormat="false" ht="12.75" hidden="false" customHeight="true" outlineLevel="0" collapsed="false"/>
    <row r="65166" customFormat="false" ht="12.75" hidden="false" customHeight="true" outlineLevel="0" collapsed="false"/>
    <row r="65167" customFormat="false" ht="12.75" hidden="false" customHeight="true" outlineLevel="0" collapsed="false"/>
    <row r="65168" customFormat="false" ht="12.75" hidden="false" customHeight="true" outlineLevel="0" collapsed="false"/>
    <row r="65169" customFormat="false" ht="12.75" hidden="false" customHeight="true" outlineLevel="0" collapsed="false"/>
    <row r="65170" customFormat="false" ht="12.75" hidden="false" customHeight="true" outlineLevel="0" collapsed="false"/>
    <row r="65171" customFormat="false" ht="12.75" hidden="false" customHeight="true" outlineLevel="0" collapsed="false"/>
    <row r="65172" customFormat="false" ht="12.75" hidden="false" customHeight="true" outlineLevel="0" collapsed="false"/>
    <row r="65173" customFormat="false" ht="12.75" hidden="false" customHeight="true" outlineLevel="0" collapsed="false"/>
    <row r="65174" customFormat="false" ht="12.75" hidden="false" customHeight="true" outlineLevel="0" collapsed="false"/>
    <row r="65175" customFormat="false" ht="12.75" hidden="false" customHeight="true" outlineLevel="0" collapsed="false"/>
    <row r="65176" customFormat="false" ht="12.75" hidden="false" customHeight="true" outlineLevel="0" collapsed="false"/>
    <row r="65177" customFormat="false" ht="12.75" hidden="false" customHeight="true" outlineLevel="0" collapsed="false"/>
    <row r="65178" customFormat="false" ht="12.75" hidden="false" customHeight="true" outlineLevel="0" collapsed="false"/>
    <row r="65179" customFormat="false" ht="12.75" hidden="false" customHeight="true" outlineLevel="0" collapsed="false"/>
    <row r="65180" customFormat="false" ht="12.75" hidden="false" customHeight="true" outlineLevel="0" collapsed="false"/>
    <row r="65181" customFormat="false" ht="12.75" hidden="false" customHeight="true" outlineLevel="0" collapsed="false"/>
    <row r="65182" customFormat="false" ht="12.75" hidden="false" customHeight="true" outlineLevel="0" collapsed="false"/>
    <row r="65183" customFormat="false" ht="12.75" hidden="false" customHeight="true" outlineLevel="0" collapsed="false"/>
    <row r="65184" customFormat="false" ht="12.75" hidden="false" customHeight="true" outlineLevel="0" collapsed="false"/>
    <row r="65185" customFormat="false" ht="12.75" hidden="false" customHeight="true" outlineLevel="0" collapsed="false"/>
    <row r="65186" customFormat="false" ht="12.75" hidden="false" customHeight="true" outlineLevel="0" collapsed="false"/>
    <row r="65187" customFormat="false" ht="12.75" hidden="false" customHeight="true" outlineLevel="0" collapsed="false"/>
    <row r="65188" customFormat="false" ht="12.75" hidden="false" customHeight="true" outlineLevel="0" collapsed="false"/>
    <row r="65189" customFormat="false" ht="12.75" hidden="false" customHeight="true" outlineLevel="0" collapsed="false"/>
    <row r="65190" customFormat="false" ht="12.75" hidden="false" customHeight="true" outlineLevel="0" collapsed="false"/>
    <row r="65191" customFormat="false" ht="12.75" hidden="false" customHeight="true" outlineLevel="0" collapsed="false"/>
    <row r="65192" customFormat="false" ht="12.75" hidden="false" customHeight="true" outlineLevel="0" collapsed="false"/>
    <row r="65193" customFormat="false" ht="12.75" hidden="false" customHeight="true" outlineLevel="0" collapsed="false"/>
    <row r="65194" customFormat="false" ht="12.75" hidden="false" customHeight="true" outlineLevel="0" collapsed="false"/>
    <row r="65195" customFormat="false" ht="12.75" hidden="false" customHeight="true" outlineLevel="0" collapsed="false"/>
    <row r="65196" customFormat="false" ht="12.75" hidden="false" customHeight="true" outlineLevel="0" collapsed="false"/>
    <row r="65197" customFormat="false" ht="12.75" hidden="false" customHeight="true" outlineLevel="0" collapsed="false"/>
    <row r="65198" customFormat="false" ht="12.75" hidden="false" customHeight="true" outlineLevel="0" collapsed="false"/>
    <row r="65199" customFormat="false" ht="12.75" hidden="false" customHeight="true" outlineLevel="0" collapsed="false"/>
    <row r="65200" customFormat="false" ht="12.75" hidden="false" customHeight="true" outlineLevel="0" collapsed="false"/>
    <row r="65201" customFormat="false" ht="12.75" hidden="false" customHeight="true" outlineLevel="0" collapsed="false"/>
    <row r="65202" customFormat="false" ht="12.75" hidden="false" customHeight="true" outlineLevel="0" collapsed="false"/>
    <row r="65203" customFormat="false" ht="12.75" hidden="false" customHeight="true" outlineLevel="0" collapsed="false"/>
    <row r="65204" customFormat="false" ht="12.75" hidden="false" customHeight="true" outlineLevel="0" collapsed="false"/>
    <row r="65205" customFormat="false" ht="12.75" hidden="false" customHeight="true" outlineLevel="0" collapsed="false"/>
    <row r="65206" customFormat="false" ht="12.75" hidden="false" customHeight="true" outlineLevel="0" collapsed="false"/>
    <row r="65207" customFormat="false" ht="12.75" hidden="false" customHeight="true" outlineLevel="0" collapsed="false"/>
    <row r="65208" customFormat="false" ht="12.75" hidden="false" customHeight="true" outlineLevel="0" collapsed="false"/>
    <row r="65209" customFormat="false" ht="12.75" hidden="false" customHeight="true" outlineLevel="0" collapsed="false"/>
    <row r="65210" customFormat="false" ht="12.75" hidden="false" customHeight="true" outlineLevel="0" collapsed="false"/>
    <row r="65211" customFormat="false" ht="12.75" hidden="false" customHeight="true" outlineLevel="0" collapsed="false"/>
    <row r="65212" customFormat="false" ht="12.75" hidden="false" customHeight="true" outlineLevel="0" collapsed="false"/>
    <row r="65213" customFormat="false" ht="12.75" hidden="false" customHeight="true" outlineLevel="0" collapsed="false"/>
    <row r="65214" customFormat="false" ht="12.75" hidden="false" customHeight="true" outlineLevel="0" collapsed="false"/>
    <row r="65215" customFormat="false" ht="12.75" hidden="false" customHeight="true" outlineLevel="0" collapsed="false"/>
    <row r="65216" customFormat="false" ht="12.75" hidden="false" customHeight="true" outlineLevel="0" collapsed="false"/>
    <row r="65217" customFormat="false" ht="12.75" hidden="false" customHeight="true" outlineLevel="0" collapsed="false"/>
    <row r="65218" customFormat="false" ht="12.75" hidden="false" customHeight="true" outlineLevel="0" collapsed="false"/>
    <row r="65219" customFormat="false" ht="12.75" hidden="false" customHeight="true" outlineLevel="0" collapsed="false"/>
    <row r="65220" customFormat="false" ht="12.75" hidden="false" customHeight="true" outlineLevel="0" collapsed="false"/>
    <row r="65221" customFormat="false" ht="12.75" hidden="false" customHeight="true" outlineLevel="0" collapsed="false"/>
    <row r="65222" customFormat="false" ht="12.75" hidden="false" customHeight="true" outlineLevel="0" collapsed="false"/>
    <row r="65223" customFormat="false" ht="12.75" hidden="false" customHeight="true" outlineLevel="0" collapsed="false"/>
    <row r="65224" customFormat="false" ht="12.75" hidden="false" customHeight="true" outlineLevel="0" collapsed="false"/>
    <row r="65225" customFormat="false" ht="12.75" hidden="false" customHeight="true" outlineLevel="0" collapsed="false"/>
    <row r="65226" customFormat="false" ht="12.75" hidden="false" customHeight="true" outlineLevel="0" collapsed="false"/>
    <row r="65227" customFormat="false" ht="12.75" hidden="false" customHeight="true" outlineLevel="0" collapsed="false"/>
    <row r="65228" customFormat="false" ht="12.75" hidden="false" customHeight="true" outlineLevel="0" collapsed="false"/>
    <row r="65229" customFormat="false" ht="12.75" hidden="false" customHeight="true" outlineLevel="0" collapsed="false"/>
    <row r="65230" customFormat="false" ht="12.75" hidden="false" customHeight="true" outlineLevel="0" collapsed="false"/>
    <row r="65231" customFormat="false" ht="12.75" hidden="false" customHeight="true" outlineLevel="0" collapsed="false"/>
    <row r="65232" customFormat="false" ht="12.75" hidden="false" customHeight="true" outlineLevel="0" collapsed="false"/>
    <row r="65233" customFormat="false" ht="12.75" hidden="false" customHeight="true" outlineLevel="0" collapsed="false"/>
    <row r="65234" customFormat="false" ht="12.75" hidden="false" customHeight="true" outlineLevel="0" collapsed="false"/>
    <row r="65235" customFormat="false" ht="12.75" hidden="false" customHeight="true" outlineLevel="0" collapsed="false"/>
    <row r="65236" customFormat="false" ht="12.75" hidden="false" customHeight="true" outlineLevel="0" collapsed="false"/>
    <row r="65237" customFormat="false" ht="12.75" hidden="false" customHeight="true" outlineLevel="0" collapsed="false"/>
    <row r="65238" customFormat="false" ht="12.75" hidden="false" customHeight="true" outlineLevel="0" collapsed="false"/>
    <row r="65239" customFormat="false" ht="12.75" hidden="false" customHeight="true" outlineLevel="0" collapsed="false"/>
    <row r="65240" customFormat="false" ht="12.75" hidden="false" customHeight="true" outlineLevel="0" collapsed="false"/>
    <row r="65241" customFormat="false" ht="12.75" hidden="false" customHeight="true" outlineLevel="0" collapsed="false"/>
    <row r="65242" customFormat="false" ht="12.75" hidden="false" customHeight="true" outlineLevel="0" collapsed="false"/>
    <row r="65243" customFormat="false" ht="12.75" hidden="false" customHeight="true" outlineLevel="0" collapsed="false"/>
    <row r="65244" customFormat="false" ht="12.75" hidden="false" customHeight="true" outlineLevel="0" collapsed="false"/>
    <row r="65245" customFormat="false" ht="12.75" hidden="false" customHeight="true" outlineLevel="0" collapsed="false"/>
    <row r="65246" customFormat="false" ht="12.75" hidden="false" customHeight="true" outlineLevel="0" collapsed="false"/>
    <row r="65247" customFormat="false" ht="12.75" hidden="false" customHeight="true" outlineLevel="0" collapsed="false"/>
    <row r="65248" customFormat="false" ht="12.75" hidden="false" customHeight="true" outlineLevel="0" collapsed="false"/>
    <row r="65249" customFormat="false" ht="12.75" hidden="false" customHeight="true" outlineLevel="0" collapsed="false"/>
    <row r="65250" customFormat="false" ht="12.75" hidden="false" customHeight="true" outlineLevel="0" collapsed="false"/>
    <row r="65251" customFormat="false" ht="12.75" hidden="false" customHeight="true" outlineLevel="0" collapsed="false"/>
    <row r="65252" customFormat="false" ht="12.75" hidden="false" customHeight="true" outlineLevel="0" collapsed="false"/>
    <row r="65253" customFormat="false" ht="12.75" hidden="false" customHeight="true" outlineLevel="0" collapsed="false"/>
    <row r="65254" customFormat="false" ht="12.75" hidden="false" customHeight="true" outlineLevel="0" collapsed="false"/>
    <row r="65255" customFormat="false" ht="12.75" hidden="false" customHeight="true" outlineLevel="0" collapsed="false"/>
    <row r="65256" customFormat="false" ht="12.75" hidden="false" customHeight="true" outlineLevel="0" collapsed="false"/>
    <row r="65257" customFormat="false" ht="12.75" hidden="false" customHeight="true" outlineLevel="0" collapsed="false"/>
    <row r="65258" customFormat="false" ht="12.75" hidden="false" customHeight="true" outlineLevel="0" collapsed="false"/>
    <row r="65259" customFormat="false" ht="12.75" hidden="false" customHeight="true" outlineLevel="0" collapsed="false"/>
    <row r="65260" customFormat="false" ht="12.75" hidden="false" customHeight="true" outlineLevel="0" collapsed="false"/>
    <row r="65261" customFormat="false" ht="12.75" hidden="false" customHeight="true" outlineLevel="0" collapsed="false"/>
    <row r="65262" customFormat="false" ht="12.75" hidden="false" customHeight="true" outlineLevel="0" collapsed="false"/>
    <row r="65263" customFormat="false" ht="12.75" hidden="false" customHeight="true" outlineLevel="0" collapsed="false"/>
    <row r="65264" customFormat="false" ht="12.75" hidden="false" customHeight="true" outlineLevel="0" collapsed="false"/>
    <row r="65265" customFormat="false" ht="12.75" hidden="false" customHeight="true" outlineLevel="0" collapsed="false"/>
    <row r="65266" customFormat="false" ht="12.75" hidden="false" customHeight="true" outlineLevel="0" collapsed="false"/>
    <row r="65267" customFormat="false" ht="12.75" hidden="false" customHeight="true" outlineLevel="0" collapsed="false"/>
    <row r="65268" customFormat="false" ht="12.75" hidden="false" customHeight="true" outlineLevel="0" collapsed="false"/>
    <row r="65269" customFormat="false" ht="12.75" hidden="false" customHeight="true" outlineLevel="0" collapsed="false"/>
    <row r="65270" customFormat="false" ht="12.75" hidden="false" customHeight="true" outlineLevel="0" collapsed="false"/>
    <row r="65271" customFormat="false" ht="12.75" hidden="false" customHeight="true" outlineLevel="0" collapsed="false"/>
    <row r="65272" customFormat="false" ht="12.75" hidden="false" customHeight="true" outlineLevel="0" collapsed="false"/>
    <row r="65273" customFormat="false" ht="12.75" hidden="false" customHeight="true" outlineLevel="0" collapsed="false"/>
    <row r="65274" customFormat="false" ht="12.75" hidden="false" customHeight="true" outlineLevel="0" collapsed="false"/>
    <row r="65275" customFormat="false" ht="12.75" hidden="false" customHeight="true" outlineLevel="0" collapsed="false"/>
    <row r="65276" customFormat="false" ht="12.75" hidden="false" customHeight="true" outlineLevel="0" collapsed="false"/>
    <row r="65277" customFormat="false" ht="12.75" hidden="false" customHeight="true" outlineLevel="0" collapsed="false"/>
    <row r="65278" customFormat="false" ht="12.75" hidden="false" customHeight="true" outlineLevel="0" collapsed="false"/>
    <row r="65279" customFormat="false" ht="12.75" hidden="false" customHeight="true" outlineLevel="0" collapsed="false"/>
    <row r="65280" customFormat="false" ht="12.75" hidden="false" customHeight="true" outlineLevel="0" collapsed="false"/>
    <row r="65281" customFormat="false" ht="12.75" hidden="false" customHeight="true" outlineLevel="0" collapsed="false"/>
    <row r="65282" customFormat="false" ht="12.75" hidden="false" customHeight="true" outlineLevel="0" collapsed="false"/>
    <row r="65283" customFormat="false" ht="12.75" hidden="false" customHeight="true" outlineLevel="0" collapsed="false"/>
    <row r="65284" customFormat="false" ht="12.75" hidden="false" customHeight="true" outlineLevel="0" collapsed="false"/>
    <row r="65285" customFormat="false" ht="12.75" hidden="false" customHeight="true" outlineLevel="0" collapsed="false"/>
    <row r="65286" customFormat="false" ht="12.75" hidden="false" customHeight="true" outlineLevel="0" collapsed="false"/>
    <row r="65287" customFormat="false" ht="12.75" hidden="false" customHeight="true" outlineLevel="0" collapsed="false"/>
    <row r="65288" customFormat="false" ht="12.75" hidden="false" customHeight="true" outlineLevel="0" collapsed="false"/>
    <row r="65289" customFormat="false" ht="12.75" hidden="false" customHeight="true" outlineLevel="0" collapsed="false"/>
    <row r="65290" customFormat="false" ht="12.75" hidden="false" customHeight="true" outlineLevel="0" collapsed="false"/>
    <row r="65291" customFormat="false" ht="12.75" hidden="false" customHeight="true" outlineLevel="0" collapsed="false"/>
    <row r="65292" customFormat="false" ht="12.75" hidden="false" customHeight="true" outlineLevel="0" collapsed="false"/>
    <row r="65293" customFormat="false" ht="12.75" hidden="false" customHeight="true" outlineLevel="0" collapsed="false"/>
    <row r="65294" customFormat="false" ht="12.75" hidden="false" customHeight="true" outlineLevel="0" collapsed="false"/>
    <row r="65295" customFormat="false" ht="12.75" hidden="false" customHeight="true" outlineLevel="0" collapsed="false"/>
    <row r="65296" customFormat="false" ht="12.75" hidden="false" customHeight="true" outlineLevel="0" collapsed="false"/>
    <row r="65297" customFormat="false" ht="12.75" hidden="false" customHeight="true" outlineLevel="0" collapsed="false"/>
    <row r="65298" customFormat="false" ht="12.75" hidden="false" customHeight="true" outlineLevel="0" collapsed="false"/>
    <row r="65299" customFormat="false" ht="12.75" hidden="false" customHeight="true" outlineLevel="0" collapsed="false"/>
    <row r="65300" customFormat="false" ht="12.75" hidden="false" customHeight="true" outlineLevel="0" collapsed="false"/>
    <row r="65301" customFormat="false" ht="12.75" hidden="false" customHeight="true" outlineLevel="0" collapsed="false"/>
    <row r="65302" customFormat="false" ht="12.75" hidden="false" customHeight="true" outlineLevel="0" collapsed="false"/>
    <row r="65303" customFormat="false" ht="12.75" hidden="false" customHeight="true" outlineLevel="0" collapsed="false"/>
    <row r="65304" customFormat="false" ht="12.75" hidden="false" customHeight="true" outlineLevel="0" collapsed="false"/>
    <row r="65305" customFormat="false" ht="12.75" hidden="false" customHeight="true" outlineLevel="0" collapsed="false"/>
    <row r="65306" customFormat="false" ht="12.75" hidden="false" customHeight="true" outlineLevel="0" collapsed="false"/>
    <row r="65307" customFormat="false" ht="12.75" hidden="false" customHeight="true" outlineLevel="0" collapsed="false"/>
    <row r="65308" customFormat="false" ht="12.75" hidden="false" customHeight="true" outlineLevel="0" collapsed="false"/>
  </sheetData>
  <sheetProtection sheet="true" password="bd1f" objects="true" scenarios="true" autoFilter="false"/>
  <autoFilter ref="C15:C40"/>
  <mergeCells count="15">
    <mergeCell ref="F6:H6"/>
    <mergeCell ref="Q6:R6"/>
    <mergeCell ref="Y6:Z6"/>
    <mergeCell ref="F7:H7"/>
    <mergeCell ref="Q7:R7"/>
    <mergeCell ref="Y7:Z7"/>
    <mergeCell ref="E9:F9"/>
    <mergeCell ref="G9:H9"/>
    <mergeCell ref="S9:T9"/>
    <mergeCell ref="U9:Z9"/>
    <mergeCell ref="E10:F10"/>
    <mergeCell ref="G10:H10"/>
    <mergeCell ref="S10:T10"/>
    <mergeCell ref="U10:Z10"/>
    <mergeCell ref="E15:H15"/>
  </mergeCells>
  <conditionalFormatting sqref="O21:AA21">
    <cfRule type="expression" priority="2" aboveAverage="0" equalAverage="0" bottom="0" percent="0" rank="0" text="" dxfId="266">
      <formula>ACOMPANHAMENTO="BM"</formula>
    </cfRule>
    <cfRule type="expression" priority="3" aboveAverage="0" equalAverage="0" bottom="0" percent="0" rank="0" text="" dxfId="267">
      <formula>AND(O$12&lt;&gt;".",OR($B21=0,$B21=2,$B21=3,$B21=4,AND(O$12="",$B21&lt;&gt;"Empty"),OFFSET(O$1,0,-1)=0))</formula>
    </cfRule>
    <cfRule type="expression" priority="4" aboveAverage="0" equalAverage="0" bottom="0" percent="0" rank="0" text="" dxfId="268">
      <formula>AND($B21=1,O$1=1)</formula>
    </cfRule>
  </conditionalFormatting>
  <conditionalFormatting sqref="D21:I21">
    <cfRule type="expression" priority="5" aboveAverage="0" equalAverage="0" bottom="0" percent="0" rank="0" text="" dxfId="269">
      <formula>$B21=1</formula>
    </cfRule>
    <cfRule type="expression" priority="6" aboveAverage="0" equalAverage="0" bottom="0" percent="0" rank="0" text="" dxfId="270">
      <formula>OR($B21=0,$B21=2,$B21=3,$B21=4)</formula>
    </cfRule>
  </conditionalFormatting>
  <conditionalFormatting sqref="M21:N21">
    <cfRule type="expression" priority="7" aboveAverage="0" equalAverage="0" bottom="0" percent="0" rank="0" text="" dxfId="271">
      <formula>ACOMPANHAMENTO="BM"</formula>
    </cfRule>
    <cfRule type="expression" priority="8" aboveAverage="0" equalAverage="0" bottom="0" percent="0" rank="0" text="" dxfId="272">
      <formula>OR($B21=0,$B21=2,$B21=3,$B21=4)</formula>
    </cfRule>
    <cfRule type="expression" priority="9" aboveAverage="0" equalAverage="0" bottom="0" percent="0" rank="0" text="" dxfId="273">
      <formula>$B21=1</formula>
    </cfRule>
  </conditionalFormatting>
  <conditionalFormatting sqref="K21">
    <cfRule type="expression" priority="10" aboveAverage="0" equalAverage="0" bottom="0" percent="0" rank="0" text="" dxfId="274">
      <formula>OR(ACOMPANHAMENTO="BM",$A$12&lt;&gt;"Manual")</formula>
    </cfRule>
    <cfRule type="expression" priority="11" aboveAverage="0" equalAverage="0" bottom="0" percent="0" rank="0" text="" dxfId="275">
      <formula>$B21=1</formula>
    </cfRule>
    <cfRule type="expression" priority="12" aboveAverage="0" equalAverage="0" bottom="0" percent="0" rank="0" text="" dxfId="276">
      <formula>OR($B21=2,$B21=3,$B21=4,$B21=0)</formula>
    </cfRule>
  </conditionalFormatting>
  <conditionalFormatting sqref="O18:AA18">
    <cfRule type="expression" priority="13" aboveAverage="0" equalAverage="0" bottom="0" percent="0" rank="0" text="" dxfId="277">
      <formula>ACOMPANHAMENTO="BM"</formula>
    </cfRule>
    <cfRule type="expression" priority="14" aboveAverage="0" equalAverage="0" bottom="0" percent="0" rank="0" text="" dxfId="278">
      <formula>AND(O$12&lt;&gt;".",OR($B18=0,$B18=2,$B18=3,$B18=4,AND(O$12="",$B18&lt;&gt;"Empty"),OFFSET(O$1,0,-1)=0))</formula>
    </cfRule>
    <cfRule type="expression" priority="15" aboveAverage="0" equalAverage="0" bottom="0" percent="0" rank="0" text="" dxfId="279">
      <formula>AND($B18=1,O$1=1)</formula>
    </cfRule>
  </conditionalFormatting>
  <conditionalFormatting sqref="D18:I18">
    <cfRule type="expression" priority="16" aboveAverage="0" equalAverage="0" bottom="0" percent="0" rank="0" text="" dxfId="280">
      <formula>$B18=1</formula>
    </cfRule>
    <cfRule type="expression" priority="17" aboveAverage="0" equalAverage="0" bottom="0" percent="0" rank="0" text="" dxfId="281">
      <formula>OR($B18=0,$B18=2,$B18=3,$B18=4)</formula>
    </cfRule>
  </conditionalFormatting>
  <conditionalFormatting sqref="M18:N18">
    <cfRule type="expression" priority="18" aboveAverage="0" equalAverage="0" bottom="0" percent="0" rank="0" text="" dxfId="282">
      <formula>ACOMPANHAMENTO="BM"</formula>
    </cfRule>
    <cfRule type="expression" priority="19" aboveAverage="0" equalAverage="0" bottom="0" percent="0" rank="0" text="" dxfId="283">
      <formula>OR($B18=0,$B18=2,$B18=3,$B18=4)</formula>
    </cfRule>
    <cfRule type="expression" priority="20" aboveAverage="0" equalAverage="0" bottom="0" percent="0" rank="0" text="" dxfId="284">
      <formula>$B18=1</formula>
    </cfRule>
  </conditionalFormatting>
  <conditionalFormatting sqref="K18">
    <cfRule type="expression" priority="21" aboveAverage="0" equalAverage="0" bottom="0" percent="0" rank="0" text="" dxfId="285">
      <formula>OR(ACOMPANHAMENTO="BM",$A$12&lt;&gt;"Manual")</formula>
    </cfRule>
    <cfRule type="expression" priority="22" aboveAverage="0" equalAverage="0" bottom="0" percent="0" rank="0" text="" dxfId="286">
      <formula>$B18=1</formula>
    </cfRule>
    <cfRule type="expression" priority="23" aboveAverage="0" equalAverage="0" bottom="0" percent="0" rank="0" text="" dxfId="287">
      <formula>OR($B18=2,$B18=3,$B18=4,$B18=0)</formula>
    </cfRule>
  </conditionalFormatting>
  <conditionalFormatting sqref="D19:I19">
    <cfRule type="expression" priority="24" aboveAverage="0" equalAverage="0" bottom="0" percent="0" rank="0" text="" dxfId="288">
      <formula>$B19=1</formula>
    </cfRule>
    <cfRule type="expression" priority="25" aboveAverage="0" equalAverage="0" bottom="0" percent="0" rank="0" text="" dxfId="289">
      <formula>OR($B19=0,$B19=2,$B19=3,$B19=4)</formula>
    </cfRule>
  </conditionalFormatting>
  <conditionalFormatting sqref="M19:N19">
    <cfRule type="expression" priority="26" aboveAverage="0" equalAverage="0" bottom="0" percent="0" rank="0" text="" dxfId="290">
      <formula>ACOMPANHAMENTO="BM"</formula>
    </cfRule>
    <cfRule type="expression" priority="27" aboveAverage="0" equalAverage="0" bottom="0" percent="0" rank="0" text="" dxfId="291">
      <formula>OR($B19=0,$B19=2,$B19=3,$B19=4)</formula>
    </cfRule>
    <cfRule type="expression" priority="28" aboveAverage="0" equalAverage="0" bottom="0" percent="0" rank="0" text="" dxfId="292">
      <formula>$B19=1</formula>
    </cfRule>
  </conditionalFormatting>
  <conditionalFormatting sqref="O17:AA17">
    <cfRule type="expression" priority="29" aboveAverage="0" equalAverage="0" bottom="0" percent="0" rank="0" text="" dxfId="293">
      <formula>ACOMPANHAMENTO="BM"</formula>
    </cfRule>
    <cfRule type="expression" priority="30" aboveAverage="0" equalAverage="0" bottom="0" percent="0" rank="0" text="" dxfId="294">
      <formula>AND(O$12&lt;&gt;".",OR($B17=0,$B17=2,$B17=3,$B17=4,AND(O$12="",$B17&lt;&gt;"Empty"),OFFSET(O$1,0,-1)=0))</formula>
    </cfRule>
    <cfRule type="expression" priority="31" aboveAverage="0" equalAverage="0" bottom="0" percent="0" rank="0" text="" dxfId="295">
      <formula>AND($B17=1,O$1=1)</formula>
    </cfRule>
  </conditionalFormatting>
  <conditionalFormatting sqref="D17:I17">
    <cfRule type="expression" priority="32" aboveAverage="0" equalAverage="0" bottom="0" percent="0" rank="0" text="" dxfId="296">
      <formula>$B17=1</formula>
    </cfRule>
    <cfRule type="expression" priority="33" aboveAverage="0" equalAverage="0" bottom="0" percent="0" rank="0" text="" dxfId="297">
      <formula>OR($B17=0,$B17=2,$B17=3,$B17=4)</formula>
    </cfRule>
  </conditionalFormatting>
  <conditionalFormatting sqref="M17:N17">
    <cfRule type="expression" priority="34" aboveAverage="0" equalAverage="0" bottom="0" percent="0" rank="0" text="" dxfId="298">
      <formula>ACOMPANHAMENTO="BM"</formula>
    </cfRule>
    <cfRule type="expression" priority="35" aboveAverage="0" equalAverage="0" bottom="0" percent="0" rank="0" text="" dxfId="299">
      <formula>OR($B17=0,$B17=2,$B17=3,$B17=4)</formula>
    </cfRule>
    <cfRule type="expression" priority="36" aboveAverage="0" equalAverage="0" bottom="0" percent="0" rank="0" text="" dxfId="300">
      <formula>$B17=1</formula>
    </cfRule>
  </conditionalFormatting>
  <conditionalFormatting sqref="K17">
    <cfRule type="expression" priority="37" aboveAverage="0" equalAverage="0" bottom="0" percent="0" rank="0" text="" dxfId="301">
      <formula>OR(ACOMPANHAMENTO="BM",$A$12&lt;&gt;"Manual")</formula>
    </cfRule>
    <cfRule type="expression" priority="38" aboveAverage="0" equalAverage="0" bottom="0" percent="0" rank="0" text="" dxfId="302">
      <formula>$B17=1</formula>
    </cfRule>
    <cfRule type="expression" priority="39" aboveAverage="0" equalAverage="0" bottom="0" percent="0" rank="0" text="" dxfId="303">
      <formula>OR($B17=2,$B17=3,$B17=4,$B17=0)</formula>
    </cfRule>
  </conditionalFormatting>
  <conditionalFormatting sqref="D29:I29">
    <cfRule type="expression" priority="40" aboveAverage="0" equalAverage="0" bottom="0" percent="0" rank="0" text="" dxfId="304">
      <formula>$B29=1</formula>
    </cfRule>
    <cfRule type="expression" priority="41" aboveAverage="0" equalAverage="0" bottom="0" percent="0" rank="0" text="" dxfId="305">
      <formula>OR($B29=0,$B29=2,$B29=3,$B29=4)</formula>
    </cfRule>
  </conditionalFormatting>
  <conditionalFormatting sqref="M29:N29">
    <cfRule type="expression" priority="42" aboveAverage="0" equalAverage="0" bottom="0" percent="0" rank="0" text="" dxfId="306">
      <formula>ACOMPANHAMENTO="BM"</formula>
    </cfRule>
    <cfRule type="expression" priority="43" aboveAverage="0" equalAverage="0" bottom="0" percent="0" rank="0" text="" dxfId="307">
      <formula>OR($B29=0,$B29=2,$B29=3,$B29=4)</formula>
    </cfRule>
    <cfRule type="expression" priority="44" aboveAverage="0" equalAverage="0" bottom="0" percent="0" rank="0" text="" dxfId="308">
      <formula>$B29=1</formula>
    </cfRule>
  </conditionalFormatting>
  <conditionalFormatting sqref="D37:I37">
    <cfRule type="expression" priority="45" aboveAverage="0" equalAverage="0" bottom="0" percent="0" rank="0" text="" dxfId="309">
      <formula>$B37=1</formula>
    </cfRule>
    <cfRule type="expression" priority="46" aboveAverage="0" equalAverage="0" bottom="0" percent="0" rank="0" text="" dxfId="310">
      <formula>OR($B37=0,$B37=2,$B37=3,$B37=4)</formula>
    </cfRule>
  </conditionalFormatting>
  <conditionalFormatting sqref="M37:N37">
    <cfRule type="expression" priority="47" aboveAverage="0" equalAverage="0" bottom="0" percent="0" rank="0" text="" dxfId="311">
      <formula>ACOMPANHAMENTO="BM"</formula>
    </cfRule>
    <cfRule type="expression" priority="48" aboveAverage="0" equalAverage="0" bottom="0" percent="0" rank="0" text="" dxfId="312">
      <formula>OR($B37=0,$B37=2,$B37=3,$B37=4)</formula>
    </cfRule>
    <cfRule type="expression" priority="49" aboveAverage="0" equalAverage="0" bottom="0" percent="0" rank="0" text="" dxfId="313">
      <formula>$B37=1</formula>
    </cfRule>
  </conditionalFormatting>
  <conditionalFormatting sqref="D35:I35">
    <cfRule type="expression" priority="50" aboveAverage="0" equalAverage="0" bottom="0" percent="0" rank="0" text="" dxfId="314">
      <formula>$B35=1</formula>
    </cfRule>
    <cfRule type="expression" priority="51" aboveAverage="0" equalAverage="0" bottom="0" percent="0" rank="0" text="" dxfId="315">
      <formula>OR($B35=0,$B35=2,$B35=3,$B35=4)</formula>
    </cfRule>
  </conditionalFormatting>
  <conditionalFormatting sqref="M35:N35">
    <cfRule type="expression" priority="52" aboveAverage="0" equalAverage="0" bottom="0" percent="0" rank="0" text="" dxfId="316">
      <formula>ACOMPANHAMENTO="BM"</formula>
    </cfRule>
    <cfRule type="expression" priority="53" aboveAverage="0" equalAverage="0" bottom="0" percent="0" rank="0" text="" dxfId="317">
      <formula>OR($B35=0,$B35=2,$B35=3,$B35=4)</formula>
    </cfRule>
    <cfRule type="expression" priority="54" aboveAverage="0" equalAverage="0" bottom="0" percent="0" rank="0" text="" dxfId="318">
      <formula>$B35=1</formula>
    </cfRule>
  </conditionalFormatting>
  <conditionalFormatting sqref="D36:I36">
    <cfRule type="expression" priority="55" aboveAverage="0" equalAverage="0" bottom="0" percent="0" rank="0" text="" dxfId="319">
      <formula>$B36=1</formula>
    </cfRule>
    <cfRule type="expression" priority="56" aboveAverage="0" equalAverage="0" bottom="0" percent="0" rank="0" text="" dxfId="320">
      <formula>OR($B36=0,$B36=2,$B36=3,$B36=4)</formula>
    </cfRule>
  </conditionalFormatting>
  <conditionalFormatting sqref="M36:N36">
    <cfRule type="expression" priority="57" aboveAverage="0" equalAverage="0" bottom="0" percent="0" rank="0" text="" dxfId="321">
      <formula>ACOMPANHAMENTO="BM"</formula>
    </cfRule>
    <cfRule type="expression" priority="58" aboveAverage="0" equalAverage="0" bottom="0" percent="0" rank="0" text="" dxfId="322">
      <formula>OR($B36=0,$B36=2,$B36=3,$B36=4)</formula>
    </cfRule>
    <cfRule type="expression" priority="59" aboveAverage="0" equalAverage="0" bottom="0" percent="0" rank="0" text="" dxfId="323">
      <formula>$B36=1</formula>
    </cfRule>
  </conditionalFormatting>
  <conditionalFormatting sqref="O15">
    <cfRule type="expression" priority="60" aboveAverage="0" equalAverage="0" bottom="0" percent="0" rank="0" text="" dxfId="324">
      <formula>O$11="▼"</formula>
    </cfRule>
  </conditionalFormatting>
  <conditionalFormatting sqref="O12:AA16 O19:AA20 O22:AA40">
    <cfRule type="expression" priority="61" aboveAverage="0" equalAverage="0" bottom="0" percent="0" rank="0" text="" dxfId="325">
      <formula>ACOMPANHAMENTO="BM"</formula>
    </cfRule>
    <cfRule type="expression" priority="62" aboveAverage="0" equalAverage="0" bottom="0" percent="0" rank="0" text="" dxfId="326">
      <formula>AND(O$12&lt;&gt;".",OR($B12=0,$B12=2,$B12=3,$B12=4,AND(O$12="",$B12&lt;&gt;"Empty"),OFFSET(O$1,0,-1)=0))</formula>
    </cfRule>
    <cfRule type="expression" priority="63" aboveAverage="0" equalAverage="0" bottom="0" percent="0" rank="0" text="" dxfId="327">
      <formula>AND($B12=1,O$1=1)</formula>
    </cfRule>
  </conditionalFormatting>
  <conditionalFormatting sqref="D14:I14 D38:I39 D16:I16 D30:I34 D20:I20 D22:I28">
    <cfRule type="expression" priority="64" aboveAverage="0" equalAverage="0" bottom="0" percent="0" rank="0" text="" dxfId="328">
      <formula>$B14=1</formula>
    </cfRule>
    <cfRule type="expression" priority="65" aboveAverage="0" equalAverage="0" bottom="0" percent="0" rank="0" text="" dxfId="329">
      <formula>OR($B14=0,$B14=2,$B14=3,$B14=4)</formula>
    </cfRule>
  </conditionalFormatting>
  <conditionalFormatting sqref="M38:N40 M12:N16 M30:N34 M20:N20 M22:N28">
    <cfRule type="expression" priority="66" aboveAverage="0" equalAverage="0" bottom="0" percent="0" rank="0" text="" dxfId="330">
      <formula>ACOMPANHAMENTO="BM"</formula>
    </cfRule>
    <cfRule type="expression" priority="67" aboveAverage="0" equalAverage="0" bottom="0" percent="0" rank="0" text="" dxfId="331">
      <formula>OR($B12=0,$B12=2,$B12=3,$B12=4)</formula>
    </cfRule>
    <cfRule type="expression" priority="68" aboveAverage="0" equalAverage="0" bottom="0" percent="0" rank="0" text="" dxfId="332">
      <formula>$B12=1</formula>
    </cfRule>
  </conditionalFormatting>
  <conditionalFormatting sqref="K12:K16 K19:K20 K22:K40">
    <cfRule type="expression" priority="69" aboveAverage="0" equalAverage="0" bottom="0" percent="0" rank="0" text="" dxfId="333">
      <formula>OR(ACOMPANHAMENTO="BM",$A$12&lt;&gt;"Manual")</formula>
    </cfRule>
    <cfRule type="expression" priority="70" aboveAverage="0" equalAverage="0" bottom="0" percent="0" rank="0" text="" dxfId="334">
      <formula>$B12=1</formula>
    </cfRule>
    <cfRule type="expression" priority="71" aboveAverage="0" equalAverage="0" bottom="0" percent="0" rank="0" text="" dxfId="335">
      <formula>OR($B12=2,$B12=3,$B12=4,$B12=0)</formula>
    </cfRule>
  </conditionalFormatting>
  <conditionalFormatting sqref="Q15:Z15">
    <cfRule type="expression" priority="72" aboveAverage="0" equalAverage="0" bottom="0" percent="0" rank="0" text="" dxfId="336">
      <formula>Q$11="▼"</formula>
    </cfRule>
  </conditionalFormatting>
  <dataValidations count="4">
    <dataValidation allowBlank="true" error="Apenas números decimais maiores que zero." errorStyle="stop" operator="greaterThan" showDropDown="false" showErrorMessage="true" showInputMessage="false" sqref="O14 Q14:Z14 O16:O39 Q16:Z39" type="decimal">
      <formula1>0</formula1>
      <formula2>0</formula2>
    </dataValidation>
    <dataValidation allowBlank="true" errorStyle="stop" operator="between" showDropDown="false" showErrorMessage="true" showInputMessage="false" sqref="K14 K16:K39" type="list">
      <formula1>EVENTOS.ListaValidacao</formula1>
      <formula2>0</formula2>
    </dataValidation>
    <dataValidation allowBlank="true" errorStyle="stop" operator="between" prompt="A quantidade é digitada nas colunas Q em diante, após preencher o nome das frentes de obra na célula Q12 em diante" showDropDown="false" showErrorMessage="true" showInputMessage="true" sqref="H14 H16:H39" type="none">
      <formula1>0</formula1>
      <formula2>0</formula2>
    </dataValidation>
    <dataValidation allowBlank="true" errorStyle="stop" operator="between" prompt="A frente de obra é uma porção física da obra. Exemplos: Única; Rua A; Rua B; Trecho 01; Trecho 02; 1º Andar; 2º Andar; Copa; Banheiro" showDropDown="false" showErrorMessage="true" showInputMessage="true" sqref="Q12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0.590277777777778" footer="0.590277777777778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&amp;C&amp;14I</oddHeader>
    <oddFooter>&amp;LPMv3.10&amp;R&amp;P / &amp;N</oddFooter>
  </headerFooter>
  <colBreaks count="1" manualBreakCount="1">
    <brk id="27" man="true" max="65535" min="0"/>
  </col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36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pane xSplit="3" ySplit="13" topLeftCell="D14" activePane="bottomRight" state="frozen"/>
      <selection pane="topLeft" activeCell="A1" activeCellId="0" sqref="A1"/>
      <selection pane="topRight" activeCell="D1" activeCellId="0" sqref="D1"/>
      <selection pane="bottomLeft" activeCell="A14" activeCellId="0" sqref="A14"/>
      <selection pane="bottomRigh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8.15"/>
    <col collapsed="false" customWidth="true" hidden="false" outlineLevel="0" max="3" min="3" style="1" width="36.86"/>
    <col collapsed="false" customWidth="true" hidden="false" outlineLevel="0" max="4" min="4" style="1" width="0.86"/>
    <col collapsed="false" customWidth="true" hidden="true" outlineLevel="0" max="6" min="5" style="1" width="9.14"/>
    <col collapsed="false" customWidth="true" hidden="false" outlineLevel="0" max="31" min="7" style="1" width="5.57"/>
    <col collapsed="false" customWidth="true" hidden="true" outlineLevel="0" max="32" min="32" style="1" width="5.57"/>
  </cols>
  <sheetData>
    <row r="1" customFormat="false" ht="12.75" hidden="true" customHeight="false" outlineLevel="0" collapsed="false">
      <c r="A1" s="49" t="e">
        <f aca="false">IF(AUTOEVENTO="Manual",IF(EVENTOS!$F1&gt;0,"F",""),IF(CRONOPLE!B1&lt;=MAX(CÁLCULO!$M$15:$M$40),"F",""))</f>
        <v>#VALUE!</v>
      </c>
      <c r="B1" s="380" t="e">
        <f aca="true">OFFSET(B1,-1,0)+1</f>
        <v>#VALUE!</v>
      </c>
      <c r="C1" s="381" t="e">
        <f aca="true">IF(AUTOEVENTO="Manual",IF($B1&gt;0,OFFSET(EVENTOS!$D$15,$B1-$B$15,0),0),IF(B1&lt;=MAX(CÁLCULO!$M$15:$M$40),VLOOKUP($B1,CÁLCULO!$M$15:$N$40,2,FALSE()),0))</f>
        <v>#VALUE!</v>
      </c>
      <c r="D1" s="382"/>
      <c r="E1" s="383"/>
      <c r="F1" s="1" t="e">
        <f aca="false">IF($C1=0,"",CONCATENATE($B1,". ",$C1))</f>
        <v>#VALUE!</v>
      </c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</row>
    <row r="2" customFormat="false" ht="30" hidden="false" customHeight="true" outlineLevel="0" collapsed="false">
      <c r="G2" s="158" t="s">
        <v>822</v>
      </c>
      <c r="AC2" s="385" t="s">
        <v>799</v>
      </c>
      <c r="AD2" s="385"/>
      <c r="AE2" s="385"/>
    </row>
    <row r="3" customFormat="false" ht="12.75" hidden="false" customHeight="true" outlineLevel="0" collapsed="false">
      <c r="G3" s="158"/>
      <c r="AD3" s="386"/>
      <c r="AE3" s="386"/>
    </row>
    <row r="4" customFormat="false" ht="12.75" hidden="false" customHeight="true" outlineLevel="0" collapsed="false">
      <c r="B4" s="103" t="s">
        <v>667</v>
      </c>
      <c r="C4" s="103"/>
      <c r="D4" s="103"/>
      <c r="G4" s="267" t="s">
        <v>665</v>
      </c>
      <c r="H4" s="267"/>
      <c r="I4" s="267"/>
      <c r="J4" s="267" t="s">
        <v>724</v>
      </c>
      <c r="K4" s="267"/>
      <c r="L4" s="267"/>
      <c r="M4" s="268" t="s">
        <v>800</v>
      </c>
      <c r="N4" s="387"/>
      <c r="P4" s="388"/>
      <c r="Q4" s="388"/>
      <c r="R4" s="388"/>
      <c r="U4" s="269"/>
      <c r="V4" s="388"/>
      <c r="W4" s="388"/>
      <c r="X4" s="388"/>
      <c r="Y4" s="388"/>
      <c r="AD4" s="386"/>
      <c r="AE4" s="389"/>
    </row>
    <row r="5" customFormat="false" ht="12.75" hidden="false" customHeight="true" outlineLevel="0" collapsed="false">
      <c r="B5" s="104" t="str">
        <f aca="false">Import.Proponente</f>
        <v>PREFEITURA MUNICIPAL DE CAÇAPAVA DO SUL</v>
      </c>
      <c r="C5" s="104"/>
      <c r="D5" s="104"/>
      <c r="G5" s="179" t="str">
        <f aca="false">Import.CR</f>
        <v>-</v>
      </c>
      <c r="H5" s="179"/>
      <c r="I5" s="179"/>
      <c r="J5" s="179" t="str">
        <f aca="false">Import.SICONV</f>
        <v>-</v>
      </c>
      <c r="K5" s="179"/>
      <c r="L5" s="179"/>
      <c r="M5" s="273" t="str">
        <f aca="false">Import.Apelido</f>
        <v>EMEF INSTITUTO AUGUSTA MARIA LIMA MARQUES</v>
      </c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</row>
    <row r="6" customFormat="false" ht="14.25" hidden="false" customHeight="true" outlineLevel="0" collapsed="false">
      <c r="B6" s="63" t="str">
        <f aca="true" t="array" ref="B6:B6">IF(ACOMPANHAMENTO="BM","NO ACOMPANHAMENTO POR BM, UTILIZE A ABA CRONO",
  IF(MAX($B$14:$B$22)&lt;MAX(CÁLCULO!$M$15:$M$40),"ERRO: NÚMERO DE EVENTOS INSUFICIENTE, CLIQUE EM ATUALIZAR LINHAS",
  IF(ROUND(OFFSET(CRONO!$AG$54,0,-1),2)&lt;&gt;CRONO!$R$45,"ERRO: CRONOGRAMA NÃO FECHA 100%","")))</f>
        <v>NO ACOMPANHAMENTO POR BM, UTILIZE A ABA CRONO</v>
      </c>
    </row>
    <row r="7" customFormat="false" ht="15" hidden="false" customHeight="true" outlineLevel="0" collapsed="false">
      <c r="B7" s="339" t="str">
        <f aca="false" t="array" ref="B7:B7">IF(AdmLocal="Automática","","1. Selecione o Título do Evento da Administração Local:")</f>
        <v>1. Selecione o Título do Evento da Administração Local:</v>
      </c>
    </row>
    <row r="8" customFormat="false" ht="13.5" hidden="false" customHeight="false" outlineLevel="0" collapsed="false">
      <c r="A8" s="390" t="n">
        <f aca="false">MID(Import.EventoAdmLocal,1,SEARCH(".",Import.EventoAdmLocal)-1)</f>
        <v>0</v>
      </c>
      <c r="B8" s="391"/>
      <c r="C8" s="391"/>
      <c r="D8" s="111" t="str">
        <f aca="false">IF($B$7="","",IF(AND($B$15=0,$B$8=""),"◄ Não foi indicado o Evento de Administração Local",IF(ISERROR(MATCH(Import.EventoAdmLocal,$F$15:$F$22,0)),"◄ Selecione um Título de Evento válido para a Administração Local","")))</f>
        <v>◄ Não foi indicado o Evento de Administração Local</v>
      </c>
    </row>
    <row r="9" customFormat="false" ht="3.75" hidden="false" customHeight="true" outlineLevel="0" collapsed="false">
      <c r="A9" s="390"/>
    </row>
    <row r="10" customFormat="false" ht="15" hidden="false" customHeight="true" outlineLevel="0" collapsed="false">
      <c r="A10" s="390" t="n">
        <f aca="false">MATCH(VALUE(A8),CÁLCULO!$M$15:$M$40,0)-2</f>
        <v>-1</v>
      </c>
      <c r="B10" s="339" t="str">
        <f aca="false">CONCATENATE(IF(AdmLocal="Automática",1,2),". Digite nas células em amarelo o número do período em que os eventos serão concluídos:")</f>
        <v>2. Digite nas células em amarelo o número do período em que os eventos serão concluídos:</v>
      </c>
    </row>
    <row r="11" customFormat="false" ht="65.25" hidden="false" customHeight="true" outlineLevel="0" collapsed="false">
      <c r="A11" s="324" t="s">
        <v>670</v>
      </c>
      <c r="C11" s="392"/>
      <c r="E11" s="393" t="str">
        <f aca="true">IF(E$12&gt;CÁLCULO.FrentesPreenchidas,"",OFFSET(CÁLCULO!$P$12,0,E$12))</f>
        <v/>
      </c>
      <c r="G11" s="393" t="str">
        <f aca="true">IF(G$12&gt;CÁLCULO.FrentesPreenchidas,"",OFFSET(CÁLCULO!$P$12,0,G$12))</f>
        <v/>
      </c>
      <c r="H11" s="393" t="str">
        <f aca="true">IF(H$12&gt;CÁLCULO.FrentesPreenchidas,"",OFFSET(CÁLCULO!$P$12,0,H$12))</f>
        <v/>
      </c>
      <c r="I11" s="393" t="str">
        <f aca="true">IF(I$12&gt;CÁLCULO.FrentesPreenchidas,"",OFFSET(CÁLCULO!$P$12,0,I$12))</f>
        <v/>
      </c>
      <c r="J11" s="393" t="str">
        <f aca="true">IF(J$12&gt;CÁLCULO.FrentesPreenchidas,"",OFFSET(CÁLCULO!$P$12,0,J$12))</f>
        <v/>
      </c>
      <c r="K11" s="393" t="str">
        <f aca="true">IF(K$12&gt;CÁLCULO.FrentesPreenchidas,"",OFFSET(CÁLCULO!$P$12,0,K$12))</f>
        <v/>
      </c>
      <c r="L11" s="393" t="str">
        <f aca="true">IF(L$12&gt;CÁLCULO.FrentesPreenchidas,"",OFFSET(CÁLCULO!$P$12,0,L$12))</f>
        <v/>
      </c>
      <c r="M11" s="393" t="str">
        <f aca="true">IF(M$12&gt;CÁLCULO.FrentesPreenchidas,"",OFFSET(CÁLCULO!$P$12,0,M$12))</f>
        <v/>
      </c>
      <c r="N11" s="393" t="str">
        <f aca="true">IF(N$12&gt;CÁLCULO.FrentesPreenchidas,"",OFFSET(CÁLCULO!$P$12,0,N$12))</f>
        <v/>
      </c>
      <c r="O11" s="393" t="str">
        <f aca="true">IF(O$12&gt;CÁLCULO.FrentesPreenchidas,"",OFFSET(CÁLCULO!$P$12,0,O$12))</f>
        <v/>
      </c>
      <c r="P11" s="393" t="str">
        <f aca="true">IF(P$12&gt;CÁLCULO.FrentesPreenchidas,"",OFFSET(CÁLCULO!$P$12,0,P$12))</f>
        <v/>
      </c>
      <c r="Q11" s="393" t="str">
        <f aca="true">IF(Q$12&gt;CÁLCULO.FrentesPreenchidas,"",OFFSET(CÁLCULO!$P$12,0,Q$12))</f>
        <v/>
      </c>
      <c r="R11" s="393" t="str">
        <f aca="true">IF(R$12&gt;CÁLCULO.FrentesPreenchidas,"",OFFSET(CÁLCULO!$P$12,0,R$12))</f>
        <v/>
      </c>
      <c r="S11" s="393" t="str">
        <f aca="true">IF(S$12&gt;CÁLCULO.FrentesPreenchidas,"",OFFSET(CÁLCULO!$P$12,0,S$12))</f>
        <v/>
      </c>
      <c r="T11" s="393" t="str">
        <f aca="true">IF(T$12&gt;CÁLCULO.FrentesPreenchidas,"",OFFSET(CÁLCULO!$P$12,0,T$12))</f>
        <v/>
      </c>
      <c r="U11" s="393" t="str">
        <f aca="true">IF(U$12&gt;CÁLCULO.FrentesPreenchidas,"",OFFSET(CÁLCULO!$P$12,0,U$12))</f>
        <v/>
      </c>
      <c r="V11" s="393" t="str">
        <f aca="true">IF(V$12&gt;CÁLCULO.FrentesPreenchidas,"",OFFSET(CÁLCULO!$P$12,0,V$12))</f>
        <v/>
      </c>
      <c r="W11" s="393" t="str">
        <f aca="true">IF(W$12&gt;CÁLCULO.FrentesPreenchidas,"",OFFSET(CÁLCULO!$P$12,0,W$12))</f>
        <v/>
      </c>
      <c r="X11" s="393" t="str">
        <f aca="true">IF(X$12&gt;CÁLCULO.FrentesPreenchidas,"",OFFSET(CÁLCULO!$P$12,0,X$12))</f>
        <v/>
      </c>
      <c r="Y11" s="393" t="str">
        <f aca="true">IF(Y$12&gt;CÁLCULO.FrentesPreenchidas,"",OFFSET(CÁLCULO!$P$12,0,Y$12))</f>
        <v/>
      </c>
      <c r="Z11" s="393" t="str">
        <f aca="true">IF(Z$12&gt;CÁLCULO.FrentesPreenchidas,"",OFFSET(CÁLCULO!$P$12,0,Z$12))</f>
        <v/>
      </c>
      <c r="AA11" s="393" t="str">
        <f aca="true">IF(AA$12&gt;CÁLCULO.FrentesPreenchidas,"",OFFSET(CÁLCULO!$P$12,0,AA$12))</f>
        <v/>
      </c>
      <c r="AB11" s="393" t="str">
        <f aca="true">IF(AB$12&gt;CÁLCULO.FrentesPreenchidas,"",OFFSET(CÁLCULO!$P$12,0,AB$12))</f>
        <v/>
      </c>
      <c r="AC11" s="393" t="str">
        <f aca="true">IF(AC$12&gt;CÁLCULO.FrentesPreenchidas,"",OFFSET(CÁLCULO!$P$12,0,AC$12))</f>
        <v/>
      </c>
      <c r="AD11" s="393" t="str">
        <f aca="true">IF(AD$12&gt;CÁLCULO.FrentesPreenchidas,"",OFFSET(CÁLCULO!$P$12,0,AD$12))</f>
        <v/>
      </c>
      <c r="AE11" s="393" t="str">
        <f aca="true">IF(AE$12&gt;CÁLCULO.FrentesPreenchidas,"",OFFSET(CÁLCULO!$P$12,0,AE$12))</f>
        <v/>
      </c>
    </row>
    <row r="12" customFormat="false" ht="12.75" hidden="false" customHeight="true" outlineLevel="0" collapsed="false">
      <c r="A12" s="338" t="s">
        <v>675</v>
      </c>
      <c r="B12" s="394" t="s">
        <v>803</v>
      </c>
      <c r="C12" s="394" t="s">
        <v>823</v>
      </c>
      <c r="E12" s="395" t="n">
        <f aca="true">OFFSET(E12,0,-1)+1</f>
        <v>1</v>
      </c>
      <c r="G12" s="395" t="n">
        <f aca="true">OFFSET(G12,0,-1)+1</f>
        <v>1</v>
      </c>
      <c r="H12" s="395" t="n">
        <f aca="true">OFFSET(H12,0,-1)+1</f>
        <v>2</v>
      </c>
      <c r="I12" s="395" t="n">
        <f aca="true">OFFSET(I12,0,-1)+1</f>
        <v>3</v>
      </c>
      <c r="J12" s="395" t="n">
        <f aca="true">OFFSET(J12,0,-1)+1</f>
        <v>4</v>
      </c>
      <c r="K12" s="395" t="n">
        <f aca="true">OFFSET(K12,0,-1)+1</f>
        <v>5</v>
      </c>
      <c r="L12" s="395" t="n">
        <f aca="true">OFFSET(L12,0,-1)+1</f>
        <v>6</v>
      </c>
      <c r="M12" s="395" t="n">
        <f aca="true">OFFSET(M12,0,-1)+1</f>
        <v>7</v>
      </c>
      <c r="N12" s="395" t="n">
        <f aca="true">OFFSET(N12,0,-1)+1</f>
        <v>8</v>
      </c>
      <c r="O12" s="395" t="n">
        <f aca="true">OFFSET(O12,0,-1)+1</f>
        <v>9</v>
      </c>
      <c r="P12" s="395" t="n">
        <f aca="true">OFFSET(P12,0,-1)+1</f>
        <v>10</v>
      </c>
      <c r="Q12" s="395" t="n">
        <f aca="true">OFFSET(Q12,0,-1)+1</f>
        <v>11</v>
      </c>
      <c r="R12" s="395" t="n">
        <f aca="true">OFFSET(R12,0,-1)+1</f>
        <v>12</v>
      </c>
      <c r="S12" s="395" t="n">
        <f aca="true">OFFSET(S12,0,-1)+1</f>
        <v>13</v>
      </c>
      <c r="T12" s="395" t="n">
        <f aca="true">OFFSET(T12,0,-1)+1</f>
        <v>14</v>
      </c>
      <c r="U12" s="395" t="n">
        <f aca="true">OFFSET(U12,0,-1)+1</f>
        <v>15</v>
      </c>
      <c r="V12" s="395" t="n">
        <f aca="true">OFFSET(V12,0,-1)+1</f>
        <v>16</v>
      </c>
      <c r="W12" s="395" t="n">
        <f aca="true">OFFSET(W12,0,-1)+1</f>
        <v>17</v>
      </c>
      <c r="X12" s="395" t="n">
        <f aca="true">OFFSET(X12,0,-1)+1</f>
        <v>18</v>
      </c>
      <c r="Y12" s="395" t="n">
        <f aca="true">OFFSET(Y12,0,-1)+1</f>
        <v>19</v>
      </c>
      <c r="Z12" s="395" t="n">
        <f aca="true">OFFSET(Z12,0,-1)+1</f>
        <v>20</v>
      </c>
      <c r="AA12" s="395" t="n">
        <f aca="true">OFFSET(AA12,0,-1)+1</f>
        <v>21</v>
      </c>
      <c r="AB12" s="395" t="n">
        <f aca="true">OFFSET(AB12,0,-1)+1</f>
        <v>22</v>
      </c>
      <c r="AC12" s="395" t="n">
        <f aca="true">OFFSET(AC12,0,-1)+1</f>
        <v>23</v>
      </c>
      <c r="AD12" s="395" t="n">
        <f aca="true">OFFSET(AD12,0,-1)+1</f>
        <v>24</v>
      </c>
      <c r="AE12" s="395" t="n">
        <f aca="true">OFFSET(AE12,0,-1)+1</f>
        <v>25</v>
      </c>
    </row>
    <row r="13" customFormat="false" ht="12.75" hidden="false" customHeight="false" outlineLevel="0" collapsed="false">
      <c r="A13" s="396" t="s">
        <v>670</v>
      </c>
      <c r="B13" s="394"/>
      <c r="C13" s="394"/>
      <c r="E13" s="397"/>
      <c r="G13" s="398"/>
      <c r="H13" s="397"/>
      <c r="I13" s="397"/>
      <c r="J13" s="397"/>
      <c r="K13" s="397"/>
      <c r="L13" s="397"/>
      <c r="M13" s="399" t="str">
        <f aca="false">IF(CRONOPLE.Erro="ERRO: CRONOGRAMA NÃO FECHA 100%","Informe abaixo o NÚMERO DO PERÍODO em que os eventos serão concluídos","")</f>
        <v/>
      </c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397"/>
      <c r="AE13" s="400"/>
    </row>
    <row r="14" customFormat="false" ht="4.5" hidden="false" customHeight="true" outlineLevel="0" collapsed="false">
      <c r="A14" s="49" t="s">
        <v>551</v>
      </c>
    </row>
    <row r="15" customFormat="false" ht="12.75" hidden="false" customHeight="false" outlineLevel="0" collapsed="false">
      <c r="A15" s="49" t="str">
        <f aca="false">IF(AUTOEVENTO="Manual",IF(EVENTOS!$F15&gt;0,"F",""),IF(CRONOPLE!B15&lt;=MAX(CÁLCULO!$M$15:$M$40),"F",""))</f>
        <v>F</v>
      </c>
      <c r="B15" s="401" t="n">
        <f aca="false">EVENTOS!$C$15</f>
        <v>0</v>
      </c>
      <c r="C15" s="402" t="str">
        <f aca="false">EVENTOS!$D$15</f>
        <v/>
      </c>
      <c r="D15" s="382"/>
      <c r="E15" s="403"/>
      <c r="F15" s="1" t="str">
        <f aca="false">IF($C15="","",CONCATENATE($B15,". ",$C15))</f>
        <v/>
      </c>
      <c r="G15" s="404" t="str">
        <f aca="false">IF(AUTOEVENTO="MANUAL","A administração local será proporcional a execução dos demais eventos, independente de frentes de obra.","Para aplicação de Adm. Local é necessário definir os eventos manualmente.")</f>
        <v>Para aplicação de Adm. Local é necessário definir os eventos manualmente.</v>
      </c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5"/>
    </row>
    <row r="16" s="1" customFormat="true" ht="12.75" hidden="false" customHeight="false" outlineLevel="0" collapsed="false">
      <c r="A16" s="49" t="str">
        <f aca="false">IF(AUTOEVENTO="Manual",IF(EVENTOS!$F16&gt;0,"F",""),IF(CRONOPLE!B16&lt;=MAX(CÁLCULO!$M$15:$M$40),"F",""))</f>
        <v>F</v>
      </c>
      <c r="B16" s="380" t="n">
        <f aca="true">OFFSET(B16,-1,0)+1</f>
        <v>1</v>
      </c>
      <c r="C16" s="381" t="str">
        <f aca="true">IF(AUTOEVENTO="Manual",IF($B16&gt;0,OFFSET(EVENTOS!$D$15,$B16-$B$15,0),0),IF(B16&lt;=MAX(CÁLCULO!$M$15:$M$40),VLOOKUP($B16,CÁLCULO!$M$15:$N$40,2,FALSE()),0))</f>
        <v>ADMINISTRAÇÃO LOCAL</v>
      </c>
      <c r="D16" s="382"/>
      <c r="E16" s="383"/>
      <c r="F16" s="1" t="str">
        <f aca="false">IF($C16=0,"",CONCATENATE($B16,". ",$C16))</f>
        <v>1. ADMINISTRAÇÃO LOCAL</v>
      </c>
      <c r="G16" s="384"/>
      <c r="H16" s="384"/>
      <c r="I16" s="384"/>
      <c r="J16" s="384"/>
      <c r="K16" s="384"/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384"/>
      <c r="Y16" s="384"/>
      <c r="Z16" s="384"/>
      <c r="AA16" s="384"/>
      <c r="AB16" s="384"/>
      <c r="AC16" s="384"/>
      <c r="AD16" s="384"/>
      <c r="AE16" s="384"/>
    </row>
    <row r="17" s="1" customFormat="true" ht="12.75" hidden="false" customHeight="false" outlineLevel="0" collapsed="false">
      <c r="A17" s="49" t="str">
        <f aca="false">IF(AUTOEVENTO="Manual",IF(EVENTOS!$F17&gt;0,"F",""),IF(CRONOPLE!B17&lt;=MAX(CÁLCULO!$M$15:$M$40),"F",""))</f>
        <v>F</v>
      </c>
      <c r="B17" s="380" t="n">
        <f aca="true">OFFSET(B17,-1,0)+1</f>
        <v>2</v>
      </c>
      <c r="C17" s="381" t="str">
        <f aca="true">IF(AUTOEVENTO="Manual",IF($B17&gt;0,OFFSET(EVENTOS!$D$15,$B17-$B$15,0),0),IF(B17&lt;=MAX(CÁLCULO!$M$15:$M$40),VLOOKUP($B17,CÁLCULO!$M$15:$N$40,2,FALSE()),0))</f>
        <v>SERVIÇOS PRELIMINARES</v>
      </c>
      <c r="D17" s="382"/>
      <c r="E17" s="383"/>
      <c r="F17" s="1" t="str">
        <f aca="false">IF($C17=0,"",CONCATENATE($B17,". ",$C17))</f>
        <v>2. SERVIÇOS PRELIMINARES</v>
      </c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4"/>
      <c r="X17" s="384"/>
      <c r="Y17" s="384"/>
      <c r="Z17" s="384"/>
      <c r="AA17" s="384"/>
      <c r="AB17" s="384"/>
      <c r="AC17" s="384"/>
      <c r="AD17" s="384"/>
      <c r="AE17" s="384"/>
    </row>
    <row r="18" s="1" customFormat="true" ht="12.75" hidden="false" customHeight="false" outlineLevel="0" collapsed="false">
      <c r="A18" s="49" t="str">
        <f aca="false">IF(AUTOEVENTO="Manual",IF(EVENTOS!$F18&gt;0,"F",""),IF(CRONOPLE!B18&lt;=MAX(CÁLCULO!$M$15:$M$40),"F",""))</f>
        <v>F</v>
      </c>
      <c r="B18" s="380" t="n">
        <f aca="true">OFFSET(B18,-1,0)+1</f>
        <v>3</v>
      </c>
      <c r="C18" s="381" t="str">
        <f aca="true">IF(AUTOEVENTO="Manual",IF($B18&gt;0,OFFSET(EVENTOS!$D$15,$B18-$B$15,0),0),IF(B18&lt;=MAX(CÁLCULO!$M$15:$M$40),VLOOKUP($B18,CÁLCULO!$M$15:$N$40,2,FALSE()),0))</f>
        <v>REFORMA DO TELHADO - PARTE B</v>
      </c>
      <c r="D18" s="382"/>
      <c r="E18" s="383"/>
      <c r="F18" s="1" t="str">
        <f aca="false">IF($C18=0,"",CONCATENATE($B18,". ",$C18))</f>
        <v>3. REFORMA DO TELHADO - PARTE B</v>
      </c>
      <c r="G18" s="384"/>
      <c r="H18" s="384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  <c r="AC18" s="384"/>
      <c r="AD18" s="384"/>
      <c r="AE18" s="384"/>
    </row>
    <row r="19" s="1" customFormat="true" ht="12.75" hidden="false" customHeight="false" outlineLevel="0" collapsed="false">
      <c r="A19" s="49" t="str">
        <f aca="false">IF(AUTOEVENTO="Manual",IF(EVENTOS!$F19&gt;0,"F",""),IF(CRONOPLE!B19&lt;=MAX(CÁLCULO!$M$15:$M$40),"F",""))</f>
        <v/>
      </c>
      <c r="B19" s="380" t="n">
        <f aca="true">OFFSET(B19,-1,0)+1</f>
        <v>4</v>
      </c>
      <c r="C19" s="381" t="n">
        <f aca="true">IF(AUTOEVENTO="Manual",IF($B19&gt;0,OFFSET(EVENTOS!$D$15,$B19-$B$15,0),0),IF(B19&lt;=MAX(CÁLCULO!$M$15:$M$40),VLOOKUP($B19,CÁLCULO!$M$15:$N$40,2,FALSE()),0))</f>
        <v>0</v>
      </c>
      <c r="D19" s="382"/>
      <c r="E19" s="383"/>
      <c r="F19" s="1" t="str">
        <f aca="false">IF($C19=0,"",CONCATENATE($B19,". ",$C19))</f>
        <v/>
      </c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4"/>
    </row>
    <row r="20" s="1" customFormat="true" ht="12.75" hidden="false" customHeight="false" outlineLevel="0" collapsed="false">
      <c r="A20" s="49" t="str">
        <f aca="false">IF(AUTOEVENTO="Manual",IF(EVENTOS!$F20&gt;0,"F",""),IF(CRONOPLE!B20&lt;=MAX(CÁLCULO!$M$15:$M$40),"F",""))</f>
        <v/>
      </c>
      <c r="B20" s="380" t="n">
        <f aca="true">OFFSET(B20,-1,0)+1</f>
        <v>5</v>
      </c>
      <c r="C20" s="381" t="n">
        <f aca="true">IF(AUTOEVENTO="Manual",IF($B20&gt;0,OFFSET(EVENTOS!$D$15,$B20-$B$15,0),0),IF(B20&lt;=MAX(CÁLCULO!$M$15:$M$40),VLOOKUP($B20,CÁLCULO!$M$15:$N$40,2,FALSE()),0))</f>
        <v>0</v>
      </c>
      <c r="D20" s="382"/>
      <c r="E20" s="383"/>
      <c r="F20" s="1" t="str">
        <f aca="false">IF($C20=0,"",CONCATENATE($B20,". ",$C20))</f>
        <v/>
      </c>
      <c r="G20" s="384"/>
      <c r="H20" s="384"/>
      <c r="I20" s="384"/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</row>
    <row r="21" s="1" customFormat="true" ht="12.75" hidden="false" customHeight="false" outlineLevel="0" collapsed="false">
      <c r="A21" s="49" t="str">
        <f aca="false">IF(AUTOEVENTO="Manual",IF(EVENTOS!$F21&gt;0,"F",""),IF(CRONOPLE!B21&lt;=MAX(CÁLCULO!$M$15:$M$40),"F",""))</f>
        <v/>
      </c>
      <c r="B21" s="380" t="n">
        <f aca="true">OFFSET(B21,-1,0)+1</f>
        <v>6</v>
      </c>
      <c r="C21" s="381" t="n">
        <f aca="true">IF(AUTOEVENTO="Manual",IF($B21&gt;0,OFFSET(EVENTOS!$D$15,$B21-$B$15,0),0),IF(B21&lt;=MAX(CÁLCULO!$M$15:$M$40),VLOOKUP($B21,CÁLCULO!$M$15:$N$40,2,FALSE()),0))</f>
        <v>0</v>
      </c>
      <c r="D21" s="382"/>
      <c r="E21" s="383"/>
      <c r="F21" s="1" t="str">
        <f aca="false">IF($C21=0,"",CONCATENATE($B21,". ",$C21))</f>
        <v/>
      </c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/>
      <c r="AE21" s="384"/>
    </row>
    <row r="22" customFormat="false" ht="4.5" hidden="false" customHeight="true" outlineLevel="0" collapsed="false">
      <c r="B22" s="406"/>
      <c r="C22" s="407"/>
      <c r="D22" s="408"/>
      <c r="E22" s="409"/>
      <c r="F22" s="409"/>
      <c r="G22" s="406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  <c r="T22" s="410"/>
      <c r="U22" s="410"/>
      <c r="V22" s="410"/>
      <c r="W22" s="410"/>
      <c r="X22" s="410"/>
      <c r="Y22" s="410"/>
      <c r="Z22" s="410"/>
      <c r="AA22" s="410"/>
      <c r="AB22" s="410"/>
      <c r="AC22" s="410"/>
      <c r="AD22" s="410"/>
      <c r="AE22" s="407"/>
    </row>
    <row r="23" customFormat="false" ht="6" hidden="false" customHeight="true" outlineLevel="0" collapsed="false">
      <c r="A23" s="49" t="s">
        <v>551</v>
      </c>
    </row>
    <row r="24" customFormat="false" ht="15" hidden="false" customHeight="false" outlineLevel="0" collapsed="false">
      <c r="A24" s="49" t="s">
        <v>551</v>
      </c>
      <c r="C24" s="411" t="s">
        <v>824</v>
      </c>
      <c r="H24" s="412" t="n">
        <f aca="false">(ROW($G24)-ROW($G$24))/8*12+1</f>
        <v>1</v>
      </c>
      <c r="I24" s="412"/>
      <c r="J24" s="412" t="n">
        <f aca="false">H24+1</f>
        <v>2</v>
      </c>
      <c r="K24" s="412"/>
      <c r="L24" s="412" t="n">
        <f aca="false">J24+1</f>
        <v>3</v>
      </c>
      <c r="M24" s="412"/>
      <c r="N24" s="412" t="n">
        <f aca="false">L24+1</f>
        <v>4</v>
      </c>
      <c r="O24" s="412"/>
      <c r="P24" s="412" t="n">
        <f aca="false">N24+1</f>
        <v>5</v>
      </c>
      <c r="Q24" s="412"/>
      <c r="R24" s="412" t="n">
        <f aca="false">P24+1</f>
        <v>6</v>
      </c>
      <c r="S24" s="412"/>
      <c r="T24" s="412" t="n">
        <f aca="false">R24+1</f>
        <v>7</v>
      </c>
      <c r="U24" s="412"/>
      <c r="V24" s="412" t="n">
        <f aca="false">T24+1</f>
        <v>8</v>
      </c>
      <c r="W24" s="412"/>
      <c r="X24" s="412" t="n">
        <f aca="false">V24+1</f>
        <v>9</v>
      </c>
      <c r="Y24" s="412"/>
      <c r="Z24" s="412" t="n">
        <f aca="false">X24+1</f>
        <v>10</v>
      </c>
      <c r="AA24" s="412"/>
      <c r="AB24" s="412" t="n">
        <f aca="false">Z24+1</f>
        <v>11</v>
      </c>
      <c r="AC24" s="412"/>
      <c r="AD24" s="412" t="n">
        <f aca="false">AB24+1</f>
        <v>12</v>
      </c>
      <c r="AE24" s="412"/>
    </row>
    <row r="25" customFormat="false" ht="12.75" hidden="false" customHeight="true" outlineLevel="0" collapsed="false">
      <c r="A25" s="49" t="s">
        <v>551</v>
      </c>
      <c r="C25" s="413" t="s">
        <v>825</v>
      </c>
      <c r="G25" s="414" t="s">
        <v>826</v>
      </c>
      <c r="H25" s="415" t="n">
        <f aca="true">OFFSET(CRONO!$T$45,0,CRONOPLE!H24)</f>
        <v>0.49999917648154</v>
      </c>
      <c r="I25" s="415"/>
      <c r="J25" s="415" t="n">
        <f aca="true">OFFSET(CRONO!$T$45,0,CRONOPLE!J24)</f>
        <v>0.500001442006877</v>
      </c>
      <c r="K25" s="415"/>
      <c r="L25" s="415" t="n">
        <f aca="true">OFFSET(CRONO!$T$45,0,CRONOPLE!L24)</f>
        <v>0</v>
      </c>
      <c r="M25" s="415"/>
      <c r="N25" s="415" t="n">
        <f aca="true">OFFSET(CRONO!$T$45,0,CRONOPLE!N24)</f>
        <v>0</v>
      </c>
      <c r="O25" s="415"/>
      <c r="P25" s="415" t="n">
        <f aca="true">OFFSET(CRONO!$T$45,0,CRONOPLE!P24)</f>
        <v>0</v>
      </c>
      <c r="Q25" s="415"/>
      <c r="R25" s="415" t="n">
        <f aca="true">OFFSET(CRONO!$T$45,0,CRONOPLE!R24)</f>
        <v>0</v>
      </c>
      <c r="S25" s="415"/>
      <c r="T25" s="415" t="n">
        <f aca="true">OFFSET(CRONO!$T$45,0,CRONOPLE!T24)</f>
        <v>0</v>
      </c>
      <c r="U25" s="415"/>
      <c r="V25" s="415" t="n">
        <f aca="true">OFFSET(CRONO!$T$45,0,CRONOPLE!V24)</f>
        <v>0</v>
      </c>
      <c r="W25" s="415"/>
      <c r="X25" s="415" t="n">
        <f aca="true">OFFSET(CRONO!$T$45,0,CRONOPLE!X24)</f>
        <v>0</v>
      </c>
      <c r="Y25" s="415"/>
      <c r="Z25" s="415" t="n">
        <f aca="true">OFFSET(CRONO!$T$45,0,CRONOPLE!Z24)</f>
        <v>0</v>
      </c>
      <c r="AA25" s="415"/>
      <c r="AB25" s="415" t="n">
        <f aca="true">OFFSET(CRONO!$T$45,0,CRONOPLE!AB24)</f>
        <v>0</v>
      </c>
      <c r="AC25" s="415"/>
      <c r="AD25" s="415" t="n">
        <f aca="true">OFFSET(CRONO!$T$45,0,CRONOPLE!AD24)</f>
        <v>0</v>
      </c>
      <c r="AE25" s="415"/>
    </row>
    <row r="26" customFormat="false" ht="12.75" hidden="false" customHeight="true" outlineLevel="0" collapsed="false">
      <c r="A26" s="49" t="s">
        <v>551</v>
      </c>
      <c r="C26" s="413"/>
      <c r="G26" s="416" t="s">
        <v>827</v>
      </c>
      <c r="H26" s="417" t="n">
        <f aca="true">OFFSET(CRONO!$T$49,0,CRONOPLE!H24)</f>
        <v>2206.99</v>
      </c>
      <c r="I26" s="417"/>
      <c r="J26" s="417" t="n">
        <f aca="true">OFFSET(CRONO!$T$49,0,CRONOPLE!J24)</f>
        <v>2207</v>
      </c>
      <c r="K26" s="417"/>
      <c r="L26" s="417" t="n">
        <f aca="true">OFFSET(CRONO!$T$49,0,CRONOPLE!L24)</f>
        <v>0</v>
      </c>
      <c r="M26" s="417"/>
      <c r="N26" s="417" t="n">
        <f aca="true">OFFSET(CRONO!$T$49,0,CRONOPLE!N24)</f>
        <v>0</v>
      </c>
      <c r="O26" s="417"/>
      <c r="P26" s="417" t="n">
        <f aca="true">OFFSET(CRONO!$T$49,0,CRONOPLE!P24)</f>
        <v>0</v>
      </c>
      <c r="Q26" s="417"/>
      <c r="R26" s="417" t="n">
        <f aca="true">OFFSET(CRONO!$T$49,0,CRONOPLE!R24)</f>
        <v>0</v>
      </c>
      <c r="S26" s="417"/>
      <c r="T26" s="417" t="n">
        <f aca="true">OFFSET(CRONO!$T$49,0,CRONOPLE!T24)</f>
        <v>0</v>
      </c>
      <c r="U26" s="417"/>
      <c r="V26" s="417" t="n">
        <f aca="true">OFFSET(CRONO!$T$49,0,CRONOPLE!V24)</f>
        <v>0</v>
      </c>
      <c r="W26" s="417"/>
      <c r="X26" s="417" t="n">
        <f aca="true">OFFSET(CRONO!$T$49,0,CRONOPLE!X24)</f>
        <v>0</v>
      </c>
      <c r="Y26" s="417"/>
      <c r="Z26" s="417" t="n">
        <f aca="true">OFFSET(CRONO!$T$49,0,CRONOPLE!Z24)</f>
        <v>0</v>
      </c>
      <c r="AA26" s="417"/>
      <c r="AB26" s="417" t="n">
        <f aca="true">OFFSET(CRONO!$T$49,0,CRONOPLE!AB24)</f>
        <v>0</v>
      </c>
      <c r="AC26" s="417"/>
      <c r="AD26" s="417" t="n">
        <f aca="true">OFFSET(CRONO!$T$49,0,CRONOPLE!AD24)</f>
        <v>0</v>
      </c>
      <c r="AE26" s="417"/>
    </row>
    <row r="27" customFormat="false" ht="12.75" hidden="false" customHeight="true" outlineLevel="0" collapsed="false">
      <c r="A27" s="49" t="s">
        <v>551</v>
      </c>
      <c r="C27" s="418" t="s">
        <v>828</v>
      </c>
      <c r="G27" s="414" t="s">
        <v>826</v>
      </c>
      <c r="H27" s="415" t="n">
        <f aca="true">OFFSET(CRONO!$T$50,0,CRONOPLE!H24)</f>
        <v>0.49999917648154</v>
      </c>
      <c r="I27" s="415"/>
      <c r="J27" s="415" t="n">
        <f aca="true">OFFSET(CRONO!$T$50,0,CRONOPLE!J24)</f>
        <v>1.00000061848842</v>
      </c>
      <c r="K27" s="415"/>
      <c r="L27" s="415" t="n">
        <f aca="true">OFFSET(CRONO!$T$50,0,CRONOPLE!L24)</f>
        <v>1.00000061848842</v>
      </c>
      <c r="M27" s="415"/>
      <c r="N27" s="415" t="n">
        <f aca="true">OFFSET(CRONO!$T$50,0,CRONOPLE!N24)</f>
        <v>1.00000061848842</v>
      </c>
      <c r="O27" s="415"/>
      <c r="P27" s="415" t="n">
        <f aca="true">OFFSET(CRONO!$T$50,0,CRONOPLE!P24)</f>
        <v>1.00000061848842</v>
      </c>
      <c r="Q27" s="415"/>
      <c r="R27" s="415" t="n">
        <f aca="true">OFFSET(CRONO!$T$50,0,CRONOPLE!R24)</f>
        <v>1.00000061848842</v>
      </c>
      <c r="S27" s="415"/>
      <c r="T27" s="415" t="n">
        <f aca="true">OFFSET(CRONO!$T$50,0,CRONOPLE!T24)</f>
        <v>1.00000061848842</v>
      </c>
      <c r="U27" s="415"/>
      <c r="V27" s="415" t="n">
        <f aca="true">OFFSET(CRONO!$T$50,0,CRONOPLE!V24)</f>
        <v>1.00000061848842</v>
      </c>
      <c r="W27" s="415"/>
      <c r="X27" s="415" t="n">
        <f aca="true">OFFSET(CRONO!$T$50,0,CRONOPLE!X24)</f>
        <v>1.00000061848842</v>
      </c>
      <c r="Y27" s="415"/>
      <c r="Z27" s="415" t="n">
        <f aca="true">OFFSET(CRONO!$T$50,0,CRONOPLE!Z24)</f>
        <v>1.00000061848842</v>
      </c>
      <c r="AA27" s="415"/>
      <c r="AB27" s="415" t="n">
        <f aca="true">OFFSET(CRONO!$T$50,0,CRONOPLE!AB24)</f>
        <v>1.00000061848842</v>
      </c>
      <c r="AC27" s="415"/>
      <c r="AD27" s="415" t="n">
        <f aca="true">OFFSET(CRONO!$T$50,0,CRONOPLE!AD24)</f>
        <v>1.00000061848842</v>
      </c>
      <c r="AE27" s="415"/>
    </row>
    <row r="28" customFormat="false" ht="12.75" hidden="false" customHeight="true" outlineLevel="0" collapsed="false">
      <c r="A28" s="49" t="s">
        <v>551</v>
      </c>
      <c r="C28" s="418"/>
      <c r="G28" s="416" t="s">
        <v>827</v>
      </c>
      <c r="H28" s="419" t="n">
        <f aca="true">OFFSET(CRONO!$T$54,0,CRONOPLE!H24)</f>
        <v>2206.993635</v>
      </c>
      <c r="I28" s="419"/>
      <c r="J28" s="419" t="n">
        <f aca="true">OFFSET(CRONO!$T$54,0,CRONOPLE!J24)</f>
        <v>4413.98727</v>
      </c>
      <c r="K28" s="419"/>
      <c r="L28" s="419" t="n">
        <f aca="true">OFFSET(CRONO!$T$54,0,CRONOPLE!L24)</f>
        <v>4413.98727</v>
      </c>
      <c r="M28" s="419"/>
      <c r="N28" s="419" t="n">
        <f aca="true">OFFSET(CRONO!$T$54,0,CRONOPLE!N24)</f>
        <v>4413.98727</v>
      </c>
      <c r="O28" s="419"/>
      <c r="P28" s="419" t="n">
        <f aca="true">OFFSET(CRONO!$T$54,0,CRONOPLE!P24)</f>
        <v>4413.98727</v>
      </c>
      <c r="Q28" s="419"/>
      <c r="R28" s="419" t="n">
        <f aca="true">OFFSET(CRONO!$T$54,0,CRONOPLE!R24)</f>
        <v>4413.98727</v>
      </c>
      <c r="S28" s="419"/>
      <c r="T28" s="419" t="n">
        <f aca="true">OFFSET(CRONO!$T$54,0,CRONOPLE!T24)</f>
        <v>4413.98727</v>
      </c>
      <c r="U28" s="419"/>
      <c r="V28" s="419" t="n">
        <f aca="true">OFFSET(CRONO!$T$54,0,CRONOPLE!V24)</f>
        <v>4413.98727</v>
      </c>
      <c r="W28" s="419"/>
      <c r="X28" s="419" t="n">
        <f aca="true">OFFSET(CRONO!$T$54,0,CRONOPLE!X24)</f>
        <v>4413.98727</v>
      </c>
      <c r="Y28" s="419"/>
      <c r="Z28" s="419" t="n">
        <f aca="true">OFFSET(CRONO!$T$54,0,CRONOPLE!Z24)</f>
        <v>4413.98727</v>
      </c>
      <c r="AA28" s="419"/>
      <c r="AB28" s="419" t="n">
        <f aca="true">OFFSET(CRONO!$T$54,0,CRONOPLE!AB24)</f>
        <v>4413.98727</v>
      </c>
      <c r="AC28" s="419"/>
      <c r="AD28" s="419" t="n">
        <f aca="true">OFFSET(CRONO!$T$54,0,CRONOPLE!AD24)</f>
        <v>4413.98727</v>
      </c>
      <c r="AE28" s="419"/>
    </row>
    <row r="29" customFormat="false" ht="12.75" hidden="false" customHeight="true" outlineLevel="0" collapsed="false">
      <c r="A29" s="49" t="s">
        <v>551</v>
      </c>
      <c r="C29" s="420" t="s">
        <v>829</v>
      </c>
      <c r="D29" s="421"/>
      <c r="G29" s="414" t="s">
        <v>826</v>
      </c>
      <c r="H29" s="415" t="str">
        <f aca="true">OFFSET(CRONO!$T$55,0,CRONOPLE!H24)</f>
        <v/>
      </c>
      <c r="I29" s="415"/>
      <c r="J29" s="422" t="str">
        <f aca="true">OFFSET(CRONO!$T$55,0,CRONOPLE!J24)</f>
        <v/>
      </c>
      <c r="K29" s="422"/>
      <c r="L29" s="422" t="str">
        <f aca="true">OFFSET(CRONO!$T$55,0,CRONOPLE!L24)</f>
        <v/>
      </c>
      <c r="M29" s="422"/>
      <c r="N29" s="422" t="str">
        <f aca="true">OFFSET(CRONO!$T$55,0,CRONOPLE!N24)</f>
        <v/>
      </c>
      <c r="O29" s="422"/>
      <c r="P29" s="422" t="str">
        <f aca="true">OFFSET(CRONO!$T$55,0,CRONOPLE!P24)</f>
        <v/>
      </c>
      <c r="Q29" s="422"/>
      <c r="R29" s="422" t="str">
        <f aca="true">OFFSET(CRONO!$T$55,0,CRONOPLE!R24)</f>
        <v/>
      </c>
      <c r="S29" s="422"/>
      <c r="T29" s="422" t="str">
        <f aca="true">OFFSET(CRONO!$T$55,0,CRONOPLE!T24)</f>
        <v/>
      </c>
      <c r="U29" s="422"/>
      <c r="V29" s="422" t="str">
        <f aca="true">OFFSET(CRONO!$T$55,0,CRONOPLE!V24)</f>
        <v/>
      </c>
      <c r="W29" s="422"/>
      <c r="X29" s="422" t="str">
        <f aca="true">OFFSET(CRONO!$T$55,0,CRONOPLE!X24)</f>
        <v/>
      </c>
      <c r="Y29" s="422"/>
      <c r="Z29" s="422" t="str">
        <f aca="true">OFFSET(CRONO!$T$55,0,CRONOPLE!Z24)</f>
        <v/>
      </c>
      <c r="AA29" s="422"/>
      <c r="AB29" s="422" t="str">
        <f aca="true">OFFSET(CRONO!$T$55,0,CRONOPLE!AB24)</f>
        <v/>
      </c>
      <c r="AC29" s="422"/>
      <c r="AD29" s="422" t="str">
        <f aca="true">OFFSET(CRONO!$T$55,0,CRONOPLE!AD24)</f>
        <v/>
      </c>
      <c r="AE29" s="422"/>
    </row>
    <row r="30" customFormat="false" ht="15" hidden="false" customHeight="true" outlineLevel="0" collapsed="false">
      <c r="A30" s="49" t="s">
        <v>551</v>
      </c>
      <c r="C30" s="423"/>
      <c r="G30" s="424" t="str">
        <f aca="false">IF(COUNTIF(H30:AF30,"%Adm&gt;%Global")&gt;0,"Verificar proporcionalidade da Administração Local","")</f>
        <v/>
      </c>
      <c r="H30" s="425" t="str">
        <f aca="false">IF(H29="","",IF(ROUND(H29,4)&gt;ROUND(H27,4),"%Adm&gt;%Global",""))</f>
        <v/>
      </c>
      <c r="J30" s="425" t="str">
        <f aca="false">IF(J29="","",IF(ROUND(J29,4)&gt;ROUND(J27,4),"%Adm&gt;%Global",""))</f>
        <v/>
      </c>
      <c r="L30" s="425" t="str">
        <f aca="false">IF(L29="","",IF(ROUND(L29,4)&gt;ROUND(L27,4),"%Adm&gt;%Global",""))</f>
        <v/>
      </c>
      <c r="N30" s="425" t="str">
        <f aca="false">IF(N29="","",IF(ROUND(N29,4)&gt;ROUND(N27,4),"%Adm&gt;%Global",""))</f>
        <v/>
      </c>
      <c r="P30" s="425" t="str">
        <f aca="false">IF(P29="","",IF(ROUND(P29,4)&gt;ROUND(P27,4),"%Adm&gt;%Global",""))</f>
        <v/>
      </c>
      <c r="R30" s="425" t="str">
        <f aca="false">IF(R29="","",IF(ROUND(R29,4)&gt;ROUND(R27,4),"%Adm&gt;%Global",""))</f>
        <v/>
      </c>
      <c r="T30" s="425" t="str">
        <f aca="false">IF(T29="","",IF(ROUND(T29,4)&gt;ROUND(T27,4),"%Adm&gt;%Global",""))</f>
        <v/>
      </c>
      <c r="V30" s="425" t="str">
        <f aca="false">IF(V29="","",IF(ROUND(V29,4)&gt;ROUND(V27,4),"%Adm&gt;%Global",""))</f>
        <v/>
      </c>
      <c r="X30" s="425" t="str">
        <f aca="false">IF(X29="","",IF(ROUND(X29,4)&gt;ROUND(X27,4),"%Adm&gt;%Global",""))</f>
        <v/>
      </c>
      <c r="Z30" s="425" t="str">
        <f aca="false">IF(Z29="","",IF(ROUND(Z29,4)&gt;ROUND(Z27,4),"%Adm&gt;%Global",""))</f>
        <v/>
      </c>
      <c r="AB30" s="425" t="str">
        <f aca="false">IF(AB29="","",IF(ROUND(AB29,4)&gt;ROUND(AB27,4),"%Adm&gt;%Global",""))</f>
        <v/>
      </c>
      <c r="AD30" s="425" t="str">
        <f aca="false">IF(AD29="","",IF(ROUND(AD29,4)&gt;ROUND(AD27,4),"%Adm&gt;%Global",""))</f>
        <v/>
      </c>
    </row>
    <row r="31" customFormat="false" ht="12.75" hidden="false" customHeight="false" outlineLevel="0" collapsed="false">
      <c r="A31" s="49" t="s">
        <v>551</v>
      </c>
    </row>
    <row r="32" customFormat="false" ht="15" hidden="false" customHeight="false" outlineLevel="0" collapsed="false">
      <c r="A32" s="49" t="s">
        <v>551</v>
      </c>
      <c r="B32" s="255" t="str">
        <f aca="false">Import.Município</f>
        <v>CAÇÃPAVA DO SUL</v>
      </c>
      <c r="C32" s="255"/>
      <c r="E32" s="426"/>
      <c r="F32" s="426"/>
      <c r="G32" s="426"/>
      <c r="H32" s="426"/>
      <c r="I32" s="426"/>
      <c r="J32" s="426"/>
      <c r="K32" s="426"/>
      <c r="L32" s="426"/>
      <c r="V32" s="256"/>
      <c r="W32" s="47"/>
      <c r="X32" s="47"/>
      <c r="Y32" s="47"/>
      <c r="Z32" s="47"/>
      <c r="AA32" s="47"/>
      <c r="AB32" s="47"/>
      <c r="AC32" s="47"/>
      <c r="AD32" s="47"/>
      <c r="AE32" s="47"/>
    </row>
    <row r="33" customFormat="false" ht="12.75" hidden="false" customHeight="false" outlineLevel="0" collapsed="false">
      <c r="A33" s="49" t="s">
        <v>551</v>
      </c>
      <c r="B33" s="57" t="s">
        <v>709</v>
      </c>
      <c r="F33" s="427"/>
      <c r="G33" s="427"/>
      <c r="H33" s="427"/>
      <c r="I33" s="427"/>
      <c r="J33" s="427"/>
      <c r="K33" s="427"/>
      <c r="L33" s="428"/>
      <c r="V33" s="257" t="s">
        <v>712</v>
      </c>
    </row>
    <row r="34" customFormat="false" ht="12.75" hidden="false" customHeight="false" outlineLevel="0" collapsed="false">
      <c r="A34" s="49" t="s">
        <v>551</v>
      </c>
      <c r="F34" s="427"/>
      <c r="G34" s="427"/>
      <c r="H34" s="427"/>
      <c r="I34" s="427"/>
      <c r="J34" s="427"/>
      <c r="K34" s="427"/>
      <c r="L34" s="428"/>
      <c r="V34" s="303" t="str">
        <f aca="true" t="array" ref="V34:V36">OFFSET(Import.RespOrçamento,0,-1) &amp; " " &amp; Import.RespOrçamento</f>
        <v>Nome: HELMESONA DE OLIVEIRA SANTANA</v>
      </c>
    </row>
    <row r="35" customFormat="false" ht="16.5" hidden="false" customHeight="false" outlineLevel="0" collapsed="false">
      <c r="A35" s="49" t="s">
        <v>551</v>
      </c>
      <c r="B35" s="429" t="n">
        <f aca="false">DADOS!$C$25</f>
        <v>46087</v>
      </c>
      <c r="C35" s="429"/>
      <c r="F35" s="427"/>
      <c r="G35" s="427"/>
      <c r="H35" s="427"/>
      <c r="I35" s="427"/>
      <c r="J35" s="427"/>
      <c r="K35" s="427"/>
      <c r="L35" s="428"/>
      <c r="V35" s="303" t="str">
        <v>CREA/CAU: RS152843</v>
      </c>
    </row>
    <row r="36" customFormat="false" ht="12.75" hidden="false" customHeight="false" outlineLevel="0" collapsed="false">
      <c r="A36" s="49" t="s">
        <v>551</v>
      </c>
      <c r="B36" s="57" t="s">
        <v>710</v>
      </c>
      <c r="F36" s="427"/>
      <c r="G36" s="427"/>
      <c r="H36" s="427"/>
      <c r="I36" s="427"/>
      <c r="J36" s="427"/>
      <c r="K36" s="427"/>
      <c r="L36" s="428"/>
      <c r="V36" s="303" t="str">
        <v>ART/RRT: 8809670</v>
      </c>
    </row>
  </sheetData>
  <sheetProtection sheet="true" password="bd1f" objects="true" scenarios="true" autoFilter="false"/>
  <autoFilter ref="A13:A36"/>
  <mergeCells count="86">
    <mergeCell ref="AC2:AE2"/>
    <mergeCell ref="B4:D4"/>
    <mergeCell ref="G4:I4"/>
    <mergeCell ref="J4:L4"/>
    <mergeCell ref="B5:D5"/>
    <mergeCell ref="G5:I5"/>
    <mergeCell ref="J5:L5"/>
    <mergeCell ref="M5:AE5"/>
    <mergeCell ref="B8:C8"/>
    <mergeCell ref="B12:B13"/>
    <mergeCell ref="C12:C13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C25:C26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C27:C28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B35:C35"/>
  </mergeCells>
  <conditionalFormatting sqref="E16:E21 G16:AE21">
    <cfRule type="expression" priority="2" aboveAverage="0" equalAverage="0" bottom="0" percent="0" rank="0" text="" dxfId="337">
      <formula>IF(OR(E$12&gt;CÁLCULO.NúmeroDeFrentes,ACOMPANHAMENTO="BM"),1,CRONOPLE.ValorDoEvento=0)</formula>
    </cfRule>
  </conditionalFormatting>
  <conditionalFormatting sqref="H29:AE29">
    <cfRule type="expression" priority="3" aboveAverage="0" equalAverage="0" bottom="0" percent="0" rank="0" text="" dxfId="338">
      <formula>ROUND(H29,4)&gt;ROUND(H27,4)</formula>
    </cfRule>
  </conditionalFormatting>
  <conditionalFormatting sqref="J29:AE29">
    <cfRule type="expression" priority="4" aboveAverage="0" equalAverage="0" bottom="0" percent="0" rank="0" text="" dxfId="339">
      <formula>OFFSET(J29,-2,-2)=1</formula>
    </cfRule>
  </conditionalFormatting>
  <conditionalFormatting sqref="B8:C8">
    <cfRule type="expression" priority="5" aboveAverage="0" equalAverage="0" bottom="0" percent="0" rank="0" text="" dxfId="340">
      <formula>$B$7=""</formula>
    </cfRule>
  </conditionalFormatting>
  <conditionalFormatting sqref="B15:C15 E15 G15:AF15">
    <cfRule type="expression" priority="6" aboveAverage="0" equalAverage="0" bottom="0" percent="0" rank="0" text="" dxfId="341">
      <formula>$B$15=0</formula>
    </cfRule>
  </conditionalFormatting>
  <conditionalFormatting sqref="J28:AE28">
    <cfRule type="expression" priority="7" aboveAverage="0" equalAverage="0" bottom="0" percent="0" rank="0" text="" dxfId="342">
      <formula>OFFSET(J28,-1,-2)=1</formula>
    </cfRule>
  </conditionalFormatting>
  <conditionalFormatting sqref="J27:AE27">
    <cfRule type="expression" priority="8" aboveAverage="0" equalAverage="0" bottom="0" percent="0" rank="0" text="" dxfId="343">
      <formula>OFFSET(J27,0,-2)=1</formula>
    </cfRule>
  </conditionalFormatting>
  <conditionalFormatting sqref="J26:AE26">
    <cfRule type="expression" priority="9" aboveAverage="0" equalAverage="0" bottom="0" percent="0" rank="0" text="" dxfId="344">
      <formula>OFFSET(J26,1,-2)=1</formula>
    </cfRule>
  </conditionalFormatting>
  <conditionalFormatting sqref="J25:AE25">
    <cfRule type="expression" priority="10" aboveAverage="0" equalAverage="0" bottom="0" percent="0" rank="0" text="" dxfId="345">
      <formula>OFFSET(J25,2,-2)=1</formula>
    </cfRule>
  </conditionalFormatting>
  <conditionalFormatting sqref="J24:AE24">
    <cfRule type="expression" priority="11" aboveAverage="0" equalAverage="0" bottom="0" percent="0" rank="0" text="" dxfId="346">
      <formula>OFFSET(J24,3,-2)=1</formula>
    </cfRule>
  </conditionalFormatting>
  <conditionalFormatting sqref="U4:Y4">
    <cfRule type="expression" priority="12" aboveAverage="0" equalAverage="0" bottom="0" percent="0" rank="0" text="" dxfId="347">
      <formula>QCI.ExisteManual</formula>
    </cfRule>
  </conditionalFormatting>
  <conditionalFormatting sqref="E1 G1:AE1">
    <cfRule type="expression" priority="13" aboveAverage="0" equalAverage="0" bottom="0" percent="0" rank="0" text="" dxfId="348">
      <formula>IF(OR(E$12&gt;CÁLCULO.NúmeroDeFrentes,ACOMPANHAMENTO="BM"),1,CRONOPLE.ValorDoEvento=0)</formula>
    </cfRule>
  </conditionalFormatting>
  <dataValidations count="2">
    <dataValidation allowBlank="true" errorStyle="stop" operator="greaterThan" showDropDown="false" showErrorMessage="true" showInputMessage="false" sqref="E1:E8 G1:AE1 H2:AB2 JA2:JA6 JD2:JX2 SW2:SW6 SZ2:TT2 ACS2:ACS6 ACV2:ADP2 AMO2:AMO6 AMR2:ANL2 AWK2:AWK6 AWN2:AXH2 BGG2:BGG6 BGJ2:BHD2 BQC2:BQC6 BQF2:BQZ2 BZY2:BZY6 CAB2:CAV2 CJU2:CJU6 CJX2:CKR2 CTQ2:CTQ6 CTT2:CUN2 DDM2:DDM6 DDP2:DEJ2 DNI2:DNI6 DNL2:DOF2 DXE2:DXE6 DXH2:DYB2 EHA2:EHA6 EHD2:EHX2 EQW2:EQW6 EQZ2:ERT2 FAS2:FAS6 FAV2:FBP2 FKO2:FKO6 FKR2:FLL2 FUK2:FUK6 FUN2:FVH2 GEG2:GEG6 GEJ2:GFD2 GOC2:GOC6 GOF2:GOZ2 GXY2:GXY6 GYB2:GYV2 HHU2:HHU6 HHX2:HIR2 HRQ2:HRQ6 HRT2:HSN2 IBM2:IBM6 IBP2:ICJ2 ILI2:ILI6 ILL2:IMF2 IVE2:IVE6 IVH2:IWB2 JFA2:JFA6 JFD2:JFX2 JOW2:JOW6 JOZ2:JPT2 JYS2:JYS6 JYV2:JZP2 KIO2:KIO6 KIR2:KJL2 KSK2:KSK6 KSN2:KTH2 LCG2:LCG6 LCJ2:LDD2 LMC2:LMC6 LMF2:LMZ2 LVY2:LVY6 LWB2:LWV2 MFU2:MFU6 MFX2:MGR2 MPQ2:MPQ6 MPT2:MQN2 MZM2:MZM6 MZP2:NAJ2 NJI2:NJI6 NJL2:NKF2 NTE2:NTE6 NTH2:NUB2 ODA2:ODA6 ODD2:ODX2 OMW2:OMW6 OMZ2:ONT2 OWS2:OWS6 OWV2:OXP2 PGO2:PGO6 PGR2:PHL2 PQK2:PQK6 PQN2:PRH2 QAG2:QAG6 QAJ2:QBD2 QKC2:QKC6 QKF2:QKZ2 QTY2:QTY6 QUB2:QUV2 RDU2:RDU6 RDX2:RER2 RNQ2:RNQ6 RNT2:RON2 RXM2:RXM6 RXP2:RYJ2 SHI2:SHI6 SHL2:SIF2 SRE2:SRE6 SRH2:SSB2 TBA2:TBA6 TBD2:TBX2 TKW2:TKW6 TKZ2:TLT2 TUS2:TUS6 TUV2:TVP2 UEO2:UEO6 UER2:UFL2 UOK2:UOK6 UON2:UPH2 UYG2:UYG6 UYJ2:UZD2 VIC2:VIC6 VIF2:VIZ2 VRY2:VRY6 VSB2:VSV2 WBU2:WBU6 WBX2:WCR2 WLQ2:WLQ6 WLT2:WMN2 WVM2:WVM6 WVP2:WWJ2 G3:AC3 JC3:JY3 SY3:TU3 ACU3:ADQ3 AMQ3:ANM3 AWM3:AXI3 BGI3:BHE3 BQE3:BRA3 CAA3:CAW3 CJW3:CKS3 CTS3:CUO3 DDO3:DEK3 DNK3:DOG3 DXG3:DYC3 EHC3:EHY3 EQY3:ERU3 FAU3:FBQ3 FKQ3:FLM3 FUM3:FVI3 GEI3:GFE3 GOE3:GPA3 GYA3:GYW3 HHW3:HIS3 HRS3:HSO3 IBO3:ICK3 ILK3:IMG3 IVG3:IWC3 JFC3:JFY3 JOY3:JPU3 JYU3:JZQ3 KIQ3:KJM3 KSM3:KTI3 LCI3:LDE3 LME3:LNA3 LWA3:LWW3 MFW3:MGS3 MPS3:MQO3 MZO3:NAK3 NJK3:NKG3 NTG3:NUC3 ODC3:ODY3 OMY3:ONU3 OWU3:OXQ3 PGQ3:PHM3 PQM3:PRI3 QAI3:QBE3 QKE3:QLA3 QUA3:QUW3 RDW3:RES3 RNS3:ROO3 RXO3:RYK3 SHK3:SIG3 SRG3:SSC3 TBC3:TBY3 TKY3:TLU3 TUU3:TVQ3 UEQ3:UFM3 UOM3:UPI3 UYI3:UZE3 VIE3:VJA3 VSA3:VSW3 WBW3:WCS3 WLS3:WMO3 WVO3:WWK3 S4:T4 Z4:AC4 JO4:JP4 JX4:JY4 TK4:TL4 TT4:TU4 ADG4:ADH4 ADP4:ADQ4 ANC4:AND4 ANL4:ANM4 AWY4:AWZ4 AXH4:AXI4 BGU4:BGV4 BHD4:BHE4 BQQ4:BQR4 BQZ4:BRA4 CAM4:CAN4 CAV4:CAW4 CKI4:CKJ4 CKR4:CKS4 CUE4:CUF4 CUN4:CUO4 DEA4:DEB4 DEJ4:DEK4 DNW4:DNX4 DOF4:DOG4 DXS4:DXT4 DYB4:DYC4 EHO4:EHP4 EHX4:EHY4 ERK4:ERL4 ERT4:ERU4 FBG4:FBH4 FBP4:FBQ4 FLC4:FLD4 FLL4:FLM4 FUY4:FUZ4 FVH4:FVI4 GEU4:GEV4 GFD4:GFE4 GOQ4:GOR4 GOZ4:GPA4 GYM4:GYN4 GYV4:GYW4 HII4:HIJ4 HIR4:HIS4 HSE4:HSF4 HSN4:HSO4 ICA4:ICB4 ICJ4:ICK4 ILW4:ILX4 IMF4:IMG4 IVS4:IVT4 IWB4:IWC4 JFO4:JFP4 JFX4:JFY4 JPK4:JPL4 JPT4:JPU4 JZG4:JZH4 JZP4:JZQ4 KJC4:KJD4 KJL4:KJM4 KSY4:KSZ4 KTH4:KTI4 LCU4:LCV4 LDD4:LDE4 LMQ4:LMR4 LMZ4:LNA4 LWM4:LWN4 LWV4:LWW4 MGI4:MGJ4 MGR4:MGS4 MQE4:MQF4 MQN4:MQO4 NAA4:NAB4 NAJ4:NAK4 NJW4:NJX4 NKF4:NKG4 NTS4:NTT4 NUB4:NUC4 ODO4:ODP4 ODX4:ODY4 ONK4:ONL4 ONT4:ONU4 OXG4:OXH4 OXP4:OXQ4 PHC4:PHD4 PHL4:PHM4 PQY4:PQZ4 PRH4:PRI4 QAU4:QAV4 QBD4:QBE4 QKQ4:QKR4 QKZ4:QLA4 QUM4:QUN4 QUV4:QUW4 REI4:REJ4 RER4:RES4 ROE4:ROF4 RON4:ROO4 RYA4:RYB4 RYJ4:RYK4 SHW4:SHX4 SIF4:SIG4 SRS4:SRT4 SSB4:SSC4 TBO4:TBP4 TBX4:TBY4 TLK4:TLL4 TLT4:TLU4 TVG4:TVH4 TVP4:TVQ4 UFC4:UFD4 UFL4:UFM4 UOY4:UOZ4 UPH4:UPI4 UYU4:UYV4 UZD4:UZE4 VIQ4:VIR4 VIZ4:VJA4 VSM4:VSN4 VSV4:VSW4 WCI4:WCJ4 WCR4:WCS4 WME4:WMF4 WMN4:WMO4 WWA4:WWB4 WWJ4:WWK4 G6:AE8 E16:E21 G16:AE21" type="whole">
      <formula1>0</formula1>
      <formula2>0</formula2>
    </dataValidation>
    <dataValidation allowBlank="true" error="Selecione uma opção da lista." errorStyle="stop" errorTitle="Atenção" operator="between" showDropDown="false" showErrorMessage="true" showInputMessage="false" sqref="B8:C8" type="list">
      <formula1>$F$15:$F$22</formula1>
      <formula2>0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0.590277777777778" footer="0.590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&amp;L_&amp;C&amp;14I</oddHeader>
    <oddFooter>&amp;LPMv3.10&amp;R&amp;P /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1:AG61"/>
  <sheetViews>
    <sheetView showFormulas="false" showGridLines="false" showRowColHeaders="true" showZeros="true" rightToLeft="false" tabSelected="true" showOutlineSymbols="true" defaultGridColor="true" view="pageBreakPreview" topLeftCell="A1" colorId="64" zoomScale="90" zoomScaleNormal="100" zoomScalePageLayoutView="90" workbookViewId="0">
      <pane xSplit="20" ySplit="13" topLeftCell="U14" activePane="bottomRight" state="frozen"/>
      <selection pane="topLeft" activeCell="A1" activeCellId="0" sqref="A1"/>
      <selection pane="topRight" activeCell="U1" activeCellId="0" sqref="U1"/>
      <selection pane="bottomLeft" activeCell="A14" activeCellId="0" sqref="A14"/>
      <selection pane="bottomRight" activeCell="A1" activeCellId="0" sqref="A1"/>
    </sheetView>
  </sheetViews>
  <sheetFormatPr defaultColWidth="9.1484375" defaultRowHeight="12.75" zeroHeight="false" outlineLevelRow="0" outlineLevelCol="0"/>
  <cols>
    <col collapsed="false" customWidth="false" hidden="true" outlineLevel="0" max="1" min="1" style="388" width="9.14"/>
    <col collapsed="false" customWidth="false" hidden="true" outlineLevel="0" max="4" min="2" style="427" width="9.14"/>
    <col collapsed="false" customWidth="true" hidden="true" outlineLevel="0" max="5" min="5" style="388" width="11"/>
    <col collapsed="false" customWidth="true" hidden="true" outlineLevel="0" max="6" min="6" style="427" width="19"/>
    <col collapsed="false" customWidth="true" hidden="false" outlineLevel="0" max="7" min="7" style="388" width="3.57"/>
    <col collapsed="false" customWidth="true" hidden="false" outlineLevel="0" max="8" min="8" style="427" width="12.57"/>
    <col collapsed="false" customWidth="true" hidden="false" outlineLevel="0" max="9" min="9" style="388" width="7.16"/>
    <col collapsed="false" customWidth="true" hidden="false" outlineLevel="0" max="10" min="10" style="388" width="11.57"/>
    <col collapsed="false" customWidth="true" hidden="false" outlineLevel="0" max="11" min="11" style="388" width="12"/>
    <col collapsed="false" customWidth="true" hidden="false" outlineLevel="0" max="12" min="12" style="388" width="11"/>
    <col collapsed="false" customWidth="false" hidden="true" outlineLevel="0" max="18" min="13" style="427" width="9.14"/>
    <col collapsed="false" customWidth="true" hidden="false" outlineLevel="0" max="19" min="19" style="428" width="11.43"/>
    <col collapsed="false" customWidth="true" hidden="false" outlineLevel="0" max="20" min="20" style="428" width="9.57"/>
    <col collapsed="false" customWidth="true" hidden="false" outlineLevel="0" max="32" min="21" style="388" width="11"/>
    <col collapsed="false" customWidth="true" hidden="true" outlineLevel="0" max="33" min="33" style="388" width="5.57"/>
    <col collapsed="false" customWidth="false" hidden="false" outlineLevel="0" max="16384" min="34" style="388" width="9.14"/>
  </cols>
  <sheetData>
    <row r="1" customFormat="false" ht="12.75" hidden="true" customHeight="false" outlineLevel="0" collapsed="false">
      <c r="A1" s="388" t="e">
        <f aca="false">IF($M1&gt;1,_xlfn.CONCAT($I1," ",$J1),"")</f>
        <v>#VALUE!</v>
      </c>
      <c r="B1" s="427" t="e">
        <f aca="true">OFFSET(B1,-3,0)+1</f>
        <v>#VALUE!</v>
      </c>
      <c r="C1" s="427" t="e">
        <f aca="true">IF($R1&lt;&gt;2,0,IF($S1=0,1,IF(F2&gt;0,OFFSET(QCI!$M$13,SUBSTITUTE(F2,".",""),0),OFFSET(ORÇAMENTO!$AA$15,CRONO!$F1,0))/$S1))</f>
        <v>#VALUE!</v>
      </c>
      <c r="D1" s="427" t="e">
        <f aca="true">IF($R1&lt;&gt;2,0,IF($S1=0,1,IF(F2&gt;0,OFFSET(QCI!$N$13,SUBSTITUTE(F2,".",""),0),OFFSET(ORÇAMENTO!$AB$15,CRONO!$F1,0))/$S1))</f>
        <v>#VALUE!</v>
      </c>
      <c r="E1" s="430" t="e">
        <f aca="false" t="array" ref="E1:E1">IF(AND($R1=2,ACOMPANHAMENTO="BM"),ROUND(E2,4),E3/$S1)</f>
        <v>#VALUE!</v>
      </c>
      <c r="F1" s="427" t="e">
        <f aca="true">IF(B1&lt;=ORÇAMENTO.MáximoListaCrono,MATCH(B1,ORÇAMENTO.ListaCrono,0),NA())</f>
        <v>#VALUE!</v>
      </c>
      <c r="G1" s="427" t="e">
        <f aca="false">IF(AND($F2&lt;&gt;-1,$S1&gt;0),"F","")</f>
        <v>#VALUE!</v>
      </c>
      <c r="H1" s="431" t="e">
        <f aca="false" t="array" ref="H1:H1">IF(OR(S1=0,S1=""),"Linha",IF(AND(OR(ACOMPANHAMENTO="PLE",$R1&lt;&gt;2),$F2=0),"Linha",ROUND(1-SUM(U1:AG1),4)))</f>
        <v>#VALUE!</v>
      </c>
      <c r="I1" s="432" t="e">
        <f aca="true">IF($F2=0,OFFSET(ORÇAMENTO!O$15,$F1,0),IF($F2&lt;&gt;-1,OFFSET(QCI!$D$13,$F2,0),""))</f>
        <v>#VALUE!</v>
      </c>
      <c r="J1" s="433" t="e">
        <f aca="true">IF($F2=0,OFFSET(ORÇAMENTO!R$15,$F1,0),IF($F2&lt;&gt;-1,OFFSET(QCI!$G$13,$F2,0),""))</f>
        <v>#VALUE!</v>
      </c>
      <c r="K1" s="433"/>
      <c r="L1" s="433"/>
      <c r="M1" s="434" t="e">
        <f aca="true">IF($F2=0,OFFSET(ORÇAMENTO!C$15,$F1,0),1)</f>
        <v>#VALUE!</v>
      </c>
      <c r="N1" s="435" t="e">
        <f aca="true">IF($F2=-1,0,IF(N$13&lt;=$M1,IF(ISERROR(MATCH(N$13,OFFSET($M1,1,0,ROW($M$44)-ROW($M1)-1),0)),ROW($M$44)-ROW($M1)-1,MATCH(N$13,OFFSET($M1,1,0,ROW($M$44)-ROW($M1)-1),0)-1),0))</f>
        <v>#VALUE!</v>
      </c>
      <c r="O1" s="435" t="e">
        <f aca="true">IF($F2=-1,0,IF(O$13&lt;=$M1,IF(ISERROR(MATCH(O$13,OFFSET($M1,1,0,ROW($M$44)-ROW($M1)-1),0)),ROW($M$44)-ROW($M1)-1,MATCH(O$13,OFFSET($M1,1,0,ROW($M$44)-ROW($M1)-1),0)-1),0))</f>
        <v>#VALUE!</v>
      </c>
      <c r="P1" s="435" t="e">
        <f aca="true">IF($F2=-1,0,IF(P$13&lt;=$M1,IF(ISERROR(MATCH(P$13,OFFSET($M1,1,0,ROW($M$44)-ROW($M1)-1),0)),ROW($M$44)-ROW($M1)-1,MATCH(P$13,OFFSET($M1,1,0,ROW($M$44)-ROW($M1)-1),0)-1),0))</f>
        <v>#VALUE!</v>
      </c>
      <c r="Q1" s="435" t="e">
        <f aca="true">IF($F2=-1,0,IF(Q$13&lt;=$M1,IF(ISERROR(MATCH(Q$13,OFFSET($M1,1,0,ROW($M$44)-ROW($M1)-1),0)),ROW($M$44)-ROW($M1)-1,MATCH(Q$13,OFFSET($M1,1,0,ROW($M$44)-ROW($M1)-1),0)-1),0))</f>
        <v>#VALUE!</v>
      </c>
      <c r="R1" s="435" t="e">
        <f aca="true">MIN(OFFSET(M1,0,1,,M1))</f>
        <v>#VALUE!</v>
      </c>
      <c r="S1" s="436" t="e">
        <f aca="true">IF($F2=0,OFFSET(ORÇAMENTO!X$15,$F1,0),IF($F2&lt;&gt;-1,OFFSET(QCI!$O$13,$F2,0),""))</f>
        <v>#VALUE!</v>
      </c>
      <c r="T1" s="437" t="s">
        <v>830</v>
      </c>
      <c r="U1" s="430" t="e">
        <f aca="false" t="array" ref="U1:U1">IF(AND($R1=2,ACOMPANHAMENTO="BM"),ROUND(U2,4),U3/$S1)</f>
        <v>#VALUE!</v>
      </c>
      <c r="V1" s="430" t="e">
        <f aca="false" t="array" ref="V1:V1">IF(AND($R1=2,ACOMPANHAMENTO="BM"),ROUND(V2,4),V3/$S1)</f>
        <v>#VALUE!</v>
      </c>
      <c r="W1" s="430" t="e">
        <f aca="false" t="array" ref="W1:W1">IF(AND($R1=2,ACOMPANHAMENTO="BM"),ROUND(W2,4),W3/$S1)</f>
        <v>#VALUE!</v>
      </c>
      <c r="X1" s="430" t="e">
        <f aca="false" t="array" ref="X1:X1">IF(AND($R1=2,ACOMPANHAMENTO="BM"),ROUND(X2,4),X3/$S1)</f>
        <v>#VALUE!</v>
      </c>
      <c r="Y1" s="430" t="e">
        <f aca="false" t="array" ref="Y1:Y1">IF(AND($R1=2,ACOMPANHAMENTO="BM"),ROUND(Y2,4),Y3/$S1)</f>
        <v>#VALUE!</v>
      </c>
      <c r="Z1" s="430" t="e">
        <f aca="false" t="array" ref="Z1:Z1">IF(AND($R1=2,ACOMPANHAMENTO="BM"),ROUND(Z2,4),Z3/$S1)</f>
        <v>#VALUE!</v>
      </c>
      <c r="AA1" s="430" t="e">
        <f aca="false" t="array" ref="AA1:AA1">IF(AND($R1=2,ACOMPANHAMENTO="BM"),ROUND(AA2,4),AA3/$S1)</f>
        <v>#VALUE!</v>
      </c>
      <c r="AB1" s="430" t="e">
        <f aca="false" t="array" ref="AB1:AB1">IF(AND($R1=2,ACOMPANHAMENTO="BM"),ROUND(AB2,4),AB3/$S1)</f>
        <v>#VALUE!</v>
      </c>
      <c r="AC1" s="430" t="e">
        <f aca="false" t="array" ref="AC1:AC1">IF(AND($R1=2,ACOMPANHAMENTO="BM"),ROUND(AC2,4),AC3/$S1)</f>
        <v>#VALUE!</v>
      </c>
      <c r="AD1" s="430" t="e">
        <f aca="false" t="array" ref="AD1:AD1">IF(AND($R1=2,ACOMPANHAMENTO="BM"),ROUND(AD2,4),AD3/$S1)</f>
        <v>#VALUE!</v>
      </c>
      <c r="AE1" s="430" t="e">
        <f aca="false" t="array" ref="AE1:AE1">IF(AND($R1=2,ACOMPANHAMENTO="BM"),ROUND(AE2,4),AE3/$S1)</f>
        <v>#VALUE!</v>
      </c>
      <c r="AF1" s="430" t="e">
        <f aca="false" t="array" ref="AF1:AF1">IF(AND($R1=2,ACOMPANHAMENTO="BM"),ROUND(AF2,4),AF3/$S1)</f>
        <v>#VALUE!</v>
      </c>
      <c r="AG1" s="438"/>
    </row>
    <row r="2" customFormat="false" ht="12.75" hidden="true" customHeight="true" outlineLevel="0" collapsed="false">
      <c r="E2" s="439"/>
      <c r="F2" s="427" t="e">
        <f aca="true">IF(ISERROR(F1),IF(1+COUNTIF($M$13:OFFSET(M1,-1,0),1)&lt;=MAX(QCI!$D$13:$D$16),1+COUNTIF($M$13:OFFSET(M1,-1,0),1),-1),0)</f>
        <v>#VALUE!</v>
      </c>
      <c r="G2" s="427" t="e">
        <f aca="true" t="array" ref="G2:G2">IF(ACOMPANHAMENTO="BM",OFFSET(G2,-1,0),"")</f>
        <v>#VALUE!</v>
      </c>
      <c r="H2" s="440" t="e">
        <f aca="false" t="array" ref="H2:H2">IF(OR(S1=0,S1=""),"vazia",IF(AND(OR(ACOMPANHAMENTO="PLE",$R1&lt;&gt;2),$F2=0),"calculada","--&gt;"))</f>
        <v>#VALUE!</v>
      </c>
      <c r="I2" s="441"/>
      <c r="J2" s="442" t="e">
        <f aca="false">IF(AND(H1&lt;&gt;0,ISNUMBER(H1)),"PREENCHA ESTA LINHA --&gt;","")</f>
        <v>#VALUE!</v>
      </c>
      <c r="K2" s="442"/>
      <c r="L2" s="442"/>
      <c r="M2" s="443"/>
      <c r="N2" s="443"/>
      <c r="O2" s="443"/>
      <c r="P2" s="443"/>
      <c r="Q2" s="443"/>
      <c r="R2" s="443"/>
      <c r="S2" s="444"/>
      <c r="T2" s="445"/>
      <c r="U2" s="439"/>
      <c r="V2" s="439"/>
      <c r="W2" s="439"/>
      <c r="X2" s="439"/>
      <c r="Y2" s="439"/>
      <c r="Z2" s="439"/>
      <c r="AA2" s="439"/>
      <c r="AB2" s="439"/>
      <c r="AC2" s="439"/>
      <c r="AD2" s="439"/>
      <c r="AE2" s="439"/>
      <c r="AF2" s="439"/>
      <c r="AG2" s="438"/>
    </row>
    <row r="3" customFormat="false" ht="12.75" hidden="true" customHeight="true" outlineLevel="0" collapsed="false">
      <c r="D3" s="446"/>
      <c r="E3" s="447" t="e">
        <f aca="false" t="array" ref="E3:E3">IF($R1=2,
         IF(AND(ACOMPANHAMENTO="PLE",ISNUMBER($F1)),
                SUMIF((OFFSET(CÁLCULO!$AM$15:$AW$15,$F1,0,OFFSET(ORÇAMENTO!$D$15,CRONO!$F1,0))),CRONO!E$12,OFFSET(CÁLCULO!$AB$15:$AL$15,$F1,0,OFFSET(ORÇAMENTO!$D$15,CRONO!$F1,0)))
                +IF(AND($F3&lt;&gt;"",$F3&lt;&gt;0),
                        SUMIF(CÁLCULO!$AM$15:$AW$40,CRONO!E$12,CÁLCULO!$AB$15:$AL$40)/(ORÇAMENTO!$X$15-_xlfn.single(CÁLCULO.TotalAdmLocal))*CRONO!$F3,
                        0),
                 E2*$S1),
          SUMIF(OFFSET($S3,1,0,$R1-2),($M1+1)&amp;"$",OFFSET(E3,1,0,$R1-2)))</f>
        <v>#VALUE!</v>
      </c>
      <c r="F3" s="427" t="e">
        <f aca="true">IF(OR($R1&lt;&gt;2,AUTOEVENTO&lt;&gt;"manual",$F2&gt;0),"",
        IF(Import.TipoArredondamento="Tradicional",
              SUMIF(OFFSET(CÁLCULO!$M$15,CRONO!$F1,0,OFFSET(ORÇAMENTO!$D$15,CRONO!$F1,0)),1,OFFSET(ORÇAMENTO!$X$15,CRONO!$F1,0,OFFSET(ORÇAMENTO!$D$15,CRONO!$F1,0))),
              0))</f>
        <v>#VALUE!</v>
      </c>
      <c r="H3" s="448"/>
      <c r="S3" s="449" t="e">
        <f aca="false">M1&amp;"$"</f>
        <v>#VALUE!</v>
      </c>
      <c r="T3" s="450"/>
      <c r="U3" s="447" t="e">
        <f aca="false" t="array" ref="U3:U3">IF($R1=2,
         IF(AND(ACOMPANHAMENTO="PLE",ISNUMBER($F1)),
                SUMIF((OFFSET(CÁLCULO!$AM$15:$AW$15,$F1,0,OFFSET(ORÇAMENTO!$D$15,CRONO!$F1,0))),CRONO!U$12,OFFSET(CÁLCULO!$AB$15:$AL$15,$F1,0,OFFSET(ORÇAMENTO!$D$15,CRONO!$F1,0)))
                +IF(AND($F3&lt;&gt;"",$F3&lt;&gt;0),
                        SUMIF(CÁLCULO!$AM$15:$AW$40,CRONO!U$12,CÁLCULO!$AB$15:$AL$40)/(ORÇAMENTO!$X$15-_xlfn.single(CÁLCULO.TotalAdmLocal))*CRONO!$F3,
                        0),
                 U2*$S1),
          SUMIF(OFFSET($S3,1,0,$R1-2),($M1+1)&amp;"$",OFFSET(U3,1,0,$R1-2)))</f>
        <v>#VALUE!</v>
      </c>
      <c r="V3" s="447" t="e">
        <f aca="false" t="array" ref="V3:V3">IF($R1=2,
         IF(AND(ACOMPANHAMENTO="PLE",ISNUMBER($F1)),
                SUMIF((OFFSET(CÁLCULO!$AM$15:$AW$15,$F1,0,OFFSET(ORÇAMENTO!$D$15,CRONO!$F1,0))),CRONO!V$12,OFFSET(CÁLCULO!$AB$15:$AL$15,$F1,0,OFFSET(ORÇAMENTO!$D$15,CRONO!$F1,0)))
                +IF(AND($F3&lt;&gt;"",$F3&lt;&gt;0),
                        SUMIF(CÁLCULO!$AM$15:$AW$40,CRONO!V$12,CÁLCULO!$AB$15:$AL$40)/(ORÇAMENTO!$X$15-_xlfn.single(CÁLCULO.TotalAdmLocal))*CRONO!$F3,
                        0),
                 V2*$S1),
          SUMIF(OFFSET($S3,1,0,$R1-2),($M1+1)&amp;"$",OFFSET(V3,1,0,$R1-2)))</f>
        <v>#VALUE!</v>
      </c>
      <c r="W3" s="447" t="e">
        <f aca="false" t="array" ref="W3:W3">IF($R1=2,
         IF(AND(ACOMPANHAMENTO="PLE",ISNUMBER($F1)),
                SUMIF((OFFSET(CÁLCULO!$AM$15:$AW$15,$F1,0,OFFSET(ORÇAMENTO!$D$15,CRONO!$F1,0))),CRONO!W$12,OFFSET(CÁLCULO!$AB$15:$AL$15,$F1,0,OFFSET(ORÇAMENTO!$D$15,CRONO!$F1,0)))
                +IF(AND($F3&lt;&gt;"",$F3&lt;&gt;0),
                        SUMIF(CÁLCULO!$AM$15:$AW$40,CRONO!W$12,CÁLCULO!$AB$15:$AL$40)/(ORÇAMENTO!$X$15-_xlfn.single(CÁLCULO.TotalAdmLocal))*CRONO!$F3,
                        0),
                 W2*$S1),
          SUMIF(OFFSET($S3,1,0,$R1-2),($M1+1)&amp;"$",OFFSET(W3,1,0,$R1-2)))</f>
        <v>#VALUE!</v>
      </c>
      <c r="X3" s="447" t="e">
        <f aca="false" t="array" ref="X3:X3">IF($R1=2,
         IF(AND(ACOMPANHAMENTO="PLE",ISNUMBER($F1)),
                SUMIF((OFFSET(CÁLCULO!$AM$15:$AW$15,$F1,0,OFFSET(ORÇAMENTO!$D$15,CRONO!$F1,0))),CRONO!X$12,OFFSET(CÁLCULO!$AB$15:$AL$15,$F1,0,OFFSET(ORÇAMENTO!$D$15,CRONO!$F1,0)))
                +IF(AND($F3&lt;&gt;"",$F3&lt;&gt;0),
                        SUMIF(CÁLCULO!$AM$15:$AW$40,CRONO!X$12,CÁLCULO!$AB$15:$AL$40)/(ORÇAMENTO!$X$15-_xlfn.single(CÁLCULO.TotalAdmLocal))*CRONO!$F3,
                        0),
                 X2*$S1),
          SUMIF(OFFSET($S3,1,0,$R1-2),($M1+1)&amp;"$",OFFSET(X3,1,0,$R1-2)))</f>
        <v>#VALUE!</v>
      </c>
      <c r="Y3" s="447" t="e">
        <f aca="false" t="array" ref="Y3:Y3">IF($R1=2,
         IF(AND(ACOMPANHAMENTO="PLE",ISNUMBER($F1)),
                SUMIF((OFFSET(CÁLCULO!$AM$15:$AW$15,$F1,0,OFFSET(ORÇAMENTO!$D$15,CRONO!$F1,0))),CRONO!Y$12,OFFSET(CÁLCULO!$AB$15:$AL$15,$F1,0,OFFSET(ORÇAMENTO!$D$15,CRONO!$F1,0)))
                +IF(AND($F3&lt;&gt;"",$F3&lt;&gt;0),
                        SUMIF(CÁLCULO!$AM$15:$AW$40,CRONO!Y$12,CÁLCULO!$AB$15:$AL$40)/(ORÇAMENTO!$X$15-_xlfn.single(CÁLCULO.TotalAdmLocal))*CRONO!$F3,
                        0),
                 Y2*$S1),
          SUMIF(OFFSET($S3,1,0,$R1-2),($M1+1)&amp;"$",OFFSET(Y3,1,0,$R1-2)))</f>
        <v>#VALUE!</v>
      </c>
      <c r="Z3" s="447" t="e">
        <f aca="false" t="array" ref="Z3:Z3">IF($R1=2,
         IF(AND(ACOMPANHAMENTO="PLE",ISNUMBER($F1)),
                SUMIF((OFFSET(CÁLCULO!$AM$15:$AW$15,$F1,0,OFFSET(ORÇAMENTO!$D$15,CRONO!$F1,0))),CRONO!Z$12,OFFSET(CÁLCULO!$AB$15:$AL$15,$F1,0,OFFSET(ORÇAMENTO!$D$15,CRONO!$F1,0)))
                +IF(AND($F3&lt;&gt;"",$F3&lt;&gt;0),
                        SUMIF(CÁLCULO!$AM$15:$AW$40,CRONO!Z$12,CÁLCULO!$AB$15:$AL$40)/(ORÇAMENTO!$X$15-_xlfn.single(CÁLCULO.TotalAdmLocal))*CRONO!$F3,
                        0),
                 Z2*$S1),
          SUMIF(OFFSET($S3,1,0,$R1-2),($M1+1)&amp;"$",OFFSET(Z3,1,0,$R1-2)))</f>
        <v>#VALUE!</v>
      </c>
      <c r="AA3" s="447" t="e">
        <f aca="false" t="array" ref="AA3:AA3">IF($R1=2,
         IF(AND(ACOMPANHAMENTO="PLE",ISNUMBER($F1)),
                SUMIF((OFFSET(CÁLCULO!$AM$15:$AW$15,$F1,0,OFFSET(ORÇAMENTO!$D$15,CRONO!$F1,0))),CRONO!AA$12,OFFSET(CÁLCULO!$AB$15:$AL$15,$F1,0,OFFSET(ORÇAMENTO!$D$15,CRONO!$F1,0)))
                +IF(AND($F3&lt;&gt;"",$F3&lt;&gt;0),
                        SUMIF(CÁLCULO!$AM$15:$AW$40,CRONO!AA$12,CÁLCULO!$AB$15:$AL$40)/(ORÇAMENTO!$X$15-_xlfn.single(CÁLCULO.TotalAdmLocal))*CRONO!$F3,
                        0),
                 AA2*$S1),
          SUMIF(OFFSET($S3,1,0,$R1-2),($M1+1)&amp;"$",OFFSET(AA3,1,0,$R1-2)))</f>
        <v>#VALUE!</v>
      </c>
      <c r="AB3" s="447" t="e">
        <f aca="false" t="array" ref="AB3:AB3">IF($R1=2,
         IF(AND(ACOMPANHAMENTO="PLE",ISNUMBER($F1)),
                SUMIF((OFFSET(CÁLCULO!$AM$15:$AW$15,$F1,0,OFFSET(ORÇAMENTO!$D$15,CRONO!$F1,0))),CRONO!AB$12,OFFSET(CÁLCULO!$AB$15:$AL$15,$F1,0,OFFSET(ORÇAMENTO!$D$15,CRONO!$F1,0)))
                +IF(AND($F3&lt;&gt;"",$F3&lt;&gt;0),
                        SUMIF(CÁLCULO!$AM$15:$AW$40,CRONO!AB$12,CÁLCULO!$AB$15:$AL$40)/(ORÇAMENTO!$X$15-_xlfn.single(CÁLCULO.TotalAdmLocal))*CRONO!$F3,
                        0),
                 AB2*$S1),
          SUMIF(OFFSET($S3,1,0,$R1-2),($M1+1)&amp;"$",OFFSET(AB3,1,0,$R1-2)))</f>
        <v>#VALUE!</v>
      </c>
      <c r="AC3" s="447" t="e">
        <f aca="false" t="array" ref="AC3:AC3">IF($R1=2,
         IF(AND(ACOMPANHAMENTO="PLE",ISNUMBER($F1)),
                SUMIF((OFFSET(CÁLCULO!$AM$15:$AW$15,$F1,0,OFFSET(ORÇAMENTO!$D$15,CRONO!$F1,0))),CRONO!AC$12,OFFSET(CÁLCULO!$AB$15:$AL$15,$F1,0,OFFSET(ORÇAMENTO!$D$15,CRONO!$F1,0)))
                +IF(AND($F3&lt;&gt;"",$F3&lt;&gt;0),
                        SUMIF(CÁLCULO!$AM$15:$AW$40,CRONO!AC$12,CÁLCULO!$AB$15:$AL$40)/(ORÇAMENTO!$X$15-_xlfn.single(CÁLCULO.TotalAdmLocal))*CRONO!$F3,
                        0),
                 AC2*$S1),
          SUMIF(OFFSET($S3,1,0,$R1-2),($M1+1)&amp;"$",OFFSET(AC3,1,0,$R1-2)))</f>
        <v>#VALUE!</v>
      </c>
      <c r="AD3" s="447" t="e">
        <f aca="false" t="array" ref="AD3:AD3">IF($R1=2,
         IF(AND(ACOMPANHAMENTO="PLE",ISNUMBER($F1)),
                SUMIF((OFFSET(CÁLCULO!$AM$15:$AW$15,$F1,0,OFFSET(ORÇAMENTO!$D$15,CRONO!$F1,0))),CRONO!AD$12,OFFSET(CÁLCULO!$AB$15:$AL$15,$F1,0,OFFSET(ORÇAMENTO!$D$15,CRONO!$F1,0)))
                +IF(AND($F3&lt;&gt;"",$F3&lt;&gt;0),
                        SUMIF(CÁLCULO!$AM$15:$AW$40,CRONO!AD$12,CÁLCULO!$AB$15:$AL$40)/(ORÇAMENTO!$X$15-_xlfn.single(CÁLCULO.TotalAdmLocal))*CRONO!$F3,
                        0),
                 AD2*$S1),
          SUMIF(OFFSET($S3,1,0,$R1-2),($M1+1)&amp;"$",OFFSET(AD3,1,0,$R1-2)))</f>
        <v>#VALUE!</v>
      </c>
      <c r="AE3" s="447" t="e">
        <f aca="false" t="array" ref="AE3:AE3">IF($R1=2,
         IF(AND(ACOMPANHAMENTO="PLE",ISNUMBER($F1)),
                SUMIF((OFFSET(CÁLCULO!$AM$15:$AW$15,$F1,0,OFFSET(ORÇAMENTO!$D$15,CRONO!$F1,0))),CRONO!AE$12,OFFSET(CÁLCULO!$AB$15:$AL$15,$F1,0,OFFSET(ORÇAMENTO!$D$15,CRONO!$F1,0)))
                +IF(AND($F3&lt;&gt;"",$F3&lt;&gt;0),
                        SUMIF(CÁLCULO!$AM$15:$AW$40,CRONO!AE$12,CÁLCULO!$AB$15:$AL$40)/(ORÇAMENTO!$X$15-_xlfn.single(CÁLCULO.TotalAdmLocal))*CRONO!$F3,
                        0),
                 AE2*$S1),
          SUMIF(OFFSET($S3,1,0,$R1-2),($M1+1)&amp;"$",OFFSET(AE3,1,0,$R1-2)))</f>
        <v>#VALUE!</v>
      </c>
      <c r="AF3" s="447" t="e">
        <f aca="false" t="array" ref="AF3:AF3">IF($R1=2,
         IF(AND(ACOMPANHAMENTO="PLE",ISNUMBER($F1)),
                SUMIF((OFFSET(CÁLCULO!$AM$15:$AW$15,$F1,0,OFFSET(ORÇAMENTO!$D$15,CRONO!$F1,0))),CRONO!AF$12,OFFSET(CÁLCULO!$AB$15:$AL$15,$F1,0,OFFSET(ORÇAMENTO!$D$15,CRONO!$F1,0)))
                +IF(AND($F3&lt;&gt;"",$F3&lt;&gt;0),
                        SUMIF(CÁLCULO!$AM$15:$AW$40,CRONO!AF$12,CÁLCULO!$AB$15:$AL$40)/(ORÇAMENTO!$X$15-_xlfn.single(CÁLCULO.TotalAdmLocal))*CRONO!$F3,
                        0),
                 AF2*$S1),
          SUMIF(OFFSET($S3,1,0,$R1-2),($M1+1)&amp;"$",OFFSET(AF3,1,0,$R1-2)))</f>
        <v>#VALUE!</v>
      </c>
      <c r="AG3" s="438"/>
    </row>
    <row r="4" customFormat="false" ht="15" hidden="false" customHeight="true" outlineLevel="0" collapsed="false">
      <c r="S4" s="451" t="str">
        <f aca="false">IF(TIPOORCAMENTO="licitado","CFF - CRONOGRAMA FÍSICO-FINANCEIRO LICITADO","CFF - CRONOGRAMA FÍSICO-FINANCEIRO")</f>
        <v>CFF - CRONOGRAMA FÍSICO-FINANCEIRO</v>
      </c>
      <c r="AE4" s="99" t="s">
        <v>659</v>
      </c>
      <c r="AF4" s="99"/>
    </row>
    <row r="5" customFormat="false" ht="15" hidden="false" customHeight="false" outlineLevel="0" collapsed="false">
      <c r="S5" s="159" t="str">
        <f aca="false">import.recurso</f>
        <v>OGU</v>
      </c>
      <c r="AE5" s="102" t="s">
        <v>662</v>
      </c>
      <c r="AF5" s="102"/>
    </row>
    <row r="6" customFormat="false" ht="12.75" hidden="false" customHeight="true" outlineLevel="0" collapsed="false"/>
    <row r="7" customFormat="false" ht="12.75" hidden="false" customHeight="true" outlineLevel="0" collapsed="false">
      <c r="F7" s="452"/>
      <c r="H7" s="453" t="s">
        <v>831</v>
      </c>
      <c r="I7" s="268" t="s">
        <v>665</v>
      </c>
      <c r="J7" s="454"/>
      <c r="K7" s="455" t="s">
        <v>832</v>
      </c>
      <c r="L7" s="456" t="s">
        <v>833</v>
      </c>
      <c r="M7" s="388"/>
      <c r="N7" s="388"/>
      <c r="O7" s="388"/>
      <c r="T7" s="387"/>
      <c r="U7" s="268" t="s">
        <v>800</v>
      </c>
      <c r="Y7" s="454"/>
      <c r="Z7" s="457" t="str">
        <f aca="false">IF(TIPOORCAMENTO="Licitado","NOME DA EMPRESA","DESCRIÇÃO DO LOTE")</f>
        <v>DESCRIÇÃO DO LOTE</v>
      </c>
      <c r="AF7" s="458" t="n">
        <f aca="false">IF(TIPOORCAMENTO="Licitado","Nº CTEF","")</f>
        <v>0</v>
      </c>
    </row>
    <row r="8" customFormat="false" ht="12.75" hidden="false" customHeight="false" outlineLevel="0" collapsed="false">
      <c r="E8" s="427"/>
      <c r="F8" s="199"/>
      <c r="G8" s="105" t="s">
        <v>670</v>
      </c>
      <c r="H8" s="453"/>
      <c r="I8" s="273" t="str">
        <f aca="false">Import.CR</f>
        <v>-</v>
      </c>
      <c r="J8" s="273"/>
      <c r="K8" s="459" t="str">
        <f aca="false">Import.TransfereGOV</f>
        <v>-</v>
      </c>
      <c r="L8" s="460" t="str">
        <f aca="false">Import.Proponente</f>
        <v>PREFEITURA MUNICIPAL DE CAÇAPAVA DO SUL</v>
      </c>
      <c r="M8" s="460"/>
      <c r="N8" s="460"/>
      <c r="O8" s="460"/>
      <c r="P8" s="460"/>
      <c r="Q8" s="460"/>
      <c r="R8" s="460"/>
      <c r="S8" s="460"/>
      <c r="T8" s="460"/>
      <c r="U8" s="273" t="str">
        <f aca="false">Import.Apelido</f>
        <v>EMEF INSTITUTO AUGUSTA MARIA LIMA MARQUES</v>
      </c>
      <c r="V8" s="273"/>
      <c r="W8" s="273"/>
      <c r="X8" s="273"/>
      <c r="Y8" s="273"/>
      <c r="Z8" s="461" t="str">
        <f aca="false">IF(TIPOORCAMENTO="Licitado",Import.empresa,Import.DescLote)</f>
        <v>REFORMA DO TELHADO</v>
      </c>
      <c r="AA8" s="461"/>
      <c r="AB8" s="461"/>
      <c r="AC8" s="461"/>
      <c r="AD8" s="461"/>
      <c r="AE8" s="461"/>
      <c r="AF8" s="462" t="n">
        <f aca="false">IF(TIPOORCAMENTO="Licitado",Import.CTEF,"")</f>
        <v>0</v>
      </c>
    </row>
    <row r="9" customFormat="false" ht="12.75" hidden="false" customHeight="false" outlineLevel="0" collapsed="false">
      <c r="F9" s="199"/>
      <c r="G9" s="105"/>
      <c r="H9" s="453"/>
    </row>
    <row r="10" customFormat="false" ht="12.75" hidden="false" customHeight="false" outlineLevel="0" collapsed="false">
      <c r="F10" s="427" t="n">
        <f aca="true" t="array" ref="F10:F10">CRONO.LinhasNecessarias</f>
        <v>10</v>
      </c>
      <c r="G10" s="105"/>
      <c r="H10" s="463" t="n">
        <v>3</v>
      </c>
      <c r="K10" s="464" t="str">
        <f aca="true" t="array" ref="K10:K10">IF(MAX($B$13:$B$44)&lt;CRONO.LinhasNecessarias,"ERRO: NÚMERO DE LINHAS DO CRONOGRAMA INSUFICIENTE. CLIQUE EM ATUALIZAR LINHAS.",IF(AND(ACOMPANHAMENTO="PLE",ROUND(OFFSET($AG$54,0,-1),2)=0),"CRONOGRAMA DEVE SER PREENCHIDO POR EVENTOS",IF(ROUND(OFFSET($AG$54,0,-1),2)&lt;&gt;$R$45,"ERRO: CRONOGRAMA NÃO FECHA 100%","")))</f>
        <v>ERRO: CRONOGRAMA NÃO FECHA 100%</v>
      </c>
      <c r="L10" s="464"/>
      <c r="M10" s="464"/>
      <c r="N10" s="464"/>
      <c r="O10" s="464"/>
      <c r="P10" s="464"/>
      <c r="Q10" s="464"/>
      <c r="R10" s="464"/>
      <c r="S10" s="464"/>
      <c r="T10" s="464"/>
    </row>
    <row r="11" customFormat="false" ht="12.75" hidden="false" customHeight="true" outlineLevel="0" collapsed="false">
      <c r="F11" s="427" t="e">
        <f aca="false" t="array" ref="F11:F11">CRONO.ParcelaFinal</f>
        <v>#N/A</v>
      </c>
      <c r="G11" s="105"/>
      <c r="I11" s="465"/>
      <c r="J11" s="465"/>
      <c r="K11" s="464"/>
      <c r="L11" s="464"/>
      <c r="M11" s="464"/>
      <c r="N11" s="464"/>
      <c r="O11" s="464"/>
      <c r="P11" s="464"/>
      <c r="Q11" s="464"/>
      <c r="R11" s="464"/>
      <c r="S11" s="464"/>
      <c r="T11" s="464"/>
    </row>
    <row r="12" customFormat="false" ht="12.75" hidden="false" customHeight="true" outlineLevel="0" collapsed="false">
      <c r="A12" s="388" t="s">
        <v>834</v>
      </c>
      <c r="E12" s="466" t="n">
        <f aca="true">OFFSET(E12,0,-1)+1</f>
        <v>1</v>
      </c>
      <c r="G12" s="112" t="s">
        <v>675</v>
      </c>
      <c r="H12" s="467" t="s">
        <v>835</v>
      </c>
      <c r="I12" s="468" t="s">
        <v>752</v>
      </c>
      <c r="J12" s="469" t="s">
        <v>121</v>
      </c>
      <c r="K12" s="470"/>
      <c r="L12" s="470"/>
      <c r="M12" s="471"/>
      <c r="N12" s="471"/>
      <c r="O12" s="471"/>
      <c r="P12" s="471"/>
      <c r="Q12" s="471"/>
      <c r="R12" s="471"/>
      <c r="S12" s="472" t="s">
        <v>836</v>
      </c>
      <c r="T12" s="473" t="s">
        <v>837</v>
      </c>
      <c r="U12" s="474" t="n">
        <v>1</v>
      </c>
      <c r="V12" s="466" t="n">
        <f aca="true">OFFSET(V12,0,-1)+1</f>
        <v>2</v>
      </c>
      <c r="W12" s="466" t="n">
        <f aca="true">OFFSET(W12,0,-1)+1</f>
        <v>3</v>
      </c>
      <c r="X12" s="466" t="n">
        <f aca="true">OFFSET(X12,0,-1)+1</f>
        <v>4</v>
      </c>
      <c r="Y12" s="466" t="n">
        <f aca="true">OFFSET(Y12,0,-1)+1</f>
        <v>5</v>
      </c>
      <c r="Z12" s="466" t="n">
        <f aca="true">OFFSET(Z12,0,-1)+1</f>
        <v>6</v>
      </c>
      <c r="AA12" s="466" t="n">
        <f aca="true">OFFSET(AA12,0,-1)+1</f>
        <v>7</v>
      </c>
      <c r="AB12" s="466" t="n">
        <f aca="true">OFFSET(AB12,0,-1)+1</f>
        <v>8</v>
      </c>
      <c r="AC12" s="466" t="n">
        <f aca="true">OFFSET(AC12,0,-1)+1</f>
        <v>9</v>
      </c>
      <c r="AD12" s="466" t="n">
        <f aca="true">OFFSET(AD12,0,-1)+1</f>
        <v>10</v>
      </c>
      <c r="AE12" s="466" t="n">
        <f aca="true">OFFSET(AE12,0,-1)+1</f>
        <v>11</v>
      </c>
      <c r="AF12" s="475" t="n">
        <f aca="true">OFFSET(AF12,0,-1)+1</f>
        <v>12</v>
      </c>
      <c r="AG12" s="438"/>
    </row>
    <row r="13" customFormat="false" ht="24.75" hidden="false" customHeight="true" outlineLevel="0" collapsed="false">
      <c r="B13" s="476" t="s">
        <v>838</v>
      </c>
      <c r="C13" s="476" t="s">
        <v>471</v>
      </c>
      <c r="D13" s="476" t="s">
        <v>839</v>
      </c>
      <c r="E13" s="477" t="e">
        <f aca="true">OFFSET(E13,0,-1)+41-DAY(OFFSET(E13,0,-1)+40)</f>
        <v>#VALUE!</v>
      </c>
      <c r="F13" s="476" t="s">
        <v>840</v>
      </c>
      <c r="H13" s="467"/>
      <c r="I13" s="468"/>
      <c r="J13" s="469"/>
      <c r="K13" s="478"/>
      <c r="L13" s="478"/>
      <c r="M13" s="479" t="s">
        <v>750</v>
      </c>
      <c r="N13" s="479" t="n">
        <v>1</v>
      </c>
      <c r="O13" s="479" t="n">
        <v>2</v>
      </c>
      <c r="P13" s="479" t="n">
        <v>3</v>
      </c>
      <c r="Q13" s="479" t="n">
        <v>4</v>
      </c>
      <c r="R13" s="480" t="s">
        <v>841</v>
      </c>
      <c r="S13" s="472"/>
      <c r="T13" s="473"/>
      <c r="U13" s="481" t="n">
        <v>45992</v>
      </c>
      <c r="V13" s="477" t="n">
        <f aca="true">OFFSET(V13,0,-1)+41-DAY(OFFSET(V13,0,-1)+40)</f>
        <v>46023</v>
      </c>
      <c r="W13" s="477" t="n">
        <f aca="true">OFFSET(W13,0,-1)+41-DAY(OFFSET(W13,0,-1)+40)</f>
        <v>46054</v>
      </c>
      <c r="X13" s="477" t="n">
        <f aca="true">OFFSET(X13,0,-1)+41-DAY(OFFSET(X13,0,-1)+40)</f>
        <v>46082</v>
      </c>
      <c r="Y13" s="477" t="n">
        <f aca="true">OFFSET(Y13,0,-1)+41-DAY(OFFSET(Y13,0,-1)+40)</f>
        <v>46113</v>
      </c>
      <c r="Z13" s="477" t="n">
        <f aca="true">OFFSET(Z13,0,-1)+41-DAY(OFFSET(Z13,0,-1)+40)</f>
        <v>46143</v>
      </c>
      <c r="AA13" s="477" t="n">
        <f aca="true">OFFSET(AA13,0,-1)+41-DAY(OFFSET(AA13,0,-1)+40)</f>
        <v>46174</v>
      </c>
      <c r="AB13" s="477" t="n">
        <f aca="true">OFFSET(AB13,0,-1)+41-DAY(OFFSET(AB13,0,-1)+40)</f>
        <v>46204</v>
      </c>
      <c r="AC13" s="477" t="n">
        <f aca="true">OFFSET(AC13,0,-1)+41-DAY(OFFSET(AC13,0,-1)+40)</f>
        <v>46235</v>
      </c>
      <c r="AD13" s="477" t="n">
        <f aca="true">OFFSET(AD13,0,-1)+41-DAY(OFFSET(AD13,0,-1)+40)</f>
        <v>46266</v>
      </c>
      <c r="AE13" s="477" t="n">
        <f aca="true">OFFSET(AE13,0,-1)+41-DAY(OFFSET(AE13,0,-1)+40)</f>
        <v>46296</v>
      </c>
      <c r="AF13" s="482" t="n">
        <f aca="true">OFFSET(AF13,0,-1)+41-DAY(OFFSET(AF13,0,-1)+40)</f>
        <v>46327</v>
      </c>
      <c r="AG13" s="438"/>
    </row>
    <row r="14" customFormat="false" ht="12.75" hidden="false" customHeight="false" outlineLevel="0" collapsed="false">
      <c r="A14" s="388" t="str">
        <f aca="false">IF($M14&gt;1,_xlfn.CONCAT($I14," ",$J14),"")</f>
        <v/>
      </c>
      <c r="B14" s="427" t="n">
        <f aca="true">OFFSET(B14,-3,0)+1</f>
        <v>1</v>
      </c>
      <c r="C14" s="427" t="n">
        <f aca="true">IF($R14&lt;&gt;2,0,IF($S14=0,1,IF(F15&gt;0,OFFSET(QCI!$M$13,SUBSTITUTE(F15,".",""),0),OFFSET(ORÇAMENTO!$AA$15,CRONO!$F14,0))/$S14))</f>
        <v>0</v>
      </c>
      <c r="D14" s="427" t="n">
        <f aca="true">IF($R14&lt;&gt;2,0,IF($S14=0,1,IF(F15&gt;0,OFFSET(QCI!$N$13,SUBSTITUTE(F15,".",""),0),OFFSET(ORÇAMENTO!$AB$15,CRONO!$F14,0))/$S14))</f>
        <v>0</v>
      </c>
      <c r="E14" s="430" t="n">
        <f aca="false" t="array" ref="E14:E14">IF(AND($R14=2,ACOMPANHAMENTO="BM"),ROUND(E15,4),E16/$S14)</f>
        <v>0</v>
      </c>
      <c r="F14" s="427" t="n">
        <f aca="true">IF(B14&lt;=ORÇAMENTO.MáximoListaCrono,MATCH(B14,ORÇAMENTO.ListaCrono,0),NA())</f>
        <v>1</v>
      </c>
      <c r="G14" s="427" t="str">
        <f aca="false">IF(AND($F15&lt;&gt;-1,$S14&gt;0),"F","")</f>
        <v>F</v>
      </c>
      <c r="H14" s="431" t="str">
        <f aca="false" t="array" ref="H14:H14">IF(OR(S14=0,S14=""),"Linha",IF(AND(OR(ACOMPANHAMENTO="PLE",$R14&lt;&gt;2),$F15=0),"Linha",ROUND(1-SUM(U14:AG14),4)))</f>
        <v>Linha</v>
      </c>
      <c r="I14" s="432" t="str">
        <f aca="true">IF($F15=0,OFFSET(ORÇAMENTO!O$15,$F14,0),IF($F15&lt;&gt;-1,OFFSET(QCI!$D$13,$F15,0),""))</f>
        <v>1.</v>
      </c>
      <c r="J14" s="433" t="str">
        <f aca="true">IF($F15=0,OFFSET(ORÇAMENTO!R$15,$F14,0),IF($F15&lt;&gt;-1,OFFSET(QCI!$G$13,$F15,0),""))</f>
        <v>REFORMA DO TELHADO</v>
      </c>
      <c r="K14" s="433"/>
      <c r="L14" s="433"/>
      <c r="M14" s="434" t="n">
        <f aca="true">IF($F15=0,OFFSET(ORÇAMENTO!C$15,$F14,0),1)</f>
        <v>1</v>
      </c>
      <c r="N14" s="435" t="n">
        <f aca="true">IF($F15=-1,0,IF(N$13&lt;=$M14,IF(ISERROR(MATCH(N$13,OFFSET($M14,1,0,ROW($M$44)-ROW($M14)-1),0)),ROW($M$44)-ROW($M14)-1,MATCH(N$13,OFFSET($M14,1,0,ROW($M$44)-ROW($M14)-1),0)-1),0))</f>
        <v>29</v>
      </c>
      <c r="O14" s="435" t="n">
        <f aca="true">IF($F15=-1,0,IF(O$13&lt;=$M14,IF(ISERROR(MATCH(O$13,OFFSET($M14,1,0,ROW($M$44)-ROW($M14)-1),0)),ROW($M$44)-ROW($M14)-1,MATCH(O$13,OFFSET($M14,1,0,ROW($M$44)-ROW($M14)-1),0)-1),0))</f>
        <v>0</v>
      </c>
      <c r="P14" s="435" t="n">
        <f aca="true">IF($F15=-1,0,IF(P$13&lt;=$M14,IF(ISERROR(MATCH(P$13,OFFSET($M14,1,0,ROW($M$44)-ROW($M14)-1),0)),ROW($M$44)-ROW($M14)-1,MATCH(P$13,OFFSET($M14,1,0,ROW($M$44)-ROW($M14)-1),0)-1),0))</f>
        <v>0</v>
      </c>
      <c r="Q14" s="435" t="n">
        <f aca="true">IF($F15=-1,0,IF(Q$13&lt;=$M14,IF(ISERROR(MATCH(Q$13,OFFSET($M14,1,0,ROW($M$44)-ROW($M14)-1),0)),ROW($M$44)-ROW($M14)-1,MATCH(Q$13,OFFSET($M14,1,0,ROW($M$44)-ROW($M14)-1),0)-1),0))</f>
        <v>0</v>
      </c>
      <c r="R14" s="435" t="n">
        <f aca="true">MIN(OFFSET(M14,0,1,,M14))</f>
        <v>29</v>
      </c>
      <c r="S14" s="436" t="n">
        <f aca="true">IF($F15=0,OFFSET(ORÇAMENTO!X$15,$F14,0),IF($F15&lt;&gt;-1,OFFSET(QCI!$O$13,$F15,0),""))</f>
        <v>4413.98727</v>
      </c>
      <c r="T14" s="437" t="s">
        <v>830</v>
      </c>
      <c r="U14" s="430" t="n">
        <f aca="false" t="array" ref="U14:U14">IF(AND($R14=2,ACOMPANHAMENTO="BM"),ROUND(U15,4),U16/$S14)</f>
        <v>0.5</v>
      </c>
      <c r="V14" s="430" t="n">
        <f aca="false" t="array" ref="V14:V14">IF(AND($R14=2,ACOMPANHAMENTO="BM"),ROUND(V15,4),V16/$S14)</f>
        <v>0.5</v>
      </c>
      <c r="W14" s="430" t="n">
        <f aca="false" t="array" ref="W14:W14">IF(AND($R14=2,ACOMPANHAMENTO="BM"),ROUND(W15,4),W16/$S14)</f>
        <v>0</v>
      </c>
      <c r="X14" s="430" t="n">
        <f aca="false" t="array" ref="X14:X14">IF(AND($R14=2,ACOMPANHAMENTO="BM"),ROUND(X15,4),X16/$S14)</f>
        <v>0</v>
      </c>
      <c r="Y14" s="430" t="n">
        <f aca="false" t="array" ref="Y14:Y14">IF(AND($R14=2,ACOMPANHAMENTO="BM"),ROUND(Y15,4),Y16/$S14)</f>
        <v>0</v>
      </c>
      <c r="Z14" s="430" t="n">
        <f aca="false" t="array" ref="Z14:Z14">IF(AND($R14=2,ACOMPANHAMENTO="BM"),ROUND(Z15,4),Z16/$S14)</f>
        <v>0</v>
      </c>
      <c r="AA14" s="430" t="n">
        <f aca="false" t="array" ref="AA14:AA14">IF(AND($R14=2,ACOMPANHAMENTO="BM"),ROUND(AA15,4),AA16/$S14)</f>
        <v>0</v>
      </c>
      <c r="AB14" s="430" t="n">
        <f aca="false" t="array" ref="AB14:AB14">IF(AND($R14=2,ACOMPANHAMENTO="BM"),ROUND(AB15,4),AB16/$S14)</f>
        <v>0</v>
      </c>
      <c r="AC14" s="430" t="n">
        <f aca="false" t="array" ref="AC14:AC14">IF(AND($R14=2,ACOMPANHAMENTO="BM"),ROUND(AC15,4),AC16/$S14)</f>
        <v>0</v>
      </c>
      <c r="AD14" s="430" t="n">
        <f aca="false" t="array" ref="AD14:AD14">IF(AND($R14=2,ACOMPANHAMENTO="BM"),ROUND(AD15,4),AD16/$S14)</f>
        <v>0</v>
      </c>
      <c r="AE14" s="430" t="n">
        <f aca="false" t="array" ref="AE14:AE14">IF(AND($R14=2,ACOMPANHAMENTO="BM"),ROUND(AE15,4),AE16/$S14)</f>
        <v>0</v>
      </c>
      <c r="AF14" s="430" t="n">
        <f aca="false" t="array" ref="AF14:AF14">IF(AND($R14=2,ACOMPANHAMENTO="BM"),ROUND(AF15,4),AF16/$S14)</f>
        <v>0</v>
      </c>
      <c r="AG14" s="438"/>
    </row>
    <row r="15" customFormat="false" ht="12.75" hidden="false" customHeight="true" outlineLevel="0" collapsed="false">
      <c r="E15" s="439"/>
      <c r="F15" s="427" t="n">
        <f aca="true">IF(ISERROR(F14),IF(1+COUNTIF($M$13:OFFSET(M14,-1,0),1)&lt;=MAX(QCI!$D$13:$D$16),1+COUNTIF($M$13:OFFSET(M14,-1,0),1),-1),0)</f>
        <v>0</v>
      </c>
      <c r="G15" s="427" t="str">
        <f aca="true" t="array" ref="G15:G15">IF(ACOMPANHAMENTO="BM",OFFSET(G15,-1,0),"")</f>
        <v>F</v>
      </c>
      <c r="H15" s="440" t="str">
        <f aca="false" t="array" ref="H15:H15">IF(OR(S14=0,S14=""),"vazia",IF(AND(OR(ACOMPANHAMENTO="PLE",$R14&lt;&gt;2),$F15=0),"calculada","--&gt;"))</f>
        <v>calculada</v>
      </c>
      <c r="I15" s="441"/>
      <c r="J15" s="442" t="str">
        <f aca="false">IF(AND(H14&lt;&gt;0,ISNUMBER(H14)),"PREENCHA ESTA LINHA --&gt;","")</f>
        <v/>
      </c>
      <c r="K15" s="442"/>
      <c r="L15" s="442"/>
      <c r="M15" s="443"/>
      <c r="N15" s="443"/>
      <c r="O15" s="443"/>
      <c r="P15" s="443"/>
      <c r="Q15" s="443"/>
      <c r="R15" s="443"/>
      <c r="S15" s="444"/>
      <c r="T15" s="445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8"/>
    </row>
    <row r="16" customFormat="false" ht="12.75" hidden="true" customHeight="true" outlineLevel="0" collapsed="false">
      <c r="D16" s="446"/>
      <c r="E16" s="447" t="n">
        <f aca="false" t="array" ref="E16:E16">IF($R14=2,
         IF(AND(ACOMPANHAMENTO="PLE",ISNUMBER($F14)),
                SUMIF((OFFSET(CÁLCULO!$AM$15:$AW$15,$F14,0,OFFSET(ORÇAMENTO!$D$15,CRONO!$F14,0))),CRONO!E$12,OFFSET(CÁLCULO!$AB$15:$AL$15,$F14,0,OFFSET(ORÇAMENTO!$D$15,CRONO!$F14,0)))
                +IF(AND($F16&lt;&gt;"",$F16&lt;&gt;0),
                        SUMIF(CÁLCULO!$AM$15:$AW$40,CRONO!E$12,CÁLCULO!$AB$15:$AL$40)/(ORÇAMENTO!$X$15-_xlfn.single(CÁLCULO.TotalAdmLocal))*CRONO!$F16,
                        0),
                 E15*$S14),
          SUMIF(OFFSET($S16,1,0,$R14-2),($M14+1)&amp;"$",OFFSET(E16,1,0,$R14-2)))</f>
        <v>0</v>
      </c>
      <c r="F16" s="427" t="str">
        <f aca="true">IF(OR($R14&lt;&gt;2,AUTOEVENTO&lt;&gt;"manual",$F15&gt;0),"",
        IF(Import.TipoArredondamento="Tradicional",
              SUMIF(OFFSET(CÁLCULO!$M$15,CRONO!$F14,0,OFFSET(ORÇAMENTO!$D$15,CRONO!$F14,0)),1,OFFSET(ORÇAMENTO!$X$15,CRONO!$F14,0,OFFSET(ORÇAMENTO!$D$15,CRONO!$F14,0))),
              0))</f>
        <v/>
      </c>
      <c r="H16" s="448"/>
      <c r="S16" s="449" t="str">
        <f aca="false">M14&amp;"$"</f>
        <v>1$</v>
      </c>
      <c r="T16" s="450"/>
      <c r="U16" s="447" t="n">
        <f aca="false" t="array" ref="U16:U16">IF($R14=2,
         IF(AND(ACOMPANHAMENTO="PLE",ISNUMBER($F14)),
                SUMIF((OFFSET(CÁLCULO!$AM$15:$AW$15,$F14,0,OFFSET(ORÇAMENTO!$D$15,CRONO!$F14,0))),CRONO!U$12,OFFSET(CÁLCULO!$AB$15:$AL$15,$F14,0,OFFSET(ORÇAMENTO!$D$15,CRONO!$F14,0)))
                +IF(AND($F16&lt;&gt;"",$F16&lt;&gt;0),
                        SUMIF(CÁLCULO!$AM$15:$AW$40,CRONO!U$12,CÁLCULO!$AB$15:$AL$40)/(ORÇAMENTO!$X$15-_xlfn.single(CÁLCULO.TotalAdmLocal))*CRONO!$F16,
                        0),
                 U15*$S14),
          SUMIF(OFFSET($S16,1,0,$R14-2),($M14+1)&amp;"$",OFFSET(U16,1,0,$R14-2)))</f>
        <v>2206.993635</v>
      </c>
      <c r="V16" s="447" t="n">
        <f aca="false" t="array" ref="V16:V16">IF($R14=2,
         IF(AND(ACOMPANHAMENTO="PLE",ISNUMBER($F14)),
                SUMIF((OFFSET(CÁLCULO!$AM$15:$AW$15,$F14,0,OFFSET(ORÇAMENTO!$D$15,CRONO!$F14,0))),CRONO!V$12,OFFSET(CÁLCULO!$AB$15:$AL$15,$F14,0,OFFSET(ORÇAMENTO!$D$15,CRONO!$F14,0)))
                +IF(AND($F16&lt;&gt;"",$F16&lt;&gt;0),
                        SUMIF(CÁLCULO!$AM$15:$AW$40,CRONO!V$12,CÁLCULO!$AB$15:$AL$40)/(ORÇAMENTO!$X$15-_xlfn.single(CÁLCULO.TotalAdmLocal))*CRONO!$F16,
                        0),
                 V15*$S14),
          SUMIF(OFFSET($S16,1,0,$R14-2),($M14+1)&amp;"$",OFFSET(V16,1,0,$R14-2)))</f>
        <v>2206.993635</v>
      </c>
      <c r="W16" s="447" t="n">
        <f aca="false" t="array" ref="W16:W16">IF($R14=2,
         IF(AND(ACOMPANHAMENTO="PLE",ISNUMBER($F14)),
                SUMIF((OFFSET(CÁLCULO!$AM$15:$AW$15,$F14,0,OFFSET(ORÇAMENTO!$D$15,CRONO!$F14,0))),CRONO!W$12,OFFSET(CÁLCULO!$AB$15:$AL$15,$F14,0,OFFSET(ORÇAMENTO!$D$15,CRONO!$F14,0)))
                +IF(AND($F16&lt;&gt;"",$F16&lt;&gt;0),
                        SUMIF(CÁLCULO!$AM$15:$AW$40,CRONO!W$12,CÁLCULO!$AB$15:$AL$40)/(ORÇAMENTO!$X$15-_xlfn.single(CÁLCULO.TotalAdmLocal))*CRONO!$F16,
                        0),
                 W15*$S14),
          SUMIF(OFFSET($S16,1,0,$R14-2),($M14+1)&amp;"$",OFFSET(W16,1,0,$R14-2)))</f>
        <v>0</v>
      </c>
      <c r="X16" s="447" t="n">
        <f aca="false" t="array" ref="X16:X16">IF($R14=2,
         IF(AND(ACOMPANHAMENTO="PLE",ISNUMBER($F14)),
                SUMIF((OFFSET(CÁLCULO!$AM$15:$AW$15,$F14,0,OFFSET(ORÇAMENTO!$D$15,CRONO!$F14,0))),CRONO!X$12,OFFSET(CÁLCULO!$AB$15:$AL$15,$F14,0,OFFSET(ORÇAMENTO!$D$15,CRONO!$F14,0)))
                +IF(AND($F16&lt;&gt;"",$F16&lt;&gt;0),
                        SUMIF(CÁLCULO!$AM$15:$AW$40,CRONO!X$12,CÁLCULO!$AB$15:$AL$40)/(ORÇAMENTO!$X$15-_xlfn.single(CÁLCULO.TotalAdmLocal))*CRONO!$F16,
                        0),
                 X15*$S14),
          SUMIF(OFFSET($S16,1,0,$R14-2),($M14+1)&amp;"$",OFFSET(X16,1,0,$R14-2)))</f>
        <v>0</v>
      </c>
      <c r="Y16" s="447" t="n">
        <f aca="false" t="array" ref="Y16:Y16">IF($R14=2,
         IF(AND(ACOMPANHAMENTO="PLE",ISNUMBER($F14)),
                SUMIF((OFFSET(CÁLCULO!$AM$15:$AW$15,$F14,0,OFFSET(ORÇAMENTO!$D$15,CRONO!$F14,0))),CRONO!Y$12,OFFSET(CÁLCULO!$AB$15:$AL$15,$F14,0,OFFSET(ORÇAMENTO!$D$15,CRONO!$F14,0)))
                +IF(AND($F16&lt;&gt;"",$F16&lt;&gt;0),
                        SUMIF(CÁLCULO!$AM$15:$AW$40,CRONO!Y$12,CÁLCULO!$AB$15:$AL$40)/(ORÇAMENTO!$X$15-_xlfn.single(CÁLCULO.TotalAdmLocal))*CRONO!$F16,
                        0),
                 Y15*$S14),
          SUMIF(OFFSET($S16,1,0,$R14-2),($M14+1)&amp;"$",OFFSET(Y16,1,0,$R14-2)))</f>
        <v>0</v>
      </c>
      <c r="Z16" s="447" t="n">
        <f aca="false" t="array" ref="Z16:Z16">IF($R14=2,
         IF(AND(ACOMPANHAMENTO="PLE",ISNUMBER($F14)),
                SUMIF((OFFSET(CÁLCULO!$AM$15:$AW$15,$F14,0,OFFSET(ORÇAMENTO!$D$15,CRONO!$F14,0))),CRONO!Z$12,OFFSET(CÁLCULO!$AB$15:$AL$15,$F14,0,OFFSET(ORÇAMENTO!$D$15,CRONO!$F14,0)))
                +IF(AND($F16&lt;&gt;"",$F16&lt;&gt;0),
                        SUMIF(CÁLCULO!$AM$15:$AW$40,CRONO!Z$12,CÁLCULO!$AB$15:$AL$40)/(ORÇAMENTO!$X$15-_xlfn.single(CÁLCULO.TotalAdmLocal))*CRONO!$F16,
                        0),
                 Z15*$S14),
          SUMIF(OFFSET($S16,1,0,$R14-2),($M14+1)&amp;"$",OFFSET(Z16,1,0,$R14-2)))</f>
        <v>0</v>
      </c>
      <c r="AA16" s="447" t="n">
        <f aca="false" t="array" ref="AA16:AA16">IF($R14=2,
         IF(AND(ACOMPANHAMENTO="PLE",ISNUMBER($F14)),
                SUMIF((OFFSET(CÁLCULO!$AM$15:$AW$15,$F14,0,OFFSET(ORÇAMENTO!$D$15,CRONO!$F14,0))),CRONO!AA$12,OFFSET(CÁLCULO!$AB$15:$AL$15,$F14,0,OFFSET(ORÇAMENTO!$D$15,CRONO!$F14,0)))
                +IF(AND($F16&lt;&gt;"",$F16&lt;&gt;0),
                        SUMIF(CÁLCULO!$AM$15:$AW$40,CRONO!AA$12,CÁLCULO!$AB$15:$AL$40)/(ORÇAMENTO!$X$15-_xlfn.single(CÁLCULO.TotalAdmLocal))*CRONO!$F16,
                        0),
                 AA15*$S14),
          SUMIF(OFFSET($S16,1,0,$R14-2),($M14+1)&amp;"$",OFFSET(AA16,1,0,$R14-2)))</f>
        <v>0</v>
      </c>
      <c r="AB16" s="447" t="n">
        <f aca="false" t="array" ref="AB16:AB16">IF($R14=2,
         IF(AND(ACOMPANHAMENTO="PLE",ISNUMBER($F14)),
                SUMIF((OFFSET(CÁLCULO!$AM$15:$AW$15,$F14,0,OFFSET(ORÇAMENTO!$D$15,CRONO!$F14,0))),CRONO!AB$12,OFFSET(CÁLCULO!$AB$15:$AL$15,$F14,0,OFFSET(ORÇAMENTO!$D$15,CRONO!$F14,0)))
                +IF(AND($F16&lt;&gt;"",$F16&lt;&gt;0),
                        SUMIF(CÁLCULO!$AM$15:$AW$40,CRONO!AB$12,CÁLCULO!$AB$15:$AL$40)/(ORÇAMENTO!$X$15-_xlfn.single(CÁLCULO.TotalAdmLocal))*CRONO!$F16,
                        0),
                 AB15*$S14),
          SUMIF(OFFSET($S16,1,0,$R14-2),($M14+1)&amp;"$",OFFSET(AB16,1,0,$R14-2)))</f>
        <v>0</v>
      </c>
      <c r="AC16" s="447" t="n">
        <f aca="false" t="array" ref="AC16:AC16">IF($R14=2,
         IF(AND(ACOMPANHAMENTO="PLE",ISNUMBER($F14)),
                SUMIF((OFFSET(CÁLCULO!$AM$15:$AW$15,$F14,0,OFFSET(ORÇAMENTO!$D$15,CRONO!$F14,0))),CRONO!AC$12,OFFSET(CÁLCULO!$AB$15:$AL$15,$F14,0,OFFSET(ORÇAMENTO!$D$15,CRONO!$F14,0)))
                +IF(AND($F16&lt;&gt;"",$F16&lt;&gt;0),
                        SUMIF(CÁLCULO!$AM$15:$AW$40,CRONO!AC$12,CÁLCULO!$AB$15:$AL$40)/(ORÇAMENTO!$X$15-_xlfn.single(CÁLCULO.TotalAdmLocal))*CRONO!$F16,
                        0),
                 AC15*$S14),
          SUMIF(OFFSET($S16,1,0,$R14-2),($M14+1)&amp;"$",OFFSET(AC16,1,0,$R14-2)))</f>
        <v>0</v>
      </c>
      <c r="AD16" s="447" t="n">
        <f aca="false" t="array" ref="AD16:AD16">IF($R14=2,
         IF(AND(ACOMPANHAMENTO="PLE",ISNUMBER($F14)),
                SUMIF((OFFSET(CÁLCULO!$AM$15:$AW$15,$F14,0,OFFSET(ORÇAMENTO!$D$15,CRONO!$F14,0))),CRONO!AD$12,OFFSET(CÁLCULO!$AB$15:$AL$15,$F14,0,OFFSET(ORÇAMENTO!$D$15,CRONO!$F14,0)))
                +IF(AND($F16&lt;&gt;"",$F16&lt;&gt;0),
                        SUMIF(CÁLCULO!$AM$15:$AW$40,CRONO!AD$12,CÁLCULO!$AB$15:$AL$40)/(ORÇAMENTO!$X$15-_xlfn.single(CÁLCULO.TotalAdmLocal))*CRONO!$F16,
                        0),
                 AD15*$S14),
          SUMIF(OFFSET($S16,1,0,$R14-2),($M14+1)&amp;"$",OFFSET(AD16,1,0,$R14-2)))</f>
        <v>0</v>
      </c>
      <c r="AE16" s="447" t="n">
        <f aca="false" t="array" ref="AE16:AE16">IF($R14=2,
         IF(AND(ACOMPANHAMENTO="PLE",ISNUMBER($F14)),
                SUMIF((OFFSET(CÁLCULO!$AM$15:$AW$15,$F14,0,OFFSET(ORÇAMENTO!$D$15,CRONO!$F14,0))),CRONO!AE$12,OFFSET(CÁLCULO!$AB$15:$AL$15,$F14,0,OFFSET(ORÇAMENTO!$D$15,CRONO!$F14,0)))
                +IF(AND($F16&lt;&gt;"",$F16&lt;&gt;0),
                        SUMIF(CÁLCULO!$AM$15:$AW$40,CRONO!AE$12,CÁLCULO!$AB$15:$AL$40)/(ORÇAMENTO!$X$15-_xlfn.single(CÁLCULO.TotalAdmLocal))*CRONO!$F16,
                        0),
                 AE15*$S14),
          SUMIF(OFFSET($S16,1,0,$R14-2),($M14+1)&amp;"$",OFFSET(AE16,1,0,$R14-2)))</f>
        <v>0</v>
      </c>
      <c r="AF16" s="447" t="n">
        <f aca="false" t="array" ref="AF16:AF16">IF($R14=2,
         IF(AND(ACOMPANHAMENTO="PLE",ISNUMBER($F14)),
                SUMIF((OFFSET(CÁLCULO!$AM$15:$AW$15,$F14,0,OFFSET(ORÇAMENTO!$D$15,CRONO!$F14,0))),CRONO!AF$12,OFFSET(CÁLCULO!$AB$15:$AL$15,$F14,0,OFFSET(ORÇAMENTO!$D$15,CRONO!$F14,0)))
                +IF(AND($F16&lt;&gt;"",$F16&lt;&gt;0),
                        SUMIF(CÁLCULO!$AM$15:$AW$40,CRONO!AF$12,CÁLCULO!$AB$15:$AL$40)/(ORÇAMENTO!$X$15-_xlfn.single(CÁLCULO.TotalAdmLocal))*CRONO!$F16,
                        0),
                 AF15*$S14),
          SUMIF(OFFSET($S16,1,0,$R14-2),($M14+1)&amp;"$",OFFSET(AF16,1,0,$R14-2)))</f>
        <v>0</v>
      </c>
      <c r="AG16" s="438"/>
    </row>
    <row r="17" customFormat="false" ht="12.75" hidden="false" customHeight="false" outlineLevel="0" collapsed="false">
      <c r="A17" s="388" t="str">
        <f aca="false">IF($M17&gt;1,_xlfn.CONCAT($I17," ",$J17),"")</f>
        <v>1.1. ADMINISTRAÇÃO LOCAL</v>
      </c>
      <c r="B17" s="427" t="n">
        <f aca="true">OFFSET(B17,-3,0)+1</f>
        <v>2</v>
      </c>
      <c r="C17" s="427" t="n">
        <f aca="true">IF($R17&lt;&gt;2,0,IF($S17=0,1,IF(F18&gt;0,OFFSET(QCI!$M$13,SUBSTITUTE(F18,".",""),0),OFFSET(ORÇAMENTO!$AA$15,CRONO!$F17,0))/$S17))</f>
        <v>0</v>
      </c>
      <c r="D17" s="427" t="n">
        <f aca="true">IF($R17&lt;&gt;2,0,IF($S17=0,1,IF(F18&gt;0,OFFSET(QCI!$N$13,SUBSTITUTE(F18,".",""),0),OFFSET(ORÇAMENTO!$AB$15,CRONO!$F17,0))/$S17))</f>
        <v>0</v>
      </c>
      <c r="E17" s="430" t="e">
        <f aca="false" t="array" ref="E17:E17">IF(AND($R17=2,ACOMPANHAMENTO="BM"),ROUND(E18,4),E19/$S17)</f>
        <v>#DIV/0!</v>
      </c>
      <c r="F17" s="427" t="n">
        <f aca="true">IF(B17&lt;=ORÇAMENTO.MáximoListaCrono,MATCH(B17,ORÇAMENTO.ListaCrono,0),NA())</f>
        <v>2</v>
      </c>
      <c r="G17" s="427" t="str">
        <f aca="false">IF(AND($F18&lt;&gt;-1,$S17&gt;0),"F","")</f>
        <v/>
      </c>
      <c r="H17" s="431" t="str">
        <f aca="false" t="array" ref="H17:H17">IF(OR(S17=0,S17=""),"Linha",IF(AND(OR(ACOMPANHAMENTO="PLE",$R17&lt;&gt;2),$F18=0),"Linha",ROUND(1-SUM(U17:AG17),4)))</f>
        <v>Linha</v>
      </c>
      <c r="I17" s="432" t="str">
        <f aca="true">IF($F18=0,OFFSET(ORÇAMENTO!O$15,$F17,0),IF($F18&lt;&gt;-1,OFFSET(QCI!$D$13,$F18,0),""))</f>
        <v>1.1.</v>
      </c>
      <c r="J17" s="433" t="str">
        <f aca="true">IF($F18=0,OFFSET(ORÇAMENTO!R$15,$F17,0),IF($F18&lt;&gt;-1,OFFSET(QCI!$G$13,$F18,0),""))</f>
        <v>ADMINISTRAÇÃO LOCAL</v>
      </c>
      <c r="K17" s="433"/>
      <c r="L17" s="433"/>
      <c r="M17" s="434" t="n">
        <f aca="true">IF($F18=0,OFFSET(ORÇAMENTO!C$15,$F17,0),1)</f>
        <v>2</v>
      </c>
      <c r="N17" s="435" t="n">
        <f aca="true">IF($F18=-1,0,IF(N$13&lt;=$M17,IF(ISERROR(MATCH(N$13,OFFSET($M17,1,0,ROW($M$44)-ROW($M17)-1),0)),ROW($M$44)-ROW($M17)-1,MATCH(N$13,OFFSET($M17,1,0,ROW($M$44)-ROW($M17)-1),0)-1),0))</f>
        <v>26</v>
      </c>
      <c r="O17" s="435" t="n">
        <f aca="true">IF($F18=-1,0,IF(O$13&lt;=$M17,IF(ISERROR(MATCH(O$13,OFFSET($M17,1,0,ROW($M$44)-ROW($M17)-1),0)),ROW($M$44)-ROW($M17)-1,MATCH(O$13,OFFSET($M17,1,0,ROW($M$44)-ROW($M17)-1),0)-1),0))</f>
        <v>5</v>
      </c>
      <c r="P17" s="435" t="n">
        <f aca="true">IF($F18=-1,0,IF(P$13&lt;=$M17,IF(ISERROR(MATCH(P$13,OFFSET($M17,1,0,ROW($M$44)-ROW($M17)-1),0)),ROW($M$44)-ROW($M17)-1,MATCH(P$13,OFFSET($M17,1,0,ROW($M$44)-ROW($M17)-1),0)-1),0))</f>
        <v>0</v>
      </c>
      <c r="Q17" s="435" t="n">
        <f aca="true">IF($F18=-1,0,IF(Q$13&lt;=$M17,IF(ISERROR(MATCH(Q$13,OFFSET($M17,1,0,ROW($M$44)-ROW($M17)-1),0)),ROW($M$44)-ROW($M17)-1,MATCH(Q$13,OFFSET($M17,1,0,ROW($M$44)-ROW($M17)-1),0)-1),0))</f>
        <v>0</v>
      </c>
      <c r="R17" s="435" t="n">
        <f aca="true">MIN(OFFSET(M17,0,1,,M17))</f>
        <v>5</v>
      </c>
      <c r="S17" s="436" t="n">
        <f aca="true">IF($F18=0,OFFSET(ORÇAMENTO!X$15,$F17,0),IF($F18&lt;&gt;-1,OFFSET(QCI!$O$13,$F18,0),""))</f>
        <v>0</v>
      </c>
      <c r="T17" s="437" t="s">
        <v>830</v>
      </c>
      <c r="U17" s="430" t="e">
        <f aca="false" t="array" ref="U17:U17">IF(AND($R17=2,ACOMPANHAMENTO="BM"),ROUND(U18,4),U19/$S17)</f>
        <v>#DIV/0!</v>
      </c>
      <c r="V17" s="430" t="e">
        <f aca="false" t="array" ref="V17:V17">IF(AND($R17=2,ACOMPANHAMENTO="BM"),ROUND(V18,4),V19/$S17)</f>
        <v>#DIV/0!</v>
      </c>
      <c r="W17" s="430" t="e">
        <f aca="false" t="array" ref="W17:W17">IF(AND($R17=2,ACOMPANHAMENTO="BM"),ROUND(W18,4),W19/$S17)</f>
        <v>#DIV/0!</v>
      </c>
      <c r="X17" s="430" t="e">
        <f aca="false" t="array" ref="X17:X17">IF(AND($R17=2,ACOMPANHAMENTO="BM"),ROUND(X18,4),X19/$S17)</f>
        <v>#DIV/0!</v>
      </c>
      <c r="Y17" s="430" t="e">
        <f aca="false" t="array" ref="Y17:Y17">IF(AND($R17=2,ACOMPANHAMENTO="BM"),ROUND(Y18,4),Y19/$S17)</f>
        <v>#DIV/0!</v>
      </c>
      <c r="Z17" s="430" t="e">
        <f aca="false" t="array" ref="Z17:Z17">IF(AND($R17=2,ACOMPANHAMENTO="BM"),ROUND(Z18,4),Z19/$S17)</f>
        <v>#DIV/0!</v>
      </c>
      <c r="AA17" s="430" t="e">
        <f aca="false" t="array" ref="AA17:AA17">IF(AND($R17=2,ACOMPANHAMENTO="BM"),ROUND(AA18,4),AA19/$S17)</f>
        <v>#DIV/0!</v>
      </c>
      <c r="AB17" s="430" t="e">
        <f aca="false" t="array" ref="AB17:AB17">IF(AND($R17=2,ACOMPANHAMENTO="BM"),ROUND(AB18,4),AB19/$S17)</f>
        <v>#DIV/0!</v>
      </c>
      <c r="AC17" s="430" t="e">
        <f aca="false" t="array" ref="AC17:AC17">IF(AND($R17=2,ACOMPANHAMENTO="BM"),ROUND(AC18,4),AC19/$S17)</f>
        <v>#DIV/0!</v>
      </c>
      <c r="AD17" s="430" t="e">
        <f aca="false" t="array" ref="AD17:AD17">IF(AND($R17=2,ACOMPANHAMENTO="BM"),ROUND(AD18,4),AD19/$S17)</f>
        <v>#DIV/0!</v>
      </c>
      <c r="AE17" s="430" t="e">
        <f aca="false" t="array" ref="AE17:AE17">IF(AND($R17=2,ACOMPANHAMENTO="BM"),ROUND(AE18,4),AE19/$S17)</f>
        <v>#DIV/0!</v>
      </c>
      <c r="AF17" s="430" t="e">
        <f aca="false" t="array" ref="AF17:AF17">IF(AND($R17=2,ACOMPANHAMENTO="BM"),ROUND(AF18,4),AF19/$S17)</f>
        <v>#DIV/0!</v>
      </c>
      <c r="AG17" s="438"/>
    </row>
    <row r="18" customFormat="false" ht="12.75" hidden="false" customHeight="true" outlineLevel="0" collapsed="false">
      <c r="E18" s="439"/>
      <c r="F18" s="427" t="n">
        <f aca="true">IF(ISERROR(F17),IF(1+COUNTIF($M$13:OFFSET(M17,-1,0),1)&lt;=MAX(QCI!$D$13:$D$16),1+COUNTIF($M$13:OFFSET(M17,-1,0),1),-1),0)</f>
        <v>0</v>
      </c>
      <c r="G18" s="427" t="str">
        <f aca="true" t="array" ref="G18:G18">IF(ACOMPANHAMENTO="BM",OFFSET(G18,-1,0),"")</f>
        <v/>
      </c>
      <c r="H18" s="440" t="str">
        <f aca="false" t="array" ref="H18:H18">IF(OR(S17=0,S17=""),"vazia",IF(AND(OR(ACOMPANHAMENTO="PLE",$R17&lt;&gt;2),$F18=0),"calculada","--&gt;"))</f>
        <v>vazia</v>
      </c>
      <c r="I18" s="441"/>
      <c r="J18" s="442" t="str">
        <f aca="false">IF(AND(H17&lt;&gt;0,ISNUMBER(H17)),"PREENCHA ESTA LINHA --&gt;","")</f>
        <v/>
      </c>
      <c r="K18" s="442"/>
      <c r="L18" s="442"/>
      <c r="M18" s="443"/>
      <c r="N18" s="443"/>
      <c r="O18" s="443"/>
      <c r="P18" s="443"/>
      <c r="Q18" s="443"/>
      <c r="R18" s="443"/>
      <c r="S18" s="444"/>
      <c r="T18" s="445"/>
      <c r="U18" s="439"/>
      <c r="V18" s="439"/>
      <c r="W18" s="439"/>
      <c r="X18" s="439"/>
      <c r="Y18" s="439"/>
      <c r="Z18" s="439"/>
      <c r="AA18" s="439"/>
      <c r="AB18" s="439"/>
      <c r="AC18" s="439"/>
      <c r="AD18" s="439"/>
      <c r="AE18" s="439"/>
      <c r="AF18" s="439"/>
      <c r="AG18" s="438"/>
    </row>
    <row r="19" customFormat="false" ht="12.75" hidden="true" customHeight="true" outlineLevel="0" collapsed="false">
      <c r="D19" s="446"/>
      <c r="E19" s="447" t="n">
        <f aca="false" t="array" ref="E19:E19">IF($R17=2,
         IF(AND(ACOMPANHAMENTO="PLE",ISNUMBER($F17)),
                SUMIF((OFFSET(CÁLCULO!$AM$15:$AW$15,$F17,0,OFFSET(ORÇAMENTO!$D$15,CRONO!$F17,0))),CRONO!E$12,OFFSET(CÁLCULO!$AB$15:$AL$15,$F17,0,OFFSET(ORÇAMENTO!$D$15,CRONO!$F17,0)))
                +IF(AND($F19&lt;&gt;"",$F19&lt;&gt;0),
                        SUMIF(CÁLCULO!$AM$15:$AW$40,CRONO!E$12,CÁLCULO!$AB$15:$AL$40)/(ORÇAMENTO!$X$15-_xlfn.single(CÁLCULO.TotalAdmLocal))*CRONO!$F19,
                        0),
                 E18*$S17),
          SUMIF(OFFSET($S19,1,0,$R17-2),($M17+1)&amp;"$",OFFSET(E19,1,0,$R17-2)))</f>
        <v>0</v>
      </c>
      <c r="F19" s="427" t="str">
        <f aca="true">IF(OR($R17&lt;&gt;2,AUTOEVENTO&lt;&gt;"manual",$F18&gt;0),"",
        IF(Import.TipoArredondamento="Tradicional",
              SUMIF(OFFSET(CÁLCULO!$M$15,CRONO!$F17,0,OFFSET(ORÇAMENTO!$D$15,CRONO!$F17,0)),1,OFFSET(ORÇAMENTO!$X$15,CRONO!$F17,0,OFFSET(ORÇAMENTO!$D$15,CRONO!$F17,0))),
              0))</f>
        <v/>
      </c>
      <c r="H19" s="448"/>
      <c r="S19" s="449" t="str">
        <f aca="false">M17&amp;"$"</f>
        <v>2$</v>
      </c>
      <c r="T19" s="450"/>
      <c r="U19" s="447" t="n">
        <f aca="false" t="array" ref="U19:U19">IF($R17=2,
         IF(AND(ACOMPANHAMENTO="PLE",ISNUMBER($F17)),
                SUMIF((OFFSET(CÁLCULO!$AM$15:$AW$15,$F17,0,OFFSET(ORÇAMENTO!$D$15,CRONO!$F17,0))),CRONO!U$12,OFFSET(CÁLCULO!$AB$15:$AL$15,$F17,0,OFFSET(ORÇAMENTO!$D$15,CRONO!$F17,0)))
                +IF(AND($F19&lt;&gt;"",$F19&lt;&gt;0),
                        SUMIF(CÁLCULO!$AM$15:$AW$40,CRONO!U$12,CÁLCULO!$AB$15:$AL$40)/(ORÇAMENTO!$X$15-_xlfn.single(CÁLCULO.TotalAdmLocal))*CRONO!$F19,
                        0),
                 U18*$S17),
          SUMIF(OFFSET($S19,1,0,$R17-2),($M17+1)&amp;"$",OFFSET(U19,1,0,$R17-2)))</f>
        <v>0</v>
      </c>
      <c r="V19" s="447" t="n">
        <f aca="false" t="array" ref="V19:V19">IF($R17=2,
         IF(AND(ACOMPANHAMENTO="PLE",ISNUMBER($F17)),
                SUMIF((OFFSET(CÁLCULO!$AM$15:$AW$15,$F17,0,OFFSET(ORÇAMENTO!$D$15,CRONO!$F17,0))),CRONO!V$12,OFFSET(CÁLCULO!$AB$15:$AL$15,$F17,0,OFFSET(ORÇAMENTO!$D$15,CRONO!$F17,0)))
                +IF(AND($F19&lt;&gt;"",$F19&lt;&gt;0),
                        SUMIF(CÁLCULO!$AM$15:$AW$40,CRONO!V$12,CÁLCULO!$AB$15:$AL$40)/(ORÇAMENTO!$X$15-_xlfn.single(CÁLCULO.TotalAdmLocal))*CRONO!$F19,
                        0),
                 V18*$S17),
          SUMIF(OFFSET($S19,1,0,$R17-2),($M17+1)&amp;"$",OFFSET(V19,1,0,$R17-2)))</f>
        <v>0</v>
      </c>
      <c r="W19" s="447" t="n">
        <f aca="false" t="array" ref="W19:W19">IF($R17=2,
         IF(AND(ACOMPANHAMENTO="PLE",ISNUMBER($F17)),
                SUMIF((OFFSET(CÁLCULO!$AM$15:$AW$15,$F17,0,OFFSET(ORÇAMENTO!$D$15,CRONO!$F17,0))),CRONO!W$12,OFFSET(CÁLCULO!$AB$15:$AL$15,$F17,0,OFFSET(ORÇAMENTO!$D$15,CRONO!$F17,0)))
                +IF(AND($F19&lt;&gt;"",$F19&lt;&gt;0),
                        SUMIF(CÁLCULO!$AM$15:$AW$40,CRONO!W$12,CÁLCULO!$AB$15:$AL$40)/(ORÇAMENTO!$X$15-_xlfn.single(CÁLCULO.TotalAdmLocal))*CRONO!$F19,
                        0),
                 W18*$S17),
          SUMIF(OFFSET($S19,1,0,$R17-2),($M17+1)&amp;"$",OFFSET(W19,1,0,$R17-2)))</f>
        <v>0</v>
      </c>
      <c r="X19" s="447" t="n">
        <f aca="false" t="array" ref="X19:X19">IF($R17=2,
         IF(AND(ACOMPANHAMENTO="PLE",ISNUMBER($F17)),
                SUMIF((OFFSET(CÁLCULO!$AM$15:$AW$15,$F17,0,OFFSET(ORÇAMENTO!$D$15,CRONO!$F17,0))),CRONO!X$12,OFFSET(CÁLCULO!$AB$15:$AL$15,$F17,0,OFFSET(ORÇAMENTO!$D$15,CRONO!$F17,0)))
                +IF(AND($F19&lt;&gt;"",$F19&lt;&gt;0),
                        SUMIF(CÁLCULO!$AM$15:$AW$40,CRONO!X$12,CÁLCULO!$AB$15:$AL$40)/(ORÇAMENTO!$X$15-_xlfn.single(CÁLCULO.TotalAdmLocal))*CRONO!$F19,
                        0),
                 X18*$S17),
          SUMIF(OFFSET($S19,1,0,$R17-2),($M17+1)&amp;"$",OFFSET(X19,1,0,$R17-2)))</f>
        <v>0</v>
      </c>
      <c r="Y19" s="447" t="n">
        <f aca="false" t="array" ref="Y19:Y19">IF($R17=2,
         IF(AND(ACOMPANHAMENTO="PLE",ISNUMBER($F17)),
                SUMIF((OFFSET(CÁLCULO!$AM$15:$AW$15,$F17,0,OFFSET(ORÇAMENTO!$D$15,CRONO!$F17,0))),CRONO!Y$12,OFFSET(CÁLCULO!$AB$15:$AL$15,$F17,0,OFFSET(ORÇAMENTO!$D$15,CRONO!$F17,0)))
                +IF(AND($F19&lt;&gt;"",$F19&lt;&gt;0),
                        SUMIF(CÁLCULO!$AM$15:$AW$40,CRONO!Y$12,CÁLCULO!$AB$15:$AL$40)/(ORÇAMENTO!$X$15-_xlfn.single(CÁLCULO.TotalAdmLocal))*CRONO!$F19,
                        0),
                 Y18*$S17),
          SUMIF(OFFSET($S19,1,0,$R17-2),($M17+1)&amp;"$",OFFSET(Y19,1,0,$R17-2)))</f>
        <v>0</v>
      </c>
      <c r="Z19" s="447" t="n">
        <f aca="false" t="array" ref="Z19:Z19">IF($R17=2,
         IF(AND(ACOMPANHAMENTO="PLE",ISNUMBER($F17)),
                SUMIF((OFFSET(CÁLCULO!$AM$15:$AW$15,$F17,0,OFFSET(ORÇAMENTO!$D$15,CRONO!$F17,0))),CRONO!Z$12,OFFSET(CÁLCULO!$AB$15:$AL$15,$F17,0,OFFSET(ORÇAMENTO!$D$15,CRONO!$F17,0)))
                +IF(AND($F19&lt;&gt;"",$F19&lt;&gt;0),
                        SUMIF(CÁLCULO!$AM$15:$AW$40,CRONO!Z$12,CÁLCULO!$AB$15:$AL$40)/(ORÇAMENTO!$X$15-_xlfn.single(CÁLCULO.TotalAdmLocal))*CRONO!$F19,
                        0),
                 Z18*$S17),
          SUMIF(OFFSET($S19,1,0,$R17-2),($M17+1)&amp;"$",OFFSET(Z19,1,0,$R17-2)))</f>
        <v>0</v>
      </c>
      <c r="AA19" s="447" t="n">
        <f aca="false" t="array" ref="AA19:AA19">IF($R17=2,
         IF(AND(ACOMPANHAMENTO="PLE",ISNUMBER($F17)),
                SUMIF((OFFSET(CÁLCULO!$AM$15:$AW$15,$F17,0,OFFSET(ORÇAMENTO!$D$15,CRONO!$F17,0))),CRONO!AA$12,OFFSET(CÁLCULO!$AB$15:$AL$15,$F17,0,OFFSET(ORÇAMENTO!$D$15,CRONO!$F17,0)))
                +IF(AND($F19&lt;&gt;"",$F19&lt;&gt;0),
                        SUMIF(CÁLCULO!$AM$15:$AW$40,CRONO!AA$12,CÁLCULO!$AB$15:$AL$40)/(ORÇAMENTO!$X$15-_xlfn.single(CÁLCULO.TotalAdmLocal))*CRONO!$F19,
                        0),
                 AA18*$S17),
          SUMIF(OFFSET($S19,1,0,$R17-2),($M17+1)&amp;"$",OFFSET(AA19,1,0,$R17-2)))</f>
        <v>0</v>
      </c>
      <c r="AB19" s="447" t="n">
        <f aca="false" t="array" ref="AB19:AB19">IF($R17=2,
         IF(AND(ACOMPANHAMENTO="PLE",ISNUMBER($F17)),
                SUMIF((OFFSET(CÁLCULO!$AM$15:$AW$15,$F17,0,OFFSET(ORÇAMENTO!$D$15,CRONO!$F17,0))),CRONO!AB$12,OFFSET(CÁLCULO!$AB$15:$AL$15,$F17,0,OFFSET(ORÇAMENTO!$D$15,CRONO!$F17,0)))
                +IF(AND($F19&lt;&gt;"",$F19&lt;&gt;0),
                        SUMIF(CÁLCULO!$AM$15:$AW$40,CRONO!AB$12,CÁLCULO!$AB$15:$AL$40)/(ORÇAMENTO!$X$15-_xlfn.single(CÁLCULO.TotalAdmLocal))*CRONO!$F19,
                        0),
                 AB18*$S17),
          SUMIF(OFFSET($S19,1,0,$R17-2),($M17+1)&amp;"$",OFFSET(AB19,1,0,$R17-2)))</f>
        <v>0</v>
      </c>
      <c r="AC19" s="447" t="n">
        <f aca="false" t="array" ref="AC19:AC19">IF($R17=2,
         IF(AND(ACOMPANHAMENTO="PLE",ISNUMBER($F17)),
                SUMIF((OFFSET(CÁLCULO!$AM$15:$AW$15,$F17,0,OFFSET(ORÇAMENTO!$D$15,CRONO!$F17,0))),CRONO!AC$12,OFFSET(CÁLCULO!$AB$15:$AL$15,$F17,0,OFFSET(ORÇAMENTO!$D$15,CRONO!$F17,0)))
                +IF(AND($F19&lt;&gt;"",$F19&lt;&gt;0),
                        SUMIF(CÁLCULO!$AM$15:$AW$40,CRONO!AC$12,CÁLCULO!$AB$15:$AL$40)/(ORÇAMENTO!$X$15-_xlfn.single(CÁLCULO.TotalAdmLocal))*CRONO!$F19,
                        0),
                 AC18*$S17),
          SUMIF(OFFSET($S19,1,0,$R17-2),($M17+1)&amp;"$",OFFSET(AC19,1,0,$R17-2)))</f>
        <v>0</v>
      </c>
      <c r="AD19" s="447" t="n">
        <f aca="false" t="array" ref="AD19:AD19">IF($R17=2,
         IF(AND(ACOMPANHAMENTO="PLE",ISNUMBER($F17)),
                SUMIF((OFFSET(CÁLCULO!$AM$15:$AW$15,$F17,0,OFFSET(ORÇAMENTO!$D$15,CRONO!$F17,0))),CRONO!AD$12,OFFSET(CÁLCULO!$AB$15:$AL$15,$F17,0,OFFSET(ORÇAMENTO!$D$15,CRONO!$F17,0)))
                +IF(AND($F19&lt;&gt;"",$F19&lt;&gt;0),
                        SUMIF(CÁLCULO!$AM$15:$AW$40,CRONO!AD$12,CÁLCULO!$AB$15:$AL$40)/(ORÇAMENTO!$X$15-_xlfn.single(CÁLCULO.TotalAdmLocal))*CRONO!$F19,
                        0),
                 AD18*$S17),
          SUMIF(OFFSET($S19,1,0,$R17-2),($M17+1)&amp;"$",OFFSET(AD19,1,0,$R17-2)))</f>
        <v>0</v>
      </c>
      <c r="AE19" s="447" t="n">
        <f aca="false" t="array" ref="AE19:AE19">IF($R17=2,
         IF(AND(ACOMPANHAMENTO="PLE",ISNUMBER($F17)),
                SUMIF((OFFSET(CÁLCULO!$AM$15:$AW$15,$F17,0,OFFSET(ORÇAMENTO!$D$15,CRONO!$F17,0))),CRONO!AE$12,OFFSET(CÁLCULO!$AB$15:$AL$15,$F17,0,OFFSET(ORÇAMENTO!$D$15,CRONO!$F17,0)))
                +IF(AND($F19&lt;&gt;"",$F19&lt;&gt;0),
                        SUMIF(CÁLCULO!$AM$15:$AW$40,CRONO!AE$12,CÁLCULO!$AB$15:$AL$40)/(ORÇAMENTO!$X$15-_xlfn.single(CÁLCULO.TotalAdmLocal))*CRONO!$F19,
                        0),
                 AE18*$S17),
          SUMIF(OFFSET($S19,1,0,$R17-2),($M17+1)&amp;"$",OFFSET(AE19,1,0,$R17-2)))</f>
        <v>0</v>
      </c>
      <c r="AF19" s="447" t="n">
        <f aca="false" t="array" ref="AF19:AF19">IF($R17=2,
         IF(AND(ACOMPANHAMENTO="PLE",ISNUMBER($F17)),
                SUMIF((OFFSET(CÁLCULO!$AM$15:$AW$15,$F17,0,OFFSET(ORÇAMENTO!$D$15,CRONO!$F17,0))),CRONO!AF$12,OFFSET(CÁLCULO!$AB$15:$AL$15,$F17,0,OFFSET(ORÇAMENTO!$D$15,CRONO!$F17,0)))
                +IF(AND($F19&lt;&gt;"",$F19&lt;&gt;0),
                        SUMIF(CÁLCULO!$AM$15:$AW$40,CRONO!AF$12,CÁLCULO!$AB$15:$AL$40)/(ORÇAMENTO!$X$15-_xlfn.single(CÁLCULO.TotalAdmLocal))*CRONO!$F19,
                        0),
                 AF18*$S17),
          SUMIF(OFFSET($S19,1,0,$R17-2),($M17+1)&amp;"$",OFFSET(AF19,1,0,$R17-2)))</f>
        <v>0</v>
      </c>
      <c r="AG19" s="438"/>
    </row>
    <row r="20" customFormat="false" ht="12.75" hidden="false" customHeight="false" outlineLevel="0" collapsed="false">
      <c r="A20" s="388" t="str">
        <f aca="false">IF($M20&gt;1,_xlfn.CONCAT($I20," ",$J20),"")</f>
        <v>1.1.1. Administração local</v>
      </c>
      <c r="B20" s="427" t="n">
        <f aca="true">OFFSET(B20,-3,0)+1</f>
        <v>3</v>
      </c>
      <c r="C20" s="427" t="n">
        <f aca="true">IF($R20&lt;&gt;2,0,IF($S20=0,1,IF(F21&gt;0,OFFSET(QCI!$M$13,SUBSTITUTE(F21,".",""),0),OFFSET(ORÇAMENTO!$AA$15,CRONO!$F20,0))/$S20))</f>
        <v>1</v>
      </c>
      <c r="D20" s="427" t="n">
        <f aca="true">IF($R20&lt;&gt;2,0,IF($S20=0,1,IF(F21&gt;0,OFFSET(QCI!$N$13,SUBSTITUTE(F21,".",""),0),OFFSET(ORÇAMENTO!$AB$15,CRONO!$F20,0))/$S20))</f>
        <v>1</v>
      </c>
      <c r="E20" s="430" t="n">
        <f aca="false" t="array" ref="E20:E20">IF(AND($R20=2,ACOMPANHAMENTO="BM"),ROUND(E21,4),E22/$S20)</f>
        <v>0</v>
      </c>
      <c r="F20" s="427" t="n">
        <f aca="true">IF(B20&lt;=ORÇAMENTO.MáximoListaCrono,MATCH(B20,ORÇAMENTO.ListaCrono,0),NA())</f>
        <v>3</v>
      </c>
      <c r="G20" s="427" t="str">
        <f aca="false">IF(AND($F21&lt;&gt;-1,$S20&gt;0),"F","")</f>
        <v/>
      </c>
      <c r="H20" s="431" t="str">
        <f aca="false" t="array" ref="H20:H20">IF(OR(S20=0,S20=""),"Linha",IF(AND(OR(ACOMPANHAMENTO="PLE",$R20&lt;&gt;2),$F21=0),"Linha",ROUND(1-SUM(U20:AG20),4)))</f>
        <v>Linha</v>
      </c>
      <c r="I20" s="432" t="str">
        <f aca="true">IF($F21=0,OFFSET(ORÇAMENTO!O$15,$F20,0),IF($F21&lt;&gt;-1,OFFSET(QCI!$D$13,$F21,0),""))</f>
        <v>1.1.1.</v>
      </c>
      <c r="J20" s="433" t="str">
        <f aca="true">IF($F21=0,OFFSET(ORÇAMENTO!R$15,$F20,0),IF($F21&lt;&gt;-1,OFFSET(QCI!$G$13,$F21,0),""))</f>
        <v>Administração local</v>
      </c>
      <c r="K20" s="433"/>
      <c r="L20" s="433"/>
      <c r="M20" s="434" t="n">
        <f aca="true">IF($F21=0,OFFSET(ORÇAMENTO!C$15,$F20,0),1)</f>
        <v>3</v>
      </c>
      <c r="N20" s="435" t="n">
        <f aca="true">IF($F21=-1,0,IF(N$13&lt;=$M20,IF(ISERROR(MATCH(N$13,OFFSET($M20,1,0,ROW($M$44)-ROW($M20)-1),0)),ROW($M$44)-ROW($M20)-1,MATCH(N$13,OFFSET($M20,1,0,ROW($M$44)-ROW($M20)-1),0)-1),0))</f>
        <v>23</v>
      </c>
      <c r="O20" s="435" t="n">
        <f aca="true">IF($F21=-1,0,IF(O$13&lt;=$M20,IF(ISERROR(MATCH(O$13,OFFSET($M20,1,0,ROW($M$44)-ROW($M20)-1),0)),ROW($M$44)-ROW($M20)-1,MATCH(O$13,OFFSET($M20,1,0,ROW($M$44)-ROW($M20)-1),0)-1),0))</f>
        <v>2</v>
      </c>
      <c r="P20" s="435" t="n">
        <f aca="true">IF($F21=-1,0,IF(P$13&lt;=$M20,IF(ISERROR(MATCH(P$13,OFFSET($M20,1,0,ROW($M$44)-ROW($M20)-1),0)),ROW($M$44)-ROW($M20)-1,MATCH(P$13,OFFSET($M20,1,0,ROW($M$44)-ROW($M20)-1),0)-1),0))</f>
        <v>5</v>
      </c>
      <c r="Q20" s="435" t="n">
        <f aca="true">IF($F21=-1,0,IF(Q$13&lt;=$M20,IF(ISERROR(MATCH(Q$13,OFFSET($M20,1,0,ROW($M$44)-ROW($M20)-1),0)),ROW($M$44)-ROW($M20)-1,MATCH(Q$13,OFFSET($M20,1,0,ROW($M$44)-ROW($M20)-1),0)-1),0))</f>
        <v>0</v>
      </c>
      <c r="R20" s="435" t="n">
        <f aca="true">MIN(OFFSET(M20,0,1,,M20))</f>
        <v>2</v>
      </c>
      <c r="S20" s="436" t="n">
        <f aca="true">IF($F21=0,OFFSET(ORÇAMENTO!X$15,$F20,0),IF($F21&lt;&gt;-1,OFFSET(QCI!$O$13,$F21,0),""))</f>
        <v>0</v>
      </c>
      <c r="T20" s="437" t="s">
        <v>830</v>
      </c>
      <c r="U20" s="430" t="n">
        <f aca="false" t="array" ref="U20:U20">IF(AND($R20=2,ACOMPANHAMENTO="BM"),ROUND(U21,4),U22/$S20)</f>
        <v>0.3051</v>
      </c>
      <c r="V20" s="430" t="n">
        <f aca="false" t="array" ref="V20:V20">IF(AND($R20=2,ACOMPANHAMENTO="BM"),ROUND(V21,4),V22/$S20)</f>
        <v>0.2843</v>
      </c>
      <c r="W20" s="430" t="n">
        <f aca="false" t="array" ref="W20:W20">IF(AND($R20=2,ACOMPANHAMENTO="BM"),ROUND(W21,4),W22/$S20)</f>
        <v>0.4106</v>
      </c>
      <c r="X20" s="430" t="n">
        <f aca="false" t="array" ref="X20:X20">IF(AND($R20=2,ACOMPANHAMENTO="BM"),ROUND(X21,4),X22/$S20)</f>
        <v>0</v>
      </c>
      <c r="Y20" s="430" t="n">
        <f aca="false" t="array" ref="Y20:Y20">IF(AND($R20=2,ACOMPANHAMENTO="BM"),ROUND(Y21,4),Y22/$S20)</f>
        <v>0</v>
      </c>
      <c r="Z20" s="430" t="n">
        <f aca="false" t="array" ref="Z20:Z20">IF(AND($R20=2,ACOMPANHAMENTO="BM"),ROUND(Z21,4),Z22/$S20)</f>
        <v>0</v>
      </c>
      <c r="AA20" s="430" t="n">
        <f aca="false" t="array" ref="AA20:AA20">IF(AND($R20=2,ACOMPANHAMENTO="BM"),ROUND(AA21,4),AA22/$S20)</f>
        <v>0</v>
      </c>
      <c r="AB20" s="430" t="n">
        <f aca="false" t="array" ref="AB20:AB20">IF(AND($R20=2,ACOMPANHAMENTO="BM"),ROUND(AB21,4),AB22/$S20)</f>
        <v>0</v>
      </c>
      <c r="AC20" s="430" t="n">
        <f aca="false" t="array" ref="AC20:AC20">IF(AND($R20=2,ACOMPANHAMENTO="BM"),ROUND(AC21,4),AC22/$S20)</f>
        <v>0</v>
      </c>
      <c r="AD20" s="430" t="n">
        <f aca="false" t="array" ref="AD20:AD20">IF(AND($R20=2,ACOMPANHAMENTO="BM"),ROUND(AD21,4),AD22/$S20)</f>
        <v>0</v>
      </c>
      <c r="AE20" s="430" t="n">
        <f aca="false" t="array" ref="AE20:AE20">IF(AND($R20=2,ACOMPANHAMENTO="BM"),ROUND(AE21,4),AE22/$S20)</f>
        <v>0</v>
      </c>
      <c r="AF20" s="430" t="n">
        <f aca="false" t="array" ref="AF20:AF20">IF(AND($R20=2,ACOMPANHAMENTO="BM"),ROUND(AF21,4),AF22/$S20)</f>
        <v>0</v>
      </c>
      <c r="AG20" s="438"/>
    </row>
    <row r="21" customFormat="false" ht="12.75" hidden="false" customHeight="true" outlineLevel="0" collapsed="false">
      <c r="E21" s="439"/>
      <c r="F21" s="427" t="n">
        <f aca="true">IF(ISERROR(F20),IF(1+COUNTIF($M$13:OFFSET(M20,-1,0),1)&lt;=MAX(QCI!$D$13:$D$16),1+COUNTIF($M$13:OFFSET(M20,-1,0),1),-1),0)</f>
        <v>0</v>
      </c>
      <c r="G21" s="427" t="str">
        <f aca="true" t="array" ref="G21:G21">IF(ACOMPANHAMENTO="BM",OFFSET(G21,-1,0),"")</f>
        <v/>
      </c>
      <c r="H21" s="440" t="str">
        <f aca="false" t="array" ref="H21:H21">IF(OR(S20=0,S20=""),"vazia",IF(AND(OR(ACOMPANHAMENTO="PLE",$R20&lt;&gt;2),$F21=0),"calculada","--&gt;"))</f>
        <v>vazia</v>
      </c>
      <c r="I21" s="441"/>
      <c r="J21" s="442" t="str">
        <f aca="false">IF(AND(H20&lt;&gt;0,ISNUMBER(H20)),"PREENCHA ESTA LINHA --&gt;","")</f>
        <v/>
      </c>
      <c r="K21" s="442"/>
      <c r="L21" s="442"/>
      <c r="M21" s="443"/>
      <c r="N21" s="443"/>
      <c r="O21" s="443"/>
      <c r="P21" s="443"/>
      <c r="Q21" s="443"/>
      <c r="R21" s="443"/>
      <c r="S21" s="444"/>
      <c r="T21" s="445"/>
      <c r="U21" s="439" t="n">
        <v>0.3051</v>
      </c>
      <c r="V21" s="439" t="n">
        <v>0.2843</v>
      </c>
      <c r="W21" s="439" t="n">
        <v>0.4106</v>
      </c>
      <c r="X21" s="439"/>
      <c r="Y21" s="439"/>
      <c r="Z21" s="439"/>
      <c r="AA21" s="439"/>
      <c r="AB21" s="439"/>
      <c r="AC21" s="439"/>
      <c r="AD21" s="439"/>
      <c r="AE21" s="439"/>
      <c r="AF21" s="439"/>
      <c r="AG21" s="438"/>
    </row>
    <row r="22" customFormat="false" ht="12.75" hidden="true" customHeight="true" outlineLevel="0" collapsed="false">
      <c r="D22" s="446"/>
      <c r="E22" s="447" t="n">
        <f aca="false" t="array" ref="E22:E22">IF($R20=2,
         IF(AND(ACOMPANHAMENTO="PLE",ISNUMBER($F20)),
                SUMIF((OFFSET(CÁLCULO!$AM$15:$AW$15,$F20,0,OFFSET(ORÇAMENTO!$D$15,CRONO!$F20,0))),CRONO!E$12,OFFSET(CÁLCULO!$AB$15:$AL$15,$F20,0,OFFSET(ORÇAMENTO!$D$15,CRONO!$F20,0)))
                +IF(AND($F22&lt;&gt;"",$F22&lt;&gt;0),
                        SUMIF(CÁLCULO!$AM$15:$AW$40,CRONO!E$12,CÁLCULO!$AB$15:$AL$40)/(ORÇAMENTO!$X$15-_xlfn.single(CÁLCULO.TotalAdmLocal))*CRONO!$F22,
                        0),
                 E21*$S20),
          SUMIF(OFFSET($S22,1,0,$R20-2),($M20+1)&amp;"$",OFFSET(E22,1,0,$R20-2)))</f>
        <v>0</v>
      </c>
      <c r="F22" s="427" t="str">
        <f aca="true">IF(OR($R20&lt;&gt;2,AUTOEVENTO&lt;&gt;"manual",$F21&gt;0),"",
        IF(Import.TipoArredondamento="Tradicional",
              SUMIF(OFFSET(CÁLCULO!$M$15,CRONO!$F20,0,OFFSET(ORÇAMENTO!$D$15,CRONO!$F20,0)),1,OFFSET(ORÇAMENTO!$X$15,CRONO!$F20,0,OFFSET(ORÇAMENTO!$D$15,CRONO!$F20,0))),
              0))</f>
        <v/>
      </c>
      <c r="H22" s="448"/>
      <c r="S22" s="449" t="str">
        <f aca="false">M20&amp;"$"</f>
        <v>3$</v>
      </c>
      <c r="T22" s="450"/>
      <c r="U22" s="447" t="n">
        <f aca="false" t="array" ref="U22:U22">IF($R20=2,
         IF(AND(ACOMPANHAMENTO="PLE",ISNUMBER($F20)),
                SUMIF((OFFSET(CÁLCULO!$AM$15:$AW$15,$F20,0,OFFSET(ORÇAMENTO!$D$15,CRONO!$F20,0))),CRONO!U$12,OFFSET(CÁLCULO!$AB$15:$AL$15,$F20,0,OFFSET(ORÇAMENTO!$D$15,CRONO!$F20,0)))
                +IF(AND($F22&lt;&gt;"",$F22&lt;&gt;0),
                        SUMIF(CÁLCULO!$AM$15:$AW$40,CRONO!U$12,CÁLCULO!$AB$15:$AL$40)/(ORÇAMENTO!$X$15-_xlfn.single(CÁLCULO.TotalAdmLocal))*CRONO!$F22,
                        0),
                 U21*$S20),
          SUMIF(OFFSET($S22,1,0,$R20-2),($M20+1)&amp;"$",OFFSET(U22,1,0,$R20-2)))</f>
        <v>0</v>
      </c>
      <c r="V22" s="447" t="n">
        <f aca="false" t="array" ref="V22:V22">IF($R20=2,
         IF(AND(ACOMPANHAMENTO="PLE",ISNUMBER($F20)),
                SUMIF((OFFSET(CÁLCULO!$AM$15:$AW$15,$F20,0,OFFSET(ORÇAMENTO!$D$15,CRONO!$F20,0))),CRONO!V$12,OFFSET(CÁLCULO!$AB$15:$AL$15,$F20,0,OFFSET(ORÇAMENTO!$D$15,CRONO!$F20,0)))
                +IF(AND($F22&lt;&gt;"",$F22&lt;&gt;0),
                        SUMIF(CÁLCULO!$AM$15:$AW$40,CRONO!V$12,CÁLCULO!$AB$15:$AL$40)/(ORÇAMENTO!$X$15-_xlfn.single(CÁLCULO.TotalAdmLocal))*CRONO!$F22,
                        0),
                 V21*$S20),
          SUMIF(OFFSET($S22,1,0,$R20-2),($M20+1)&amp;"$",OFFSET(V22,1,0,$R20-2)))</f>
        <v>0</v>
      </c>
      <c r="W22" s="447" t="n">
        <f aca="false" t="array" ref="W22:W22">IF($R20=2,
         IF(AND(ACOMPANHAMENTO="PLE",ISNUMBER($F20)),
                SUMIF((OFFSET(CÁLCULO!$AM$15:$AW$15,$F20,0,OFFSET(ORÇAMENTO!$D$15,CRONO!$F20,0))),CRONO!W$12,OFFSET(CÁLCULO!$AB$15:$AL$15,$F20,0,OFFSET(ORÇAMENTO!$D$15,CRONO!$F20,0)))
                +IF(AND($F22&lt;&gt;"",$F22&lt;&gt;0),
                        SUMIF(CÁLCULO!$AM$15:$AW$40,CRONO!W$12,CÁLCULO!$AB$15:$AL$40)/(ORÇAMENTO!$X$15-_xlfn.single(CÁLCULO.TotalAdmLocal))*CRONO!$F22,
                        0),
                 W21*$S20),
          SUMIF(OFFSET($S22,1,0,$R20-2),($M20+1)&amp;"$",OFFSET(W22,1,0,$R20-2)))</f>
        <v>0</v>
      </c>
      <c r="X22" s="447" t="n">
        <f aca="false" t="array" ref="X22:X22">IF($R20=2,
         IF(AND(ACOMPANHAMENTO="PLE",ISNUMBER($F20)),
                SUMIF((OFFSET(CÁLCULO!$AM$15:$AW$15,$F20,0,OFFSET(ORÇAMENTO!$D$15,CRONO!$F20,0))),CRONO!X$12,OFFSET(CÁLCULO!$AB$15:$AL$15,$F20,0,OFFSET(ORÇAMENTO!$D$15,CRONO!$F20,0)))
                +IF(AND($F22&lt;&gt;"",$F22&lt;&gt;0),
                        SUMIF(CÁLCULO!$AM$15:$AW$40,CRONO!X$12,CÁLCULO!$AB$15:$AL$40)/(ORÇAMENTO!$X$15-_xlfn.single(CÁLCULO.TotalAdmLocal))*CRONO!$F22,
                        0),
                 X21*$S20),
          SUMIF(OFFSET($S22,1,0,$R20-2),($M20+1)&amp;"$",OFFSET(X22,1,0,$R20-2)))</f>
        <v>0</v>
      </c>
      <c r="Y22" s="447" t="n">
        <f aca="false" t="array" ref="Y22:Y22">IF($R20=2,
         IF(AND(ACOMPANHAMENTO="PLE",ISNUMBER($F20)),
                SUMIF((OFFSET(CÁLCULO!$AM$15:$AW$15,$F20,0,OFFSET(ORÇAMENTO!$D$15,CRONO!$F20,0))),CRONO!Y$12,OFFSET(CÁLCULO!$AB$15:$AL$15,$F20,0,OFFSET(ORÇAMENTO!$D$15,CRONO!$F20,0)))
                +IF(AND($F22&lt;&gt;"",$F22&lt;&gt;0),
                        SUMIF(CÁLCULO!$AM$15:$AW$40,CRONO!Y$12,CÁLCULO!$AB$15:$AL$40)/(ORÇAMENTO!$X$15-_xlfn.single(CÁLCULO.TotalAdmLocal))*CRONO!$F22,
                        0),
                 Y21*$S20),
          SUMIF(OFFSET($S22,1,0,$R20-2),($M20+1)&amp;"$",OFFSET(Y22,1,0,$R20-2)))</f>
        <v>0</v>
      </c>
      <c r="Z22" s="447" t="n">
        <f aca="false" t="array" ref="Z22:Z22">IF($R20=2,
         IF(AND(ACOMPANHAMENTO="PLE",ISNUMBER($F20)),
                SUMIF((OFFSET(CÁLCULO!$AM$15:$AW$15,$F20,0,OFFSET(ORÇAMENTO!$D$15,CRONO!$F20,0))),CRONO!Z$12,OFFSET(CÁLCULO!$AB$15:$AL$15,$F20,0,OFFSET(ORÇAMENTO!$D$15,CRONO!$F20,0)))
                +IF(AND($F22&lt;&gt;"",$F22&lt;&gt;0),
                        SUMIF(CÁLCULO!$AM$15:$AW$40,CRONO!Z$12,CÁLCULO!$AB$15:$AL$40)/(ORÇAMENTO!$X$15-_xlfn.single(CÁLCULO.TotalAdmLocal))*CRONO!$F22,
                        0),
                 Z21*$S20),
          SUMIF(OFFSET($S22,1,0,$R20-2),($M20+1)&amp;"$",OFFSET(Z22,1,0,$R20-2)))</f>
        <v>0</v>
      </c>
      <c r="AA22" s="447" t="n">
        <f aca="false" t="array" ref="AA22:AA22">IF($R20=2,
         IF(AND(ACOMPANHAMENTO="PLE",ISNUMBER($F20)),
                SUMIF((OFFSET(CÁLCULO!$AM$15:$AW$15,$F20,0,OFFSET(ORÇAMENTO!$D$15,CRONO!$F20,0))),CRONO!AA$12,OFFSET(CÁLCULO!$AB$15:$AL$15,$F20,0,OFFSET(ORÇAMENTO!$D$15,CRONO!$F20,0)))
                +IF(AND($F22&lt;&gt;"",$F22&lt;&gt;0),
                        SUMIF(CÁLCULO!$AM$15:$AW$40,CRONO!AA$12,CÁLCULO!$AB$15:$AL$40)/(ORÇAMENTO!$X$15-_xlfn.single(CÁLCULO.TotalAdmLocal))*CRONO!$F22,
                        0),
                 AA21*$S20),
          SUMIF(OFFSET($S22,1,0,$R20-2),($M20+1)&amp;"$",OFFSET(AA22,1,0,$R20-2)))</f>
        <v>0</v>
      </c>
      <c r="AB22" s="447" t="n">
        <f aca="false" t="array" ref="AB22:AB22">IF($R20=2,
         IF(AND(ACOMPANHAMENTO="PLE",ISNUMBER($F20)),
                SUMIF((OFFSET(CÁLCULO!$AM$15:$AW$15,$F20,0,OFFSET(ORÇAMENTO!$D$15,CRONO!$F20,0))),CRONO!AB$12,OFFSET(CÁLCULO!$AB$15:$AL$15,$F20,0,OFFSET(ORÇAMENTO!$D$15,CRONO!$F20,0)))
                +IF(AND($F22&lt;&gt;"",$F22&lt;&gt;0),
                        SUMIF(CÁLCULO!$AM$15:$AW$40,CRONO!AB$12,CÁLCULO!$AB$15:$AL$40)/(ORÇAMENTO!$X$15-_xlfn.single(CÁLCULO.TotalAdmLocal))*CRONO!$F22,
                        0),
                 AB21*$S20),
          SUMIF(OFFSET($S22,1,0,$R20-2),($M20+1)&amp;"$",OFFSET(AB22,1,0,$R20-2)))</f>
        <v>0</v>
      </c>
      <c r="AC22" s="447" t="n">
        <f aca="false" t="array" ref="AC22:AC22">IF($R20=2,
         IF(AND(ACOMPANHAMENTO="PLE",ISNUMBER($F20)),
                SUMIF((OFFSET(CÁLCULO!$AM$15:$AW$15,$F20,0,OFFSET(ORÇAMENTO!$D$15,CRONO!$F20,0))),CRONO!AC$12,OFFSET(CÁLCULO!$AB$15:$AL$15,$F20,0,OFFSET(ORÇAMENTO!$D$15,CRONO!$F20,0)))
                +IF(AND($F22&lt;&gt;"",$F22&lt;&gt;0),
                        SUMIF(CÁLCULO!$AM$15:$AW$40,CRONO!AC$12,CÁLCULO!$AB$15:$AL$40)/(ORÇAMENTO!$X$15-_xlfn.single(CÁLCULO.TotalAdmLocal))*CRONO!$F22,
                        0),
                 AC21*$S20),
          SUMIF(OFFSET($S22,1,0,$R20-2),($M20+1)&amp;"$",OFFSET(AC22,1,0,$R20-2)))</f>
        <v>0</v>
      </c>
      <c r="AD22" s="447" t="n">
        <f aca="false" t="array" ref="AD22:AD22">IF($R20=2,
         IF(AND(ACOMPANHAMENTO="PLE",ISNUMBER($F20)),
                SUMIF((OFFSET(CÁLCULO!$AM$15:$AW$15,$F20,0,OFFSET(ORÇAMENTO!$D$15,CRONO!$F20,0))),CRONO!AD$12,OFFSET(CÁLCULO!$AB$15:$AL$15,$F20,0,OFFSET(ORÇAMENTO!$D$15,CRONO!$F20,0)))
                +IF(AND($F22&lt;&gt;"",$F22&lt;&gt;0),
                        SUMIF(CÁLCULO!$AM$15:$AW$40,CRONO!AD$12,CÁLCULO!$AB$15:$AL$40)/(ORÇAMENTO!$X$15-_xlfn.single(CÁLCULO.TotalAdmLocal))*CRONO!$F22,
                        0),
                 AD21*$S20),
          SUMIF(OFFSET($S22,1,0,$R20-2),($M20+1)&amp;"$",OFFSET(AD22,1,0,$R20-2)))</f>
        <v>0</v>
      </c>
      <c r="AE22" s="447" t="n">
        <f aca="false" t="array" ref="AE22:AE22">IF($R20=2,
         IF(AND(ACOMPANHAMENTO="PLE",ISNUMBER($F20)),
                SUMIF((OFFSET(CÁLCULO!$AM$15:$AW$15,$F20,0,OFFSET(ORÇAMENTO!$D$15,CRONO!$F20,0))),CRONO!AE$12,OFFSET(CÁLCULO!$AB$15:$AL$15,$F20,0,OFFSET(ORÇAMENTO!$D$15,CRONO!$F20,0)))
                +IF(AND($F22&lt;&gt;"",$F22&lt;&gt;0),
                        SUMIF(CÁLCULO!$AM$15:$AW$40,CRONO!AE$12,CÁLCULO!$AB$15:$AL$40)/(ORÇAMENTO!$X$15-_xlfn.single(CÁLCULO.TotalAdmLocal))*CRONO!$F22,
                        0),
                 AE21*$S20),
          SUMIF(OFFSET($S22,1,0,$R20-2),($M20+1)&amp;"$",OFFSET(AE22,1,0,$R20-2)))</f>
        <v>0</v>
      </c>
      <c r="AF22" s="447" t="n">
        <f aca="false" t="array" ref="AF22:AF22">IF($R20=2,
         IF(AND(ACOMPANHAMENTO="PLE",ISNUMBER($F20)),
                SUMIF((OFFSET(CÁLCULO!$AM$15:$AW$15,$F20,0,OFFSET(ORÇAMENTO!$D$15,CRONO!$F20,0))),CRONO!AF$12,OFFSET(CÁLCULO!$AB$15:$AL$15,$F20,0,OFFSET(ORÇAMENTO!$D$15,CRONO!$F20,0)))
                +IF(AND($F22&lt;&gt;"",$F22&lt;&gt;0),
                        SUMIF(CÁLCULO!$AM$15:$AW$40,CRONO!AF$12,CÁLCULO!$AB$15:$AL$40)/(ORÇAMENTO!$X$15-_xlfn.single(CÁLCULO.TotalAdmLocal))*CRONO!$F22,
                        0),
                 AF21*$S20),
          SUMIF(OFFSET($S22,1,0,$R20-2),($M20+1)&amp;"$",OFFSET(AF22,1,0,$R20-2)))</f>
        <v>0</v>
      </c>
      <c r="AG22" s="438"/>
    </row>
    <row r="23" customFormat="false" ht="12.75" hidden="false" customHeight="false" outlineLevel="0" collapsed="false">
      <c r="A23" s="388" t="str">
        <f aca="false">IF($M23&gt;1,_xlfn.CONCAT($I23," ",$J23),"")</f>
        <v>1.2. SERVIÇOS PRELIMINARES</v>
      </c>
      <c r="B23" s="427" t="n">
        <f aca="true">OFFSET(B23,-3,0)+1</f>
        <v>4</v>
      </c>
      <c r="C23" s="427" t="n">
        <f aca="true">IF($R23&lt;&gt;2,0,IF($S23=0,1,IF(F24&gt;0,OFFSET(QCI!$M$13,SUBSTITUTE(F24,".",""),0),OFFSET(ORÇAMENTO!$AA$15,CRONO!$F23,0))/$S23))</f>
        <v>0</v>
      </c>
      <c r="D23" s="427" t="n">
        <f aca="true">IF($R23&lt;&gt;2,0,IF($S23=0,1,IF(F24&gt;0,OFFSET(QCI!$N$13,SUBSTITUTE(F24,".",""),0),OFFSET(ORÇAMENTO!$AB$15,CRONO!$F23,0))/$S23))</f>
        <v>0</v>
      </c>
      <c r="E23" s="430" t="e">
        <f aca="false" t="array" ref="E23:E23">IF(AND($R23=2,ACOMPANHAMENTO="BM"),ROUND(E24,4),E25/$S23)</f>
        <v>#DIV/0!</v>
      </c>
      <c r="F23" s="427" t="n">
        <f aca="true">IF(B23&lt;=ORÇAMENTO.MáximoListaCrono,MATCH(B23,ORÇAMENTO.ListaCrono,0),NA())</f>
        <v>5</v>
      </c>
      <c r="G23" s="427" t="str">
        <f aca="false">IF(AND($F24&lt;&gt;-1,$S23&gt;0),"F","")</f>
        <v/>
      </c>
      <c r="H23" s="431" t="str">
        <f aca="false" t="array" ref="H23:H23">IF(OR(S23=0,S23=""),"Linha",IF(AND(OR(ACOMPANHAMENTO="PLE",$R23&lt;&gt;2),$F24=0),"Linha",ROUND(1-SUM(U23:AG23),4)))</f>
        <v>Linha</v>
      </c>
      <c r="I23" s="432" t="str">
        <f aca="true">IF($F24=0,OFFSET(ORÇAMENTO!O$15,$F23,0),IF($F24&lt;&gt;-1,OFFSET(QCI!$D$13,$F24,0),""))</f>
        <v>1.2.</v>
      </c>
      <c r="J23" s="433" t="str">
        <f aca="true">IF($F24=0,OFFSET(ORÇAMENTO!R$15,$F23,0),IF($F24&lt;&gt;-1,OFFSET(QCI!$G$13,$F24,0),""))</f>
        <v>SERVIÇOS PRELIMINARES</v>
      </c>
      <c r="K23" s="433"/>
      <c r="L23" s="433"/>
      <c r="M23" s="434" t="n">
        <f aca="true">IF($F24=0,OFFSET(ORÇAMENTO!C$15,$F23,0),1)</f>
        <v>2</v>
      </c>
      <c r="N23" s="435" t="n">
        <f aca="true">IF($F24=-1,0,IF(N$13&lt;=$M23,IF(ISERROR(MATCH(N$13,OFFSET($M23,1,0,ROW($M$44)-ROW($M23)-1),0)),ROW($M$44)-ROW($M23)-1,MATCH(N$13,OFFSET($M23,1,0,ROW($M$44)-ROW($M23)-1),0)-1),0))</f>
        <v>20</v>
      </c>
      <c r="O23" s="435" t="n">
        <f aca="true">IF($F24=-1,0,IF(O$13&lt;=$M23,IF(ISERROR(MATCH(O$13,OFFSET($M23,1,0,ROW($M$44)-ROW($M23)-1),0)),ROW($M$44)-ROW($M23)-1,MATCH(O$13,OFFSET($M23,1,0,ROW($M$44)-ROW($M23)-1),0)-1),0))</f>
        <v>5</v>
      </c>
      <c r="P23" s="435" t="n">
        <f aca="true">IF($F24=-1,0,IF(P$13&lt;=$M23,IF(ISERROR(MATCH(P$13,OFFSET($M23,1,0,ROW($M$44)-ROW($M23)-1),0)),ROW($M$44)-ROW($M23)-1,MATCH(P$13,OFFSET($M23,1,0,ROW($M$44)-ROW($M23)-1),0)-1),0))</f>
        <v>0</v>
      </c>
      <c r="Q23" s="435" t="n">
        <f aca="true">IF($F24=-1,0,IF(Q$13&lt;=$M23,IF(ISERROR(MATCH(Q$13,OFFSET($M23,1,0,ROW($M$44)-ROW($M23)-1),0)),ROW($M$44)-ROW($M23)-1,MATCH(Q$13,OFFSET($M23,1,0,ROW($M$44)-ROW($M23)-1),0)-1),0))</f>
        <v>0</v>
      </c>
      <c r="R23" s="435" t="n">
        <f aca="true">MIN(OFFSET(M23,0,1,,M23))</f>
        <v>5</v>
      </c>
      <c r="S23" s="436" t="n">
        <f aca="true">IF($F24=0,OFFSET(ORÇAMENTO!X$15,$F23,0),IF($F24&lt;&gt;-1,OFFSET(QCI!$O$13,$F24,0),""))</f>
        <v>0</v>
      </c>
      <c r="T23" s="437" t="s">
        <v>830</v>
      </c>
      <c r="U23" s="430" t="e">
        <f aca="false" t="array" ref="U23:U23">IF(AND($R23=2,ACOMPANHAMENTO="BM"),ROUND(U24,4),U25/$S23)</f>
        <v>#DIV/0!</v>
      </c>
      <c r="V23" s="430" t="e">
        <f aca="false" t="array" ref="V23:V23">IF(AND($R23=2,ACOMPANHAMENTO="BM"),ROUND(V24,4),V25/$S23)</f>
        <v>#DIV/0!</v>
      </c>
      <c r="W23" s="430" t="e">
        <f aca="false" t="array" ref="W23:W23">IF(AND($R23=2,ACOMPANHAMENTO="BM"),ROUND(W24,4),W25/$S23)</f>
        <v>#DIV/0!</v>
      </c>
      <c r="X23" s="430" t="e">
        <f aca="false" t="array" ref="X23:X23">IF(AND($R23=2,ACOMPANHAMENTO="BM"),ROUND(X24,4),X25/$S23)</f>
        <v>#DIV/0!</v>
      </c>
      <c r="Y23" s="430" t="e">
        <f aca="false" t="array" ref="Y23:Y23">IF(AND($R23=2,ACOMPANHAMENTO="BM"),ROUND(Y24,4),Y25/$S23)</f>
        <v>#DIV/0!</v>
      </c>
      <c r="Z23" s="430" t="e">
        <f aca="false" t="array" ref="Z23:Z23">IF(AND($R23=2,ACOMPANHAMENTO="BM"),ROUND(Z24,4),Z25/$S23)</f>
        <v>#DIV/0!</v>
      </c>
      <c r="AA23" s="430" t="e">
        <f aca="false" t="array" ref="AA23:AA23">IF(AND($R23=2,ACOMPANHAMENTO="BM"),ROUND(AA24,4),AA25/$S23)</f>
        <v>#DIV/0!</v>
      </c>
      <c r="AB23" s="430" t="e">
        <f aca="false" t="array" ref="AB23:AB23">IF(AND($R23=2,ACOMPANHAMENTO="BM"),ROUND(AB24,4),AB25/$S23)</f>
        <v>#DIV/0!</v>
      </c>
      <c r="AC23" s="430" t="e">
        <f aca="false" t="array" ref="AC23:AC23">IF(AND($R23=2,ACOMPANHAMENTO="BM"),ROUND(AC24,4),AC25/$S23)</f>
        <v>#DIV/0!</v>
      </c>
      <c r="AD23" s="430" t="e">
        <f aca="false" t="array" ref="AD23:AD23">IF(AND($R23=2,ACOMPANHAMENTO="BM"),ROUND(AD24,4),AD25/$S23)</f>
        <v>#DIV/0!</v>
      </c>
      <c r="AE23" s="430" t="e">
        <f aca="false" t="array" ref="AE23:AE23">IF(AND($R23=2,ACOMPANHAMENTO="BM"),ROUND(AE24,4),AE25/$S23)</f>
        <v>#DIV/0!</v>
      </c>
      <c r="AF23" s="430" t="e">
        <f aca="false" t="array" ref="AF23:AF23">IF(AND($R23=2,ACOMPANHAMENTO="BM"),ROUND(AF24,4),AF25/$S23)</f>
        <v>#DIV/0!</v>
      </c>
      <c r="AG23" s="438"/>
    </row>
    <row r="24" customFormat="false" ht="12.75" hidden="false" customHeight="true" outlineLevel="0" collapsed="false">
      <c r="E24" s="439"/>
      <c r="F24" s="427" t="n">
        <f aca="true">IF(ISERROR(F23),IF(1+COUNTIF($M$13:OFFSET(M23,-1,0),1)&lt;=MAX(QCI!$D$13:$D$16),1+COUNTIF($M$13:OFFSET(M23,-1,0),1),-1),0)</f>
        <v>0</v>
      </c>
      <c r="G24" s="427" t="str">
        <f aca="true" t="array" ref="G24:G24">IF(ACOMPANHAMENTO="BM",OFFSET(G24,-1,0),"")</f>
        <v/>
      </c>
      <c r="H24" s="440" t="str">
        <f aca="false" t="array" ref="H24:H24">IF(OR(S23=0,S23=""),"vazia",IF(AND(OR(ACOMPANHAMENTO="PLE",$R23&lt;&gt;2),$F24=0),"calculada","--&gt;"))</f>
        <v>vazia</v>
      </c>
      <c r="I24" s="441"/>
      <c r="J24" s="442" t="str">
        <f aca="false">IF(AND(H23&lt;&gt;0,ISNUMBER(H23)),"PREENCHA ESTA LINHA --&gt;","")</f>
        <v/>
      </c>
      <c r="K24" s="442"/>
      <c r="L24" s="442"/>
      <c r="M24" s="443"/>
      <c r="N24" s="443"/>
      <c r="O24" s="443"/>
      <c r="P24" s="443"/>
      <c r="Q24" s="443"/>
      <c r="R24" s="443"/>
      <c r="S24" s="444"/>
      <c r="T24" s="445"/>
      <c r="U24" s="439" t="n">
        <v>0.5</v>
      </c>
      <c r="V24" s="439" t="n">
        <v>0.5</v>
      </c>
      <c r="W24" s="439"/>
      <c r="X24" s="439"/>
      <c r="Y24" s="439"/>
      <c r="Z24" s="439"/>
      <c r="AA24" s="439"/>
      <c r="AB24" s="439"/>
      <c r="AC24" s="439"/>
      <c r="AD24" s="439"/>
      <c r="AE24" s="439"/>
      <c r="AF24" s="439"/>
      <c r="AG24" s="438"/>
    </row>
    <row r="25" customFormat="false" ht="12.75" hidden="true" customHeight="true" outlineLevel="0" collapsed="false">
      <c r="D25" s="446"/>
      <c r="E25" s="447" t="n">
        <f aca="false" t="array" ref="E25:E25">IF($R23=2,
         IF(AND(ACOMPANHAMENTO="PLE",ISNUMBER($F23)),
                SUMIF((OFFSET(CÁLCULO!$AM$15:$AW$15,$F23,0,OFFSET(ORÇAMENTO!$D$15,CRONO!$F23,0))),CRONO!E$12,OFFSET(CÁLCULO!$AB$15:$AL$15,$F23,0,OFFSET(ORÇAMENTO!$D$15,CRONO!$F23,0)))
                +IF(AND($F25&lt;&gt;"",$F25&lt;&gt;0),
                        SUMIF(CÁLCULO!$AM$15:$AW$40,CRONO!E$12,CÁLCULO!$AB$15:$AL$40)/(ORÇAMENTO!$X$15-_xlfn.single(CÁLCULO.TotalAdmLocal))*CRONO!$F25,
                        0),
                 E24*$S23),
          SUMIF(OFFSET($S25,1,0,$R23-2),($M23+1)&amp;"$",OFFSET(E25,1,0,$R23-2)))</f>
        <v>0</v>
      </c>
      <c r="F25" s="427" t="str">
        <f aca="true">IF(OR($R23&lt;&gt;2,AUTOEVENTO&lt;&gt;"manual",$F24&gt;0),"",
        IF(Import.TipoArredondamento="Tradicional",
              SUMIF(OFFSET(CÁLCULO!$M$15,CRONO!$F23,0,OFFSET(ORÇAMENTO!$D$15,CRONO!$F23,0)),1,OFFSET(ORÇAMENTO!$X$15,CRONO!$F23,0,OFFSET(ORÇAMENTO!$D$15,CRONO!$F23,0))),
              0))</f>
        <v/>
      </c>
      <c r="H25" s="448"/>
      <c r="S25" s="449" t="str">
        <f aca="false">M23&amp;"$"</f>
        <v>2$</v>
      </c>
      <c r="T25" s="450"/>
      <c r="U25" s="447" t="n">
        <f aca="false" t="array" ref="U25:U25">IF($R23=2,
         IF(AND(ACOMPANHAMENTO="PLE",ISNUMBER($F23)),
                SUMIF((OFFSET(CÁLCULO!$AM$15:$AW$15,$F23,0,OFFSET(ORÇAMENTO!$D$15,CRONO!$F23,0))),CRONO!U$12,OFFSET(CÁLCULO!$AB$15:$AL$15,$F23,0,OFFSET(ORÇAMENTO!$D$15,CRONO!$F23,0)))
                +IF(AND($F25&lt;&gt;"",$F25&lt;&gt;0),
                        SUMIF(CÁLCULO!$AM$15:$AW$40,CRONO!U$12,CÁLCULO!$AB$15:$AL$40)/(ORÇAMENTO!$X$15-_xlfn.single(CÁLCULO.TotalAdmLocal))*CRONO!$F25,
                        0),
                 U24*$S23),
          SUMIF(OFFSET($S25,1,0,$R23-2),($M23+1)&amp;"$",OFFSET(U25,1,0,$R23-2)))</f>
        <v>0</v>
      </c>
      <c r="V25" s="447" t="n">
        <f aca="false" t="array" ref="V25:V25">IF($R23=2,
         IF(AND(ACOMPANHAMENTO="PLE",ISNUMBER($F23)),
                SUMIF((OFFSET(CÁLCULO!$AM$15:$AW$15,$F23,0,OFFSET(ORÇAMENTO!$D$15,CRONO!$F23,0))),CRONO!V$12,OFFSET(CÁLCULO!$AB$15:$AL$15,$F23,0,OFFSET(ORÇAMENTO!$D$15,CRONO!$F23,0)))
                +IF(AND($F25&lt;&gt;"",$F25&lt;&gt;0),
                        SUMIF(CÁLCULO!$AM$15:$AW$40,CRONO!V$12,CÁLCULO!$AB$15:$AL$40)/(ORÇAMENTO!$X$15-_xlfn.single(CÁLCULO.TotalAdmLocal))*CRONO!$F25,
                        0),
                 V24*$S23),
          SUMIF(OFFSET($S25,1,0,$R23-2),($M23+1)&amp;"$",OFFSET(V25,1,0,$R23-2)))</f>
        <v>0</v>
      </c>
      <c r="W25" s="447" t="n">
        <f aca="false" t="array" ref="W25:W25">IF($R23=2,
         IF(AND(ACOMPANHAMENTO="PLE",ISNUMBER($F23)),
                SUMIF((OFFSET(CÁLCULO!$AM$15:$AW$15,$F23,0,OFFSET(ORÇAMENTO!$D$15,CRONO!$F23,0))),CRONO!W$12,OFFSET(CÁLCULO!$AB$15:$AL$15,$F23,0,OFFSET(ORÇAMENTO!$D$15,CRONO!$F23,0)))
                +IF(AND($F25&lt;&gt;"",$F25&lt;&gt;0),
                        SUMIF(CÁLCULO!$AM$15:$AW$40,CRONO!W$12,CÁLCULO!$AB$15:$AL$40)/(ORÇAMENTO!$X$15-_xlfn.single(CÁLCULO.TotalAdmLocal))*CRONO!$F25,
                        0),
                 W24*$S23),
          SUMIF(OFFSET($S25,1,0,$R23-2),($M23+1)&amp;"$",OFFSET(W25,1,0,$R23-2)))</f>
        <v>0</v>
      </c>
      <c r="X25" s="447" t="n">
        <f aca="false" t="array" ref="X25:X25">IF($R23=2,
         IF(AND(ACOMPANHAMENTO="PLE",ISNUMBER($F23)),
                SUMIF((OFFSET(CÁLCULO!$AM$15:$AW$15,$F23,0,OFFSET(ORÇAMENTO!$D$15,CRONO!$F23,0))),CRONO!X$12,OFFSET(CÁLCULO!$AB$15:$AL$15,$F23,0,OFFSET(ORÇAMENTO!$D$15,CRONO!$F23,0)))
                +IF(AND($F25&lt;&gt;"",$F25&lt;&gt;0),
                        SUMIF(CÁLCULO!$AM$15:$AW$40,CRONO!X$12,CÁLCULO!$AB$15:$AL$40)/(ORÇAMENTO!$X$15-_xlfn.single(CÁLCULO.TotalAdmLocal))*CRONO!$F25,
                        0),
                 X24*$S23),
          SUMIF(OFFSET($S25,1,0,$R23-2),($M23+1)&amp;"$",OFFSET(X25,1,0,$R23-2)))</f>
        <v>0</v>
      </c>
      <c r="Y25" s="447" t="n">
        <f aca="false" t="array" ref="Y25:Y25">IF($R23=2,
         IF(AND(ACOMPANHAMENTO="PLE",ISNUMBER($F23)),
                SUMIF((OFFSET(CÁLCULO!$AM$15:$AW$15,$F23,0,OFFSET(ORÇAMENTO!$D$15,CRONO!$F23,0))),CRONO!Y$12,OFFSET(CÁLCULO!$AB$15:$AL$15,$F23,0,OFFSET(ORÇAMENTO!$D$15,CRONO!$F23,0)))
                +IF(AND($F25&lt;&gt;"",$F25&lt;&gt;0),
                        SUMIF(CÁLCULO!$AM$15:$AW$40,CRONO!Y$12,CÁLCULO!$AB$15:$AL$40)/(ORÇAMENTO!$X$15-_xlfn.single(CÁLCULO.TotalAdmLocal))*CRONO!$F25,
                        0),
                 Y24*$S23),
          SUMIF(OFFSET($S25,1,0,$R23-2),($M23+1)&amp;"$",OFFSET(Y25,1,0,$R23-2)))</f>
        <v>0</v>
      </c>
      <c r="Z25" s="447" t="n">
        <f aca="false" t="array" ref="Z25:Z25">IF($R23=2,
         IF(AND(ACOMPANHAMENTO="PLE",ISNUMBER($F23)),
                SUMIF((OFFSET(CÁLCULO!$AM$15:$AW$15,$F23,0,OFFSET(ORÇAMENTO!$D$15,CRONO!$F23,0))),CRONO!Z$12,OFFSET(CÁLCULO!$AB$15:$AL$15,$F23,0,OFFSET(ORÇAMENTO!$D$15,CRONO!$F23,0)))
                +IF(AND($F25&lt;&gt;"",$F25&lt;&gt;0),
                        SUMIF(CÁLCULO!$AM$15:$AW$40,CRONO!Z$12,CÁLCULO!$AB$15:$AL$40)/(ORÇAMENTO!$X$15-_xlfn.single(CÁLCULO.TotalAdmLocal))*CRONO!$F25,
                        0),
                 Z24*$S23),
          SUMIF(OFFSET($S25,1,0,$R23-2),($M23+1)&amp;"$",OFFSET(Z25,1,0,$R23-2)))</f>
        <v>0</v>
      </c>
      <c r="AA25" s="447" t="n">
        <f aca="false" t="array" ref="AA25:AA25">IF($R23=2,
         IF(AND(ACOMPANHAMENTO="PLE",ISNUMBER($F23)),
                SUMIF((OFFSET(CÁLCULO!$AM$15:$AW$15,$F23,0,OFFSET(ORÇAMENTO!$D$15,CRONO!$F23,0))),CRONO!AA$12,OFFSET(CÁLCULO!$AB$15:$AL$15,$F23,0,OFFSET(ORÇAMENTO!$D$15,CRONO!$F23,0)))
                +IF(AND($F25&lt;&gt;"",$F25&lt;&gt;0),
                        SUMIF(CÁLCULO!$AM$15:$AW$40,CRONO!AA$12,CÁLCULO!$AB$15:$AL$40)/(ORÇAMENTO!$X$15-_xlfn.single(CÁLCULO.TotalAdmLocal))*CRONO!$F25,
                        0),
                 AA24*$S23),
          SUMIF(OFFSET($S25,1,0,$R23-2),($M23+1)&amp;"$",OFFSET(AA25,1,0,$R23-2)))</f>
        <v>0</v>
      </c>
      <c r="AB25" s="447" t="n">
        <f aca="false" t="array" ref="AB25:AB25">IF($R23=2,
         IF(AND(ACOMPANHAMENTO="PLE",ISNUMBER($F23)),
                SUMIF((OFFSET(CÁLCULO!$AM$15:$AW$15,$F23,0,OFFSET(ORÇAMENTO!$D$15,CRONO!$F23,0))),CRONO!AB$12,OFFSET(CÁLCULO!$AB$15:$AL$15,$F23,0,OFFSET(ORÇAMENTO!$D$15,CRONO!$F23,0)))
                +IF(AND($F25&lt;&gt;"",$F25&lt;&gt;0),
                        SUMIF(CÁLCULO!$AM$15:$AW$40,CRONO!AB$12,CÁLCULO!$AB$15:$AL$40)/(ORÇAMENTO!$X$15-_xlfn.single(CÁLCULO.TotalAdmLocal))*CRONO!$F25,
                        0),
                 AB24*$S23),
          SUMIF(OFFSET($S25,1,0,$R23-2),($M23+1)&amp;"$",OFFSET(AB25,1,0,$R23-2)))</f>
        <v>0</v>
      </c>
      <c r="AC25" s="447" t="n">
        <f aca="false" t="array" ref="AC25:AC25">IF($R23=2,
         IF(AND(ACOMPANHAMENTO="PLE",ISNUMBER($F23)),
                SUMIF((OFFSET(CÁLCULO!$AM$15:$AW$15,$F23,0,OFFSET(ORÇAMENTO!$D$15,CRONO!$F23,0))),CRONO!AC$12,OFFSET(CÁLCULO!$AB$15:$AL$15,$F23,0,OFFSET(ORÇAMENTO!$D$15,CRONO!$F23,0)))
                +IF(AND($F25&lt;&gt;"",$F25&lt;&gt;0),
                        SUMIF(CÁLCULO!$AM$15:$AW$40,CRONO!AC$12,CÁLCULO!$AB$15:$AL$40)/(ORÇAMENTO!$X$15-_xlfn.single(CÁLCULO.TotalAdmLocal))*CRONO!$F25,
                        0),
                 AC24*$S23),
          SUMIF(OFFSET($S25,1,0,$R23-2),($M23+1)&amp;"$",OFFSET(AC25,1,0,$R23-2)))</f>
        <v>0</v>
      </c>
      <c r="AD25" s="447" t="n">
        <f aca="false" t="array" ref="AD25:AD25">IF($R23=2,
         IF(AND(ACOMPANHAMENTO="PLE",ISNUMBER($F23)),
                SUMIF((OFFSET(CÁLCULO!$AM$15:$AW$15,$F23,0,OFFSET(ORÇAMENTO!$D$15,CRONO!$F23,0))),CRONO!AD$12,OFFSET(CÁLCULO!$AB$15:$AL$15,$F23,0,OFFSET(ORÇAMENTO!$D$15,CRONO!$F23,0)))
                +IF(AND($F25&lt;&gt;"",$F25&lt;&gt;0),
                        SUMIF(CÁLCULO!$AM$15:$AW$40,CRONO!AD$12,CÁLCULO!$AB$15:$AL$40)/(ORÇAMENTO!$X$15-_xlfn.single(CÁLCULO.TotalAdmLocal))*CRONO!$F25,
                        0),
                 AD24*$S23),
          SUMIF(OFFSET($S25,1,0,$R23-2),($M23+1)&amp;"$",OFFSET(AD25,1,0,$R23-2)))</f>
        <v>0</v>
      </c>
      <c r="AE25" s="447" t="n">
        <f aca="false" t="array" ref="AE25:AE25">IF($R23=2,
         IF(AND(ACOMPANHAMENTO="PLE",ISNUMBER($F23)),
                SUMIF((OFFSET(CÁLCULO!$AM$15:$AW$15,$F23,0,OFFSET(ORÇAMENTO!$D$15,CRONO!$F23,0))),CRONO!AE$12,OFFSET(CÁLCULO!$AB$15:$AL$15,$F23,0,OFFSET(ORÇAMENTO!$D$15,CRONO!$F23,0)))
                +IF(AND($F25&lt;&gt;"",$F25&lt;&gt;0),
                        SUMIF(CÁLCULO!$AM$15:$AW$40,CRONO!AE$12,CÁLCULO!$AB$15:$AL$40)/(ORÇAMENTO!$X$15-_xlfn.single(CÁLCULO.TotalAdmLocal))*CRONO!$F25,
                        0),
                 AE24*$S23),
          SUMIF(OFFSET($S25,1,0,$R23-2),($M23+1)&amp;"$",OFFSET(AE25,1,0,$R23-2)))</f>
        <v>0</v>
      </c>
      <c r="AF25" s="447" t="n">
        <f aca="false" t="array" ref="AF25:AF25">IF($R23=2,
         IF(AND(ACOMPANHAMENTO="PLE",ISNUMBER($F23)),
                SUMIF((OFFSET(CÁLCULO!$AM$15:$AW$15,$F23,0,OFFSET(ORÇAMENTO!$D$15,CRONO!$F23,0))),CRONO!AF$12,OFFSET(CÁLCULO!$AB$15:$AL$15,$F23,0,OFFSET(ORÇAMENTO!$D$15,CRONO!$F23,0)))
                +IF(AND($F25&lt;&gt;"",$F25&lt;&gt;0),
                        SUMIF(CÁLCULO!$AM$15:$AW$40,CRONO!AF$12,CÁLCULO!$AB$15:$AL$40)/(ORÇAMENTO!$X$15-_xlfn.single(CÁLCULO.TotalAdmLocal))*CRONO!$F25,
                        0),
                 AF24*$S23),
          SUMIF(OFFSET($S25,1,0,$R23-2),($M23+1)&amp;"$",OFFSET(AF25,1,0,$R23-2)))</f>
        <v>0</v>
      </c>
      <c r="AG25" s="438"/>
    </row>
    <row r="26" customFormat="false" ht="12.75" hidden="false" customHeight="false" outlineLevel="0" collapsed="false">
      <c r="A26" s="388" t="str">
        <f aca="false">IF($M26&gt;1,_xlfn.CONCAT($I26," ",$J26),"")</f>
        <v>1.2.1. Serviços preliminares</v>
      </c>
      <c r="B26" s="427" t="n">
        <f aca="true">OFFSET(B26,-3,0)+1</f>
        <v>5</v>
      </c>
      <c r="C26" s="427" t="n">
        <f aca="true">IF($R26&lt;&gt;2,0,IF($S26=0,1,IF(F27&gt;0,OFFSET(QCI!$M$13,SUBSTITUTE(F27,".",""),0),OFFSET(ORÇAMENTO!$AA$15,CRONO!$F26,0))/$S26))</f>
        <v>1</v>
      </c>
      <c r="D26" s="427" t="n">
        <f aca="true">IF($R26&lt;&gt;2,0,IF($S26=0,1,IF(F27&gt;0,OFFSET(QCI!$N$13,SUBSTITUTE(F27,".",""),0),OFFSET(ORÇAMENTO!$AB$15,CRONO!$F26,0))/$S26))</f>
        <v>1</v>
      </c>
      <c r="E26" s="430" t="n">
        <f aca="false" t="array" ref="E26:E26">IF(AND($R26=2,ACOMPANHAMENTO="BM"),ROUND(E27,4),E28/$S26)</f>
        <v>0</v>
      </c>
      <c r="F26" s="427" t="n">
        <f aca="true">IF(B26&lt;=ORÇAMENTO.MáximoListaCrono,MATCH(B26,ORÇAMENTO.ListaCrono,0),NA())</f>
        <v>6</v>
      </c>
      <c r="G26" s="427" t="str">
        <f aca="false">IF(AND($F27&lt;&gt;-1,$S26&gt;0),"F","")</f>
        <v/>
      </c>
      <c r="H26" s="431" t="str">
        <f aca="false" t="array" ref="H26:H26">IF(OR(S26=0,S26=""),"Linha",IF(AND(OR(ACOMPANHAMENTO="PLE",$R26&lt;&gt;2),$F27=0),"Linha",ROUND(1-SUM(U26:AG26),4)))</f>
        <v>Linha</v>
      </c>
      <c r="I26" s="432" t="str">
        <f aca="true">IF($F27=0,OFFSET(ORÇAMENTO!O$15,$F26,0),IF($F27&lt;&gt;-1,OFFSET(QCI!$D$13,$F27,0),""))</f>
        <v>1.2.1.</v>
      </c>
      <c r="J26" s="433" t="str">
        <f aca="true">IF($F27=0,OFFSET(ORÇAMENTO!R$15,$F26,0),IF($F27&lt;&gt;-1,OFFSET(QCI!$G$13,$F27,0),""))</f>
        <v>Serviços preliminares</v>
      </c>
      <c r="K26" s="433"/>
      <c r="L26" s="433"/>
      <c r="M26" s="434" t="n">
        <f aca="true">IF($F27=0,OFFSET(ORÇAMENTO!C$15,$F26,0),1)</f>
        <v>3</v>
      </c>
      <c r="N26" s="435" t="n">
        <f aca="true">IF($F27=-1,0,IF(N$13&lt;=$M26,IF(ISERROR(MATCH(N$13,OFFSET($M26,1,0,ROW($M$44)-ROW($M26)-1),0)),ROW($M$44)-ROW($M26)-1,MATCH(N$13,OFFSET($M26,1,0,ROW($M$44)-ROW($M26)-1),0)-1),0))</f>
        <v>17</v>
      </c>
      <c r="O26" s="435" t="n">
        <f aca="true">IF($F27=-1,0,IF(O$13&lt;=$M26,IF(ISERROR(MATCH(O$13,OFFSET($M26,1,0,ROW($M$44)-ROW($M26)-1),0)),ROW($M$44)-ROW($M26)-1,MATCH(O$13,OFFSET($M26,1,0,ROW($M$44)-ROW($M26)-1),0)-1),0))</f>
        <v>2</v>
      </c>
      <c r="P26" s="435" t="n">
        <f aca="true">IF($F27=-1,0,IF(P$13&lt;=$M26,IF(ISERROR(MATCH(P$13,OFFSET($M26,1,0,ROW($M$44)-ROW($M26)-1),0)),ROW($M$44)-ROW($M26)-1,MATCH(P$13,OFFSET($M26,1,0,ROW($M$44)-ROW($M26)-1),0)-1),0))</f>
        <v>5</v>
      </c>
      <c r="Q26" s="435" t="n">
        <f aca="true">IF($F27=-1,0,IF(Q$13&lt;=$M26,IF(ISERROR(MATCH(Q$13,OFFSET($M26,1,0,ROW($M$44)-ROW($M26)-1),0)),ROW($M$44)-ROW($M26)-1,MATCH(Q$13,OFFSET($M26,1,0,ROW($M$44)-ROW($M26)-1),0)-1),0))</f>
        <v>0</v>
      </c>
      <c r="R26" s="435" t="n">
        <f aca="true">MIN(OFFSET(M26,0,1,,M26))</f>
        <v>2</v>
      </c>
      <c r="S26" s="436" t="n">
        <f aca="true">IF($F27=0,OFFSET(ORÇAMENTO!X$15,$F26,0),IF($F27&lt;&gt;-1,OFFSET(QCI!$O$13,$F27,0),""))</f>
        <v>0</v>
      </c>
      <c r="T26" s="437" t="s">
        <v>830</v>
      </c>
      <c r="U26" s="430" t="n">
        <f aca="false" t="array" ref="U26:U26">IF(AND($R26=2,ACOMPANHAMENTO="BM"),ROUND(U27,4),U28/$S26)</f>
        <v>1</v>
      </c>
      <c r="V26" s="430" t="n">
        <f aca="false" t="array" ref="V26:V26">IF(AND($R26=2,ACOMPANHAMENTO="BM"),ROUND(V27,4),V28/$S26)</f>
        <v>0</v>
      </c>
      <c r="W26" s="430" t="n">
        <f aca="false" t="array" ref="W26:W26">IF(AND($R26=2,ACOMPANHAMENTO="BM"),ROUND(W27,4),W28/$S26)</f>
        <v>0</v>
      </c>
      <c r="X26" s="430" t="n">
        <f aca="false" t="array" ref="X26:X26">IF(AND($R26=2,ACOMPANHAMENTO="BM"),ROUND(X27,4),X28/$S26)</f>
        <v>0</v>
      </c>
      <c r="Y26" s="430" t="n">
        <f aca="false" t="array" ref="Y26:Y26">IF(AND($R26=2,ACOMPANHAMENTO="BM"),ROUND(Y27,4),Y28/$S26)</f>
        <v>0</v>
      </c>
      <c r="Z26" s="430" t="n">
        <f aca="false" t="array" ref="Z26:Z26">IF(AND($R26=2,ACOMPANHAMENTO="BM"),ROUND(Z27,4),Z28/$S26)</f>
        <v>0</v>
      </c>
      <c r="AA26" s="430" t="n">
        <f aca="false" t="array" ref="AA26:AA26">IF(AND($R26=2,ACOMPANHAMENTO="BM"),ROUND(AA27,4),AA28/$S26)</f>
        <v>0</v>
      </c>
      <c r="AB26" s="430" t="n">
        <f aca="false" t="array" ref="AB26:AB26">IF(AND($R26=2,ACOMPANHAMENTO="BM"),ROUND(AB27,4),AB28/$S26)</f>
        <v>0</v>
      </c>
      <c r="AC26" s="430" t="n">
        <f aca="false" t="array" ref="AC26:AC26">IF(AND($R26=2,ACOMPANHAMENTO="BM"),ROUND(AC27,4),AC28/$S26)</f>
        <v>0</v>
      </c>
      <c r="AD26" s="430" t="n">
        <f aca="false" t="array" ref="AD26:AD26">IF(AND($R26=2,ACOMPANHAMENTO="BM"),ROUND(AD27,4),AD28/$S26)</f>
        <v>0</v>
      </c>
      <c r="AE26" s="430" t="n">
        <f aca="false" t="array" ref="AE26:AE26">IF(AND($R26=2,ACOMPANHAMENTO="BM"),ROUND(AE27,4),AE28/$S26)</f>
        <v>0</v>
      </c>
      <c r="AF26" s="430" t="n">
        <f aca="false" t="array" ref="AF26:AF26">IF(AND($R26=2,ACOMPANHAMENTO="BM"),ROUND(AF27,4),AF28/$S26)</f>
        <v>0</v>
      </c>
      <c r="AG26" s="438"/>
    </row>
    <row r="27" customFormat="false" ht="12.75" hidden="false" customHeight="true" outlineLevel="0" collapsed="false">
      <c r="E27" s="439"/>
      <c r="F27" s="427" t="n">
        <f aca="true">IF(ISERROR(F26),IF(1+COUNTIF($M$13:OFFSET(M26,-1,0),1)&lt;=MAX(QCI!$D$13:$D$16),1+COUNTIF($M$13:OFFSET(M26,-1,0),1),-1),0)</f>
        <v>0</v>
      </c>
      <c r="G27" s="427" t="str">
        <f aca="true" t="array" ref="G27:G27">IF(ACOMPANHAMENTO="BM",OFFSET(G27,-1,0),"")</f>
        <v/>
      </c>
      <c r="H27" s="440" t="str">
        <f aca="false" t="array" ref="H27:H27">IF(OR(S26=0,S26=""),"vazia",IF(AND(OR(ACOMPANHAMENTO="PLE",$R26&lt;&gt;2),$F27=0),"calculada","--&gt;"))</f>
        <v>vazia</v>
      </c>
      <c r="I27" s="441"/>
      <c r="J27" s="442" t="str">
        <f aca="false">IF(AND(H26&lt;&gt;0,ISNUMBER(H26)),"PREENCHA ESTA LINHA --&gt;","")</f>
        <v/>
      </c>
      <c r="K27" s="442"/>
      <c r="L27" s="442"/>
      <c r="M27" s="443"/>
      <c r="N27" s="443"/>
      <c r="O27" s="443"/>
      <c r="P27" s="443"/>
      <c r="Q27" s="443"/>
      <c r="R27" s="443"/>
      <c r="S27" s="444"/>
      <c r="T27" s="445"/>
      <c r="U27" s="439" t="n">
        <v>1</v>
      </c>
      <c r="V27" s="439"/>
      <c r="W27" s="439"/>
      <c r="X27" s="439"/>
      <c r="Y27" s="439"/>
      <c r="Z27" s="439"/>
      <c r="AA27" s="439"/>
      <c r="AB27" s="439"/>
      <c r="AC27" s="439"/>
      <c r="AD27" s="439"/>
      <c r="AE27" s="439"/>
      <c r="AF27" s="439"/>
      <c r="AG27" s="438"/>
    </row>
    <row r="28" customFormat="false" ht="12.75" hidden="true" customHeight="true" outlineLevel="0" collapsed="false">
      <c r="D28" s="446"/>
      <c r="E28" s="447" t="n">
        <f aca="false" t="array" ref="E28:E28">IF($R26=2,
         IF(AND(ACOMPANHAMENTO="PLE",ISNUMBER($F26)),
                SUMIF((OFFSET(CÁLCULO!$AM$15:$AW$15,$F26,0,OFFSET(ORÇAMENTO!$D$15,CRONO!$F26,0))),CRONO!E$12,OFFSET(CÁLCULO!$AB$15:$AL$15,$F26,0,OFFSET(ORÇAMENTO!$D$15,CRONO!$F26,0)))
                +IF(AND($F28&lt;&gt;"",$F28&lt;&gt;0),
                        SUMIF(CÁLCULO!$AM$15:$AW$40,CRONO!E$12,CÁLCULO!$AB$15:$AL$40)/(ORÇAMENTO!$X$15-_xlfn.single(CÁLCULO.TotalAdmLocal))*CRONO!$F28,
                        0),
                 E27*$S26),
          SUMIF(OFFSET($S28,1,0,$R26-2),($M26+1)&amp;"$",OFFSET(E28,1,0,$R26-2)))</f>
        <v>0</v>
      </c>
      <c r="F28" s="427" t="str">
        <f aca="true">IF(OR($R26&lt;&gt;2,AUTOEVENTO&lt;&gt;"manual",$F27&gt;0),"",
        IF(Import.TipoArredondamento="Tradicional",
              SUMIF(OFFSET(CÁLCULO!$M$15,CRONO!$F26,0,OFFSET(ORÇAMENTO!$D$15,CRONO!$F26,0)),1,OFFSET(ORÇAMENTO!$X$15,CRONO!$F26,0,OFFSET(ORÇAMENTO!$D$15,CRONO!$F26,0))),
              0))</f>
        <v/>
      </c>
      <c r="H28" s="448"/>
      <c r="S28" s="449" t="str">
        <f aca="false">M26&amp;"$"</f>
        <v>3$</v>
      </c>
      <c r="T28" s="450"/>
      <c r="U28" s="447" t="n">
        <f aca="false" t="array" ref="U28:U28">IF($R26=2,
         IF(AND(ACOMPANHAMENTO="PLE",ISNUMBER($F26)),
                SUMIF((OFFSET(CÁLCULO!$AM$15:$AW$15,$F26,0,OFFSET(ORÇAMENTO!$D$15,CRONO!$F26,0))),CRONO!U$12,OFFSET(CÁLCULO!$AB$15:$AL$15,$F26,0,OFFSET(ORÇAMENTO!$D$15,CRONO!$F26,0)))
                +IF(AND($F28&lt;&gt;"",$F28&lt;&gt;0),
                        SUMIF(CÁLCULO!$AM$15:$AW$40,CRONO!U$12,CÁLCULO!$AB$15:$AL$40)/(ORÇAMENTO!$X$15-_xlfn.single(CÁLCULO.TotalAdmLocal))*CRONO!$F28,
                        0),
                 U27*$S26),
          SUMIF(OFFSET($S28,1,0,$R26-2),($M26+1)&amp;"$",OFFSET(U28,1,0,$R26-2)))</f>
        <v>0</v>
      </c>
      <c r="V28" s="447" t="n">
        <f aca="false" t="array" ref="V28:V28">IF($R26=2,
         IF(AND(ACOMPANHAMENTO="PLE",ISNUMBER($F26)),
                SUMIF((OFFSET(CÁLCULO!$AM$15:$AW$15,$F26,0,OFFSET(ORÇAMENTO!$D$15,CRONO!$F26,0))),CRONO!V$12,OFFSET(CÁLCULO!$AB$15:$AL$15,$F26,0,OFFSET(ORÇAMENTO!$D$15,CRONO!$F26,0)))
                +IF(AND($F28&lt;&gt;"",$F28&lt;&gt;0),
                        SUMIF(CÁLCULO!$AM$15:$AW$40,CRONO!V$12,CÁLCULO!$AB$15:$AL$40)/(ORÇAMENTO!$X$15-_xlfn.single(CÁLCULO.TotalAdmLocal))*CRONO!$F28,
                        0),
                 V27*$S26),
          SUMIF(OFFSET($S28,1,0,$R26-2),($M26+1)&amp;"$",OFFSET(V28,1,0,$R26-2)))</f>
        <v>0</v>
      </c>
      <c r="W28" s="447" t="n">
        <f aca="false" t="array" ref="W28:W28">IF($R26=2,
         IF(AND(ACOMPANHAMENTO="PLE",ISNUMBER($F26)),
                SUMIF((OFFSET(CÁLCULO!$AM$15:$AW$15,$F26,0,OFFSET(ORÇAMENTO!$D$15,CRONO!$F26,0))),CRONO!W$12,OFFSET(CÁLCULO!$AB$15:$AL$15,$F26,0,OFFSET(ORÇAMENTO!$D$15,CRONO!$F26,0)))
                +IF(AND($F28&lt;&gt;"",$F28&lt;&gt;0),
                        SUMIF(CÁLCULO!$AM$15:$AW$40,CRONO!W$12,CÁLCULO!$AB$15:$AL$40)/(ORÇAMENTO!$X$15-_xlfn.single(CÁLCULO.TotalAdmLocal))*CRONO!$F28,
                        0),
                 W27*$S26),
          SUMIF(OFFSET($S28,1,0,$R26-2),($M26+1)&amp;"$",OFFSET(W28,1,0,$R26-2)))</f>
        <v>0</v>
      </c>
      <c r="X28" s="447" t="n">
        <f aca="false" t="array" ref="X28:X28">IF($R26=2,
         IF(AND(ACOMPANHAMENTO="PLE",ISNUMBER($F26)),
                SUMIF((OFFSET(CÁLCULO!$AM$15:$AW$15,$F26,0,OFFSET(ORÇAMENTO!$D$15,CRONO!$F26,0))),CRONO!X$12,OFFSET(CÁLCULO!$AB$15:$AL$15,$F26,0,OFFSET(ORÇAMENTO!$D$15,CRONO!$F26,0)))
                +IF(AND($F28&lt;&gt;"",$F28&lt;&gt;0),
                        SUMIF(CÁLCULO!$AM$15:$AW$40,CRONO!X$12,CÁLCULO!$AB$15:$AL$40)/(ORÇAMENTO!$X$15-_xlfn.single(CÁLCULO.TotalAdmLocal))*CRONO!$F28,
                        0),
                 X27*$S26),
          SUMIF(OFFSET($S28,1,0,$R26-2),($M26+1)&amp;"$",OFFSET(X28,1,0,$R26-2)))</f>
        <v>0</v>
      </c>
      <c r="Y28" s="447" t="n">
        <f aca="false" t="array" ref="Y28:Y28">IF($R26=2,
         IF(AND(ACOMPANHAMENTO="PLE",ISNUMBER($F26)),
                SUMIF((OFFSET(CÁLCULO!$AM$15:$AW$15,$F26,0,OFFSET(ORÇAMENTO!$D$15,CRONO!$F26,0))),CRONO!Y$12,OFFSET(CÁLCULO!$AB$15:$AL$15,$F26,0,OFFSET(ORÇAMENTO!$D$15,CRONO!$F26,0)))
                +IF(AND($F28&lt;&gt;"",$F28&lt;&gt;0),
                        SUMIF(CÁLCULO!$AM$15:$AW$40,CRONO!Y$12,CÁLCULO!$AB$15:$AL$40)/(ORÇAMENTO!$X$15-_xlfn.single(CÁLCULO.TotalAdmLocal))*CRONO!$F28,
                        0),
                 Y27*$S26),
          SUMIF(OFFSET($S28,1,0,$R26-2),($M26+1)&amp;"$",OFFSET(Y28,1,0,$R26-2)))</f>
        <v>0</v>
      </c>
      <c r="Z28" s="447" t="n">
        <f aca="false" t="array" ref="Z28:Z28">IF($R26=2,
         IF(AND(ACOMPANHAMENTO="PLE",ISNUMBER($F26)),
                SUMIF((OFFSET(CÁLCULO!$AM$15:$AW$15,$F26,0,OFFSET(ORÇAMENTO!$D$15,CRONO!$F26,0))),CRONO!Z$12,OFFSET(CÁLCULO!$AB$15:$AL$15,$F26,0,OFFSET(ORÇAMENTO!$D$15,CRONO!$F26,0)))
                +IF(AND($F28&lt;&gt;"",$F28&lt;&gt;0),
                        SUMIF(CÁLCULO!$AM$15:$AW$40,CRONO!Z$12,CÁLCULO!$AB$15:$AL$40)/(ORÇAMENTO!$X$15-_xlfn.single(CÁLCULO.TotalAdmLocal))*CRONO!$F28,
                        0),
                 Z27*$S26),
          SUMIF(OFFSET($S28,1,0,$R26-2),($M26+1)&amp;"$",OFFSET(Z28,1,0,$R26-2)))</f>
        <v>0</v>
      </c>
      <c r="AA28" s="447" t="n">
        <f aca="false" t="array" ref="AA28:AA28">IF($R26=2,
         IF(AND(ACOMPANHAMENTO="PLE",ISNUMBER($F26)),
                SUMIF((OFFSET(CÁLCULO!$AM$15:$AW$15,$F26,0,OFFSET(ORÇAMENTO!$D$15,CRONO!$F26,0))),CRONO!AA$12,OFFSET(CÁLCULO!$AB$15:$AL$15,$F26,0,OFFSET(ORÇAMENTO!$D$15,CRONO!$F26,0)))
                +IF(AND($F28&lt;&gt;"",$F28&lt;&gt;0),
                        SUMIF(CÁLCULO!$AM$15:$AW$40,CRONO!AA$12,CÁLCULO!$AB$15:$AL$40)/(ORÇAMENTO!$X$15-_xlfn.single(CÁLCULO.TotalAdmLocal))*CRONO!$F28,
                        0),
                 AA27*$S26),
          SUMIF(OFFSET($S28,1,0,$R26-2),($M26+1)&amp;"$",OFFSET(AA28,1,0,$R26-2)))</f>
        <v>0</v>
      </c>
      <c r="AB28" s="447" t="n">
        <f aca="false" t="array" ref="AB28:AB28">IF($R26=2,
         IF(AND(ACOMPANHAMENTO="PLE",ISNUMBER($F26)),
                SUMIF((OFFSET(CÁLCULO!$AM$15:$AW$15,$F26,0,OFFSET(ORÇAMENTO!$D$15,CRONO!$F26,0))),CRONO!AB$12,OFFSET(CÁLCULO!$AB$15:$AL$15,$F26,0,OFFSET(ORÇAMENTO!$D$15,CRONO!$F26,0)))
                +IF(AND($F28&lt;&gt;"",$F28&lt;&gt;0),
                        SUMIF(CÁLCULO!$AM$15:$AW$40,CRONO!AB$12,CÁLCULO!$AB$15:$AL$40)/(ORÇAMENTO!$X$15-_xlfn.single(CÁLCULO.TotalAdmLocal))*CRONO!$F28,
                        0),
                 AB27*$S26),
          SUMIF(OFFSET($S28,1,0,$R26-2),($M26+1)&amp;"$",OFFSET(AB28,1,0,$R26-2)))</f>
        <v>0</v>
      </c>
      <c r="AC28" s="447" t="n">
        <f aca="false" t="array" ref="AC28:AC28">IF($R26=2,
         IF(AND(ACOMPANHAMENTO="PLE",ISNUMBER($F26)),
                SUMIF((OFFSET(CÁLCULO!$AM$15:$AW$15,$F26,0,OFFSET(ORÇAMENTO!$D$15,CRONO!$F26,0))),CRONO!AC$12,OFFSET(CÁLCULO!$AB$15:$AL$15,$F26,0,OFFSET(ORÇAMENTO!$D$15,CRONO!$F26,0)))
                +IF(AND($F28&lt;&gt;"",$F28&lt;&gt;0),
                        SUMIF(CÁLCULO!$AM$15:$AW$40,CRONO!AC$12,CÁLCULO!$AB$15:$AL$40)/(ORÇAMENTO!$X$15-_xlfn.single(CÁLCULO.TotalAdmLocal))*CRONO!$F28,
                        0),
                 AC27*$S26),
          SUMIF(OFFSET($S28,1,0,$R26-2),($M26+1)&amp;"$",OFFSET(AC28,1,0,$R26-2)))</f>
        <v>0</v>
      </c>
      <c r="AD28" s="447" t="n">
        <f aca="false" t="array" ref="AD28:AD28">IF($R26=2,
         IF(AND(ACOMPANHAMENTO="PLE",ISNUMBER($F26)),
                SUMIF((OFFSET(CÁLCULO!$AM$15:$AW$15,$F26,0,OFFSET(ORÇAMENTO!$D$15,CRONO!$F26,0))),CRONO!AD$12,OFFSET(CÁLCULO!$AB$15:$AL$15,$F26,0,OFFSET(ORÇAMENTO!$D$15,CRONO!$F26,0)))
                +IF(AND($F28&lt;&gt;"",$F28&lt;&gt;0),
                        SUMIF(CÁLCULO!$AM$15:$AW$40,CRONO!AD$12,CÁLCULO!$AB$15:$AL$40)/(ORÇAMENTO!$X$15-_xlfn.single(CÁLCULO.TotalAdmLocal))*CRONO!$F28,
                        0),
                 AD27*$S26),
          SUMIF(OFFSET($S28,1,0,$R26-2),($M26+1)&amp;"$",OFFSET(AD28,1,0,$R26-2)))</f>
        <v>0</v>
      </c>
      <c r="AE28" s="447" t="n">
        <f aca="false" t="array" ref="AE28:AE28">IF($R26=2,
         IF(AND(ACOMPANHAMENTO="PLE",ISNUMBER($F26)),
                SUMIF((OFFSET(CÁLCULO!$AM$15:$AW$15,$F26,0,OFFSET(ORÇAMENTO!$D$15,CRONO!$F26,0))),CRONO!AE$12,OFFSET(CÁLCULO!$AB$15:$AL$15,$F26,0,OFFSET(ORÇAMENTO!$D$15,CRONO!$F26,0)))
                +IF(AND($F28&lt;&gt;"",$F28&lt;&gt;0),
                        SUMIF(CÁLCULO!$AM$15:$AW$40,CRONO!AE$12,CÁLCULO!$AB$15:$AL$40)/(ORÇAMENTO!$X$15-_xlfn.single(CÁLCULO.TotalAdmLocal))*CRONO!$F28,
                        0),
                 AE27*$S26),
          SUMIF(OFFSET($S28,1,0,$R26-2),($M26+1)&amp;"$",OFFSET(AE28,1,0,$R26-2)))</f>
        <v>0</v>
      </c>
      <c r="AF28" s="447" t="n">
        <f aca="false" t="array" ref="AF28:AF28">IF($R26=2,
         IF(AND(ACOMPANHAMENTO="PLE",ISNUMBER($F26)),
                SUMIF((OFFSET(CÁLCULO!$AM$15:$AW$15,$F26,0,OFFSET(ORÇAMENTO!$D$15,CRONO!$F26,0))),CRONO!AF$12,OFFSET(CÁLCULO!$AB$15:$AL$15,$F26,0,OFFSET(ORÇAMENTO!$D$15,CRONO!$F26,0)))
                +IF(AND($F28&lt;&gt;"",$F28&lt;&gt;0),
                        SUMIF(CÁLCULO!$AM$15:$AW$40,CRONO!AF$12,CÁLCULO!$AB$15:$AL$40)/(ORÇAMENTO!$X$15-_xlfn.single(CÁLCULO.TotalAdmLocal))*CRONO!$F28,
                        0),
                 AF27*$S26),
          SUMIF(OFFSET($S28,1,0,$R26-2),($M26+1)&amp;"$",OFFSET(AF28,1,0,$R26-2)))</f>
        <v>0</v>
      </c>
      <c r="AG28" s="438"/>
    </row>
    <row r="29" customFormat="false" ht="12.75" hidden="false" customHeight="false" outlineLevel="0" collapsed="false">
      <c r="A29" s="388" t="str">
        <f aca="false">IF($M29&gt;1,_xlfn.CONCAT($I29," ",$J29),"")</f>
        <v>1.3. REFORMA DO TELHADO - PARTE B</v>
      </c>
      <c r="B29" s="427" t="n">
        <f aca="true">OFFSET(B29,-3,0)+1</f>
        <v>6</v>
      </c>
      <c r="C29" s="427" t="n">
        <f aca="true">IF($R29&lt;&gt;2,0,IF($S29=0,1,IF(F30&gt;0,OFFSET(QCI!$M$13,SUBSTITUTE(F30,".",""),0),OFFSET(ORÇAMENTO!$AA$15,CRONO!$F29,0))/$S29))</f>
        <v>0</v>
      </c>
      <c r="D29" s="427" t="n">
        <f aca="true">IF($R29&lt;&gt;2,0,IF($S29=0,1,IF(F30&gt;0,OFFSET(QCI!$N$13,SUBSTITUTE(F30,".",""),0),OFFSET(ORÇAMENTO!$AB$15,CRONO!$F29,0))/$S29))</f>
        <v>0</v>
      </c>
      <c r="E29" s="430" t="n">
        <f aca="false" t="array" ref="E29:E29">IF(AND($R29=2,ACOMPANHAMENTO="BM"),ROUND(E30,4),E31/$S29)</f>
        <v>0</v>
      </c>
      <c r="F29" s="427" t="n">
        <f aca="true">IF(B29&lt;=ORÇAMENTO.MáximoListaCrono,MATCH(B29,ORÇAMENTO.ListaCrono,0),NA())</f>
        <v>8</v>
      </c>
      <c r="G29" s="427" t="str">
        <f aca="false">IF(AND($F30&lt;&gt;-1,$S29&gt;0),"F","")</f>
        <v>F</v>
      </c>
      <c r="H29" s="431" t="str">
        <f aca="false" t="array" ref="H29:H29">IF(OR(S29=0,S29=""),"Linha",IF(AND(OR(ACOMPANHAMENTO="PLE",$R29&lt;&gt;2),$F30=0),"Linha",ROUND(1-SUM(U29:AG29),4)))</f>
        <v>Linha</v>
      </c>
      <c r="I29" s="432" t="str">
        <f aca="true">IF($F30=0,OFFSET(ORÇAMENTO!O$15,$F29,0),IF($F30&lt;&gt;-1,OFFSET(QCI!$D$13,$F30,0),""))</f>
        <v>1.3.</v>
      </c>
      <c r="J29" s="433" t="str">
        <f aca="true">IF($F30=0,OFFSET(ORÇAMENTO!R$15,$F29,0),IF($F30&lt;&gt;-1,OFFSET(QCI!$G$13,$F30,0),""))</f>
        <v>REFORMA DO TELHADO - PARTE B</v>
      </c>
      <c r="K29" s="433"/>
      <c r="L29" s="433"/>
      <c r="M29" s="434" t="n">
        <f aca="true">IF($F30=0,OFFSET(ORÇAMENTO!C$15,$F29,0),1)</f>
        <v>2</v>
      </c>
      <c r="N29" s="435" t="n">
        <f aca="true">IF($F30=-1,0,IF(N$13&lt;=$M29,IF(ISERROR(MATCH(N$13,OFFSET($M29,1,0,ROW($M$44)-ROW($M29)-1),0)),ROW($M$44)-ROW($M29)-1,MATCH(N$13,OFFSET($M29,1,0,ROW($M$44)-ROW($M29)-1),0)-1),0))</f>
        <v>14</v>
      </c>
      <c r="O29" s="435" t="n">
        <f aca="true">IF($F30=-1,0,IF(O$13&lt;=$M29,IF(ISERROR(MATCH(O$13,OFFSET($M29,1,0,ROW($M$44)-ROW($M29)-1),0)),ROW($M$44)-ROW($M29)-1,MATCH(O$13,OFFSET($M29,1,0,ROW($M$44)-ROW($M29)-1),0)-1),0))</f>
        <v>14</v>
      </c>
      <c r="P29" s="435" t="n">
        <f aca="true">IF($F30=-1,0,IF(P$13&lt;=$M29,IF(ISERROR(MATCH(P$13,OFFSET($M29,1,0,ROW($M$44)-ROW($M29)-1),0)),ROW($M$44)-ROW($M29)-1,MATCH(P$13,OFFSET($M29,1,0,ROW($M$44)-ROW($M29)-1),0)-1),0))</f>
        <v>0</v>
      </c>
      <c r="Q29" s="435" t="n">
        <f aca="true">IF($F30=-1,0,IF(Q$13&lt;=$M29,IF(ISERROR(MATCH(Q$13,OFFSET($M29,1,0,ROW($M$44)-ROW($M29)-1),0)),ROW($M$44)-ROW($M29)-1,MATCH(Q$13,OFFSET($M29,1,0,ROW($M$44)-ROW($M29)-1),0)-1),0))</f>
        <v>0</v>
      </c>
      <c r="R29" s="435" t="n">
        <f aca="true">MIN(OFFSET(M29,0,1,,M29))</f>
        <v>14</v>
      </c>
      <c r="S29" s="436" t="n">
        <f aca="true">IF($F30=0,OFFSET(ORÇAMENTO!X$15,$F29,0),IF($F30&lt;&gt;-1,OFFSET(QCI!$O$13,$F30,0),""))</f>
        <v>4413.98727</v>
      </c>
      <c r="T29" s="437" t="s">
        <v>830</v>
      </c>
      <c r="U29" s="430" t="n">
        <f aca="false" t="array" ref="U29:U29">IF(AND($R29=2,ACOMPANHAMENTO="BM"),ROUND(U30,4),U31/$S29)</f>
        <v>0.5</v>
      </c>
      <c r="V29" s="430" t="n">
        <f aca="false" t="array" ref="V29:V29">IF(AND($R29=2,ACOMPANHAMENTO="BM"),ROUND(V30,4),V31/$S29)</f>
        <v>0.5</v>
      </c>
      <c r="W29" s="430" t="n">
        <f aca="false" t="array" ref="W29:W29">IF(AND($R29=2,ACOMPANHAMENTO="BM"),ROUND(W30,4),W31/$S29)</f>
        <v>0</v>
      </c>
      <c r="X29" s="430" t="n">
        <f aca="false" t="array" ref="X29:X29">IF(AND($R29=2,ACOMPANHAMENTO="BM"),ROUND(X30,4),X31/$S29)</f>
        <v>0</v>
      </c>
      <c r="Y29" s="430" t="n">
        <f aca="false" t="array" ref="Y29:Y29">IF(AND($R29=2,ACOMPANHAMENTO="BM"),ROUND(Y30,4),Y31/$S29)</f>
        <v>0</v>
      </c>
      <c r="Z29" s="430" t="n">
        <f aca="false" t="array" ref="Z29:Z29">IF(AND($R29=2,ACOMPANHAMENTO="BM"),ROUND(Z30,4),Z31/$S29)</f>
        <v>0</v>
      </c>
      <c r="AA29" s="430" t="n">
        <f aca="false" t="array" ref="AA29:AA29">IF(AND($R29=2,ACOMPANHAMENTO="BM"),ROUND(AA30,4),AA31/$S29)</f>
        <v>0</v>
      </c>
      <c r="AB29" s="430" t="n">
        <f aca="false" t="array" ref="AB29:AB29">IF(AND($R29=2,ACOMPANHAMENTO="BM"),ROUND(AB30,4),AB31/$S29)</f>
        <v>0</v>
      </c>
      <c r="AC29" s="430" t="n">
        <f aca="false" t="array" ref="AC29:AC29">IF(AND($R29=2,ACOMPANHAMENTO="BM"),ROUND(AC30,4),AC31/$S29)</f>
        <v>0</v>
      </c>
      <c r="AD29" s="430" t="n">
        <f aca="false" t="array" ref="AD29:AD29">IF(AND($R29=2,ACOMPANHAMENTO="BM"),ROUND(AD30,4),AD31/$S29)</f>
        <v>0</v>
      </c>
      <c r="AE29" s="430" t="n">
        <f aca="false" t="array" ref="AE29:AE29">IF(AND($R29=2,ACOMPANHAMENTO="BM"),ROUND(AE30,4),AE31/$S29)</f>
        <v>0</v>
      </c>
      <c r="AF29" s="430" t="n">
        <f aca="false" t="array" ref="AF29:AF29">IF(AND($R29=2,ACOMPANHAMENTO="BM"),ROUND(AF30,4),AF31/$S29)</f>
        <v>0</v>
      </c>
      <c r="AG29" s="438"/>
    </row>
    <row r="30" customFormat="false" ht="12.75" hidden="false" customHeight="true" outlineLevel="0" collapsed="false">
      <c r="E30" s="439"/>
      <c r="F30" s="427" t="n">
        <f aca="true">IF(ISERROR(F29),IF(1+COUNTIF($M$13:OFFSET(M29,-1,0),1)&lt;=MAX(QCI!$D$13:$D$16),1+COUNTIF($M$13:OFFSET(M29,-1,0),1),-1),0)</f>
        <v>0</v>
      </c>
      <c r="G30" s="427" t="str">
        <f aca="true" t="array" ref="G30:G30">IF(ACOMPANHAMENTO="BM",OFFSET(G30,-1,0),"")</f>
        <v>F</v>
      </c>
      <c r="H30" s="440" t="str">
        <f aca="false" t="array" ref="H30:H30">IF(OR(S29=0,S29=""),"vazia",IF(AND(OR(ACOMPANHAMENTO="PLE",$R29&lt;&gt;2),$F30=0),"calculada","--&gt;"))</f>
        <v>calculada</v>
      </c>
      <c r="I30" s="441"/>
      <c r="J30" s="442" t="str">
        <f aca="false">IF(AND(H29&lt;&gt;0,ISNUMBER(H29)),"PREENCHA ESTA LINHA --&gt;","")</f>
        <v/>
      </c>
      <c r="K30" s="442"/>
      <c r="L30" s="442"/>
      <c r="M30" s="443"/>
      <c r="N30" s="443"/>
      <c r="O30" s="443"/>
      <c r="P30" s="443"/>
      <c r="Q30" s="443"/>
      <c r="R30" s="443"/>
      <c r="S30" s="444"/>
      <c r="T30" s="445"/>
      <c r="U30" s="439" t="n">
        <v>0.5</v>
      </c>
      <c r="V30" s="439" t="n">
        <v>0.5</v>
      </c>
      <c r="W30" s="439"/>
      <c r="X30" s="439"/>
      <c r="Y30" s="439"/>
      <c r="Z30" s="439"/>
      <c r="AA30" s="439"/>
      <c r="AB30" s="439"/>
      <c r="AC30" s="439"/>
      <c r="AD30" s="439"/>
      <c r="AE30" s="439"/>
      <c r="AF30" s="439"/>
      <c r="AG30" s="438"/>
    </row>
    <row r="31" customFormat="false" ht="12.75" hidden="true" customHeight="true" outlineLevel="0" collapsed="false">
      <c r="D31" s="446"/>
      <c r="E31" s="447" t="n">
        <f aca="false" t="array" ref="E31:E31">IF($R29=2,
         IF(AND(ACOMPANHAMENTO="PLE",ISNUMBER($F29)),
                SUMIF((OFFSET(CÁLCULO!$AM$15:$AW$15,$F29,0,OFFSET(ORÇAMENTO!$D$15,CRONO!$F29,0))),CRONO!E$12,OFFSET(CÁLCULO!$AB$15:$AL$15,$F29,0,OFFSET(ORÇAMENTO!$D$15,CRONO!$F29,0)))
                +IF(AND($F31&lt;&gt;"",$F31&lt;&gt;0),
                        SUMIF(CÁLCULO!$AM$15:$AW$40,CRONO!E$12,CÁLCULO!$AB$15:$AL$40)/(ORÇAMENTO!$X$15-_xlfn.single(CÁLCULO.TotalAdmLocal))*CRONO!$F31,
                        0),
                 E30*$S29),
          SUMIF(OFFSET($S31,1,0,$R29-2),($M29+1)&amp;"$",OFFSET(E31,1,0,$R29-2)))</f>
        <v>0</v>
      </c>
      <c r="F31" s="427" t="str">
        <f aca="true">IF(OR($R29&lt;&gt;2,AUTOEVENTO&lt;&gt;"manual",$F30&gt;0),"",
        IF(Import.TipoArredondamento="Tradicional",
              SUMIF(OFFSET(CÁLCULO!$M$15,CRONO!$F29,0,OFFSET(ORÇAMENTO!$D$15,CRONO!$F29,0)),1,OFFSET(ORÇAMENTO!$X$15,CRONO!$F29,0,OFFSET(ORÇAMENTO!$D$15,CRONO!$F29,0))),
              0))</f>
        <v/>
      </c>
      <c r="H31" s="448"/>
      <c r="S31" s="449" t="str">
        <f aca="false">M29&amp;"$"</f>
        <v>2$</v>
      </c>
      <c r="T31" s="450"/>
      <c r="U31" s="447" t="n">
        <f aca="false" t="array" ref="U31:U31">IF($R29=2,
         IF(AND(ACOMPANHAMENTO="PLE",ISNUMBER($F29)),
                SUMIF((OFFSET(CÁLCULO!$AM$15:$AW$15,$F29,0,OFFSET(ORÇAMENTO!$D$15,CRONO!$F29,0))),CRONO!U$12,OFFSET(CÁLCULO!$AB$15:$AL$15,$F29,0,OFFSET(ORÇAMENTO!$D$15,CRONO!$F29,0)))
                +IF(AND($F31&lt;&gt;"",$F31&lt;&gt;0),
                        SUMIF(CÁLCULO!$AM$15:$AW$40,CRONO!U$12,CÁLCULO!$AB$15:$AL$40)/(ORÇAMENTO!$X$15-_xlfn.single(CÁLCULO.TotalAdmLocal))*CRONO!$F31,
                        0),
                 U30*$S29),
          SUMIF(OFFSET($S31,1,0,$R29-2),($M29+1)&amp;"$",OFFSET(U31,1,0,$R29-2)))</f>
        <v>2206.993635</v>
      </c>
      <c r="V31" s="447" t="n">
        <f aca="false" t="array" ref="V31:V31">IF($R29=2,
         IF(AND(ACOMPANHAMENTO="PLE",ISNUMBER($F29)),
                SUMIF((OFFSET(CÁLCULO!$AM$15:$AW$15,$F29,0,OFFSET(ORÇAMENTO!$D$15,CRONO!$F29,0))),CRONO!V$12,OFFSET(CÁLCULO!$AB$15:$AL$15,$F29,0,OFFSET(ORÇAMENTO!$D$15,CRONO!$F29,0)))
                +IF(AND($F31&lt;&gt;"",$F31&lt;&gt;0),
                        SUMIF(CÁLCULO!$AM$15:$AW$40,CRONO!V$12,CÁLCULO!$AB$15:$AL$40)/(ORÇAMENTO!$X$15-_xlfn.single(CÁLCULO.TotalAdmLocal))*CRONO!$F31,
                        0),
                 V30*$S29),
          SUMIF(OFFSET($S31,1,0,$R29-2),($M29+1)&amp;"$",OFFSET(V31,1,0,$R29-2)))</f>
        <v>2206.993635</v>
      </c>
      <c r="W31" s="447" t="n">
        <f aca="false" t="array" ref="W31:W31">IF($R29=2,
         IF(AND(ACOMPANHAMENTO="PLE",ISNUMBER($F29)),
                SUMIF((OFFSET(CÁLCULO!$AM$15:$AW$15,$F29,0,OFFSET(ORÇAMENTO!$D$15,CRONO!$F29,0))),CRONO!W$12,OFFSET(CÁLCULO!$AB$15:$AL$15,$F29,0,OFFSET(ORÇAMENTO!$D$15,CRONO!$F29,0)))
                +IF(AND($F31&lt;&gt;"",$F31&lt;&gt;0),
                        SUMIF(CÁLCULO!$AM$15:$AW$40,CRONO!W$12,CÁLCULO!$AB$15:$AL$40)/(ORÇAMENTO!$X$15-_xlfn.single(CÁLCULO.TotalAdmLocal))*CRONO!$F31,
                        0),
                 W30*$S29),
          SUMIF(OFFSET($S31,1,0,$R29-2),($M29+1)&amp;"$",OFFSET(W31,1,0,$R29-2)))</f>
        <v>0</v>
      </c>
      <c r="X31" s="447" t="n">
        <f aca="false" t="array" ref="X31:X31">IF($R29=2,
         IF(AND(ACOMPANHAMENTO="PLE",ISNUMBER($F29)),
                SUMIF((OFFSET(CÁLCULO!$AM$15:$AW$15,$F29,0,OFFSET(ORÇAMENTO!$D$15,CRONO!$F29,0))),CRONO!X$12,OFFSET(CÁLCULO!$AB$15:$AL$15,$F29,0,OFFSET(ORÇAMENTO!$D$15,CRONO!$F29,0)))
                +IF(AND($F31&lt;&gt;"",$F31&lt;&gt;0),
                        SUMIF(CÁLCULO!$AM$15:$AW$40,CRONO!X$12,CÁLCULO!$AB$15:$AL$40)/(ORÇAMENTO!$X$15-_xlfn.single(CÁLCULO.TotalAdmLocal))*CRONO!$F31,
                        0),
                 X30*$S29),
          SUMIF(OFFSET($S31,1,0,$R29-2),($M29+1)&amp;"$",OFFSET(X31,1,0,$R29-2)))</f>
        <v>0</v>
      </c>
      <c r="Y31" s="447" t="n">
        <f aca="false" t="array" ref="Y31:Y31">IF($R29=2,
         IF(AND(ACOMPANHAMENTO="PLE",ISNUMBER($F29)),
                SUMIF((OFFSET(CÁLCULO!$AM$15:$AW$15,$F29,0,OFFSET(ORÇAMENTO!$D$15,CRONO!$F29,0))),CRONO!Y$12,OFFSET(CÁLCULO!$AB$15:$AL$15,$F29,0,OFFSET(ORÇAMENTO!$D$15,CRONO!$F29,0)))
                +IF(AND($F31&lt;&gt;"",$F31&lt;&gt;0),
                        SUMIF(CÁLCULO!$AM$15:$AW$40,CRONO!Y$12,CÁLCULO!$AB$15:$AL$40)/(ORÇAMENTO!$X$15-_xlfn.single(CÁLCULO.TotalAdmLocal))*CRONO!$F31,
                        0),
                 Y30*$S29),
          SUMIF(OFFSET($S31,1,0,$R29-2),($M29+1)&amp;"$",OFFSET(Y31,1,0,$R29-2)))</f>
        <v>0</v>
      </c>
      <c r="Z31" s="447" t="n">
        <f aca="false" t="array" ref="Z31:Z31">IF($R29=2,
         IF(AND(ACOMPANHAMENTO="PLE",ISNUMBER($F29)),
                SUMIF((OFFSET(CÁLCULO!$AM$15:$AW$15,$F29,0,OFFSET(ORÇAMENTO!$D$15,CRONO!$F29,0))),CRONO!Z$12,OFFSET(CÁLCULO!$AB$15:$AL$15,$F29,0,OFFSET(ORÇAMENTO!$D$15,CRONO!$F29,0)))
                +IF(AND($F31&lt;&gt;"",$F31&lt;&gt;0),
                        SUMIF(CÁLCULO!$AM$15:$AW$40,CRONO!Z$12,CÁLCULO!$AB$15:$AL$40)/(ORÇAMENTO!$X$15-_xlfn.single(CÁLCULO.TotalAdmLocal))*CRONO!$F31,
                        0),
                 Z30*$S29),
          SUMIF(OFFSET($S31,1,0,$R29-2),($M29+1)&amp;"$",OFFSET(Z31,1,0,$R29-2)))</f>
        <v>0</v>
      </c>
      <c r="AA31" s="447" t="n">
        <f aca="false" t="array" ref="AA31:AA31">IF($R29=2,
         IF(AND(ACOMPANHAMENTO="PLE",ISNUMBER($F29)),
                SUMIF((OFFSET(CÁLCULO!$AM$15:$AW$15,$F29,0,OFFSET(ORÇAMENTO!$D$15,CRONO!$F29,0))),CRONO!AA$12,OFFSET(CÁLCULO!$AB$15:$AL$15,$F29,0,OFFSET(ORÇAMENTO!$D$15,CRONO!$F29,0)))
                +IF(AND($F31&lt;&gt;"",$F31&lt;&gt;0),
                        SUMIF(CÁLCULO!$AM$15:$AW$40,CRONO!AA$12,CÁLCULO!$AB$15:$AL$40)/(ORÇAMENTO!$X$15-_xlfn.single(CÁLCULO.TotalAdmLocal))*CRONO!$F31,
                        0),
                 AA30*$S29),
          SUMIF(OFFSET($S31,1,0,$R29-2),($M29+1)&amp;"$",OFFSET(AA31,1,0,$R29-2)))</f>
        <v>0</v>
      </c>
      <c r="AB31" s="447" t="n">
        <f aca="false" t="array" ref="AB31:AB31">IF($R29=2,
         IF(AND(ACOMPANHAMENTO="PLE",ISNUMBER($F29)),
                SUMIF((OFFSET(CÁLCULO!$AM$15:$AW$15,$F29,0,OFFSET(ORÇAMENTO!$D$15,CRONO!$F29,0))),CRONO!AB$12,OFFSET(CÁLCULO!$AB$15:$AL$15,$F29,0,OFFSET(ORÇAMENTO!$D$15,CRONO!$F29,0)))
                +IF(AND($F31&lt;&gt;"",$F31&lt;&gt;0),
                        SUMIF(CÁLCULO!$AM$15:$AW$40,CRONO!AB$12,CÁLCULO!$AB$15:$AL$40)/(ORÇAMENTO!$X$15-_xlfn.single(CÁLCULO.TotalAdmLocal))*CRONO!$F31,
                        0),
                 AB30*$S29),
          SUMIF(OFFSET($S31,1,0,$R29-2),($M29+1)&amp;"$",OFFSET(AB31,1,0,$R29-2)))</f>
        <v>0</v>
      </c>
      <c r="AC31" s="447" t="n">
        <f aca="false" t="array" ref="AC31:AC31">IF($R29=2,
         IF(AND(ACOMPANHAMENTO="PLE",ISNUMBER($F29)),
                SUMIF((OFFSET(CÁLCULO!$AM$15:$AW$15,$F29,0,OFFSET(ORÇAMENTO!$D$15,CRONO!$F29,0))),CRONO!AC$12,OFFSET(CÁLCULO!$AB$15:$AL$15,$F29,0,OFFSET(ORÇAMENTO!$D$15,CRONO!$F29,0)))
                +IF(AND($F31&lt;&gt;"",$F31&lt;&gt;0),
                        SUMIF(CÁLCULO!$AM$15:$AW$40,CRONO!AC$12,CÁLCULO!$AB$15:$AL$40)/(ORÇAMENTO!$X$15-_xlfn.single(CÁLCULO.TotalAdmLocal))*CRONO!$F31,
                        0),
                 AC30*$S29),
          SUMIF(OFFSET($S31,1,0,$R29-2),($M29+1)&amp;"$",OFFSET(AC31,1,0,$R29-2)))</f>
        <v>0</v>
      </c>
      <c r="AD31" s="447" t="n">
        <f aca="false" t="array" ref="AD31:AD31">IF($R29=2,
         IF(AND(ACOMPANHAMENTO="PLE",ISNUMBER($F29)),
                SUMIF((OFFSET(CÁLCULO!$AM$15:$AW$15,$F29,0,OFFSET(ORÇAMENTO!$D$15,CRONO!$F29,0))),CRONO!AD$12,OFFSET(CÁLCULO!$AB$15:$AL$15,$F29,0,OFFSET(ORÇAMENTO!$D$15,CRONO!$F29,0)))
                +IF(AND($F31&lt;&gt;"",$F31&lt;&gt;0),
                        SUMIF(CÁLCULO!$AM$15:$AW$40,CRONO!AD$12,CÁLCULO!$AB$15:$AL$40)/(ORÇAMENTO!$X$15-_xlfn.single(CÁLCULO.TotalAdmLocal))*CRONO!$F31,
                        0),
                 AD30*$S29),
          SUMIF(OFFSET($S31,1,0,$R29-2),($M29+1)&amp;"$",OFFSET(AD31,1,0,$R29-2)))</f>
        <v>0</v>
      </c>
      <c r="AE31" s="447" t="n">
        <f aca="false" t="array" ref="AE31:AE31">IF($R29=2,
         IF(AND(ACOMPANHAMENTO="PLE",ISNUMBER($F29)),
                SUMIF((OFFSET(CÁLCULO!$AM$15:$AW$15,$F29,0,OFFSET(ORÇAMENTO!$D$15,CRONO!$F29,0))),CRONO!AE$12,OFFSET(CÁLCULO!$AB$15:$AL$15,$F29,0,OFFSET(ORÇAMENTO!$D$15,CRONO!$F29,0)))
                +IF(AND($F31&lt;&gt;"",$F31&lt;&gt;0),
                        SUMIF(CÁLCULO!$AM$15:$AW$40,CRONO!AE$12,CÁLCULO!$AB$15:$AL$40)/(ORÇAMENTO!$X$15-_xlfn.single(CÁLCULO.TotalAdmLocal))*CRONO!$F31,
                        0),
                 AE30*$S29),
          SUMIF(OFFSET($S31,1,0,$R29-2),($M29+1)&amp;"$",OFFSET(AE31,1,0,$R29-2)))</f>
        <v>0</v>
      </c>
      <c r="AF31" s="447" t="n">
        <f aca="false" t="array" ref="AF31:AF31">IF($R29=2,
         IF(AND(ACOMPANHAMENTO="PLE",ISNUMBER($F29)),
                SUMIF((OFFSET(CÁLCULO!$AM$15:$AW$15,$F29,0,OFFSET(ORÇAMENTO!$D$15,CRONO!$F29,0))),CRONO!AF$12,OFFSET(CÁLCULO!$AB$15:$AL$15,$F29,0,OFFSET(ORÇAMENTO!$D$15,CRONO!$F29,0)))
                +IF(AND($F31&lt;&gt;"",$F31&lt;&gt;0),
                        SUMIF(CÁLCULO!$AM$15:$AW$40,CRONO!AF$12,CÁLCULO!$AB$15:$AL$40)/(ORÇAMENTO!$X$15-_xlfn.single(CÁLCULO.TotalAdmLocal))*CRONO!$F31,
                        0),
                 AF30*$S29),
          SUMIF(OFFSET($S31,1,0,$R29-2),($M29+1)&amp;"$",OFFSET(AF31,1,0,$R29-2)))</f>
        <v>0</v>
      </c>
      <c r="AG31" s="438"/>
    </row>
    <row r="32" customFormat="false" ht="12.75" hidden="false" customHeight="false" outlineLevel="0" collapsed="false">
      <c r="A32" s="388" t="str">
        <f aca="false">IF($M32&gt;1,_xlfn.CONCAT($I32," ",$J32),"")</f>
        <v>1.3.1. Demolições e remoções</v>
      </c>
      <c r="B32" s="427" t="n">
        <f aca="true">OFFSET(B32,-3,0)+1</f>
        <v>7</v>
      </c>
      <c r="C32" s="427" t="n">
        <f aca="true">IF($R32&lt;&gt;2,0,IF($S32=0,1,IF(F33&gt;0,OFFSET(QCI!$M$13,SUBSTITUTE(F33,".",""),0),OFFSET(ORÇAMENTO!$AA$15,CRONO!$F32,0))/$S32))</f>
        <v>1</v>
      </c>
      <c r="D32" s="427" t="n">
        <f aca="true">IF($R32&lt;&gt;2,0,IF($S32=0,1,IF(F33&gt;0,OFFSET(QCI!$N$13,SUBSTITUTE(F33,".",""),0),OFFSET(ORÇAMENTO!$AB$15,CRONO!$F32,0))/$S32))</f>
        <v>1</v>
      </c>
      <c r="E32" s="430" t="n">
        <f aca="false" t="array" ref="E32:E32">IF(AND($R32=2,ACOMPANHAMENTO="BM"),ROUND(E33,4),E34/$S32)</f>
        <v>0</v>
      </c>
      <c r="F32" s="427" t="n">
        <f aca="true">IF(B32&lt;=ORÇAMENTO.MáximoListaCrono,MATCH(B32,ORÇAMENTO.ListaCrono,0),NA())</f>
        <v>9</v>
      </c>
      <c r="G32" s="427" t="str">
        <f aca="false">IF(AND($F33&lt;&gt;-1,$S32&gt;0),"F","")</f>
        <v/>
      </c>
      <c r="H32" s="431" t="str">
        <f aca="false" t="array" ref="H32:H32">IF(OR(S32=0,S32=""),"Linha",IF(AND(OR(ACOMPANHAMENTO="PLE",$R32&lt;&gt;2),$F33=0),"Linha",ROUND(1-SUM(U32:AG32),4)))</f>
        <v>Linha</v>
      </c>
      <c r="I32" s="432" t="str">
        <f aca="true">IF($F33=0,OFFSET(ORÇAMENTO!O$15,$F32,0),IF($F33&lt;&gt;-1,OFFSET(QCI!$D$13,$F33,0),""))</f>
        <v>1.3.1.</v>
      </c>
      <c r="J32" s="433" t="str">
        <f aca="true">IF($F33=0,OFFSET(ORÇAMENTO!R$15,$F32,0),IF($F33&lt;&gt;-1,OFFSET(QCI!$G$13,$F33,0),""))</f>
        <v>Demolições e remoções</v>
      </c>
      <c r="K32" s="433"/>
      <c r="L32" s="433"/>
      <c r="M32" s="434" t="n">
        <f aca="true">IF($F33=0,OFFSET(ORÇAMENTO!C$15,$F32,0),1)</f>
        <v>3</v>
      </c>
      <c r="N32" s="435" t="n">
        <f aca="true">IF($F33=-1,0,IF(N$13&lt;=$M32,IF(ISERROR(MATCH(N$13,OFFSET($M32,1,0,ROW($M$44)-ROW($M32)-1),0)),ROW($M$44)-ROW($M32)-1,MATCH(N$13,OFFSET($M32,1,0,ROW($M$44)-ROW($M32)-1),0)-1),0))</f>
        <v>11</v>
      </c>
      <c r="O32" s="435" t="n">
        <f aca="true">IF($F33=-1,0,IF(O$13&lt;=$M32,IF(ISERROR(MATCH(O$13,OFFSET($M32,1,0,ROW($M$44)-ROW($M32)-1),0)),ROW($M$44)-ROW($M32)-1,MATCH(O$13,OFFSET($M32,1,0,ROW($M$44)-ROW($M32)-1),0)-1),0))</f>
        <v>11</v>
      </c>
      <c r="P32" s="435" t="n">
        <f aca="true">IF($F33=-1,0,IF(P$13&lt;=$M32,IF(ISERROR(MATCH(P$13,OFFSET($M32,1,0,ROW($M$44)-ROW($M32)-1),0)),ROW($M$44)-ROW($M32)-1,MATCH(P$13,OFFSET($M32,1,0,ROW($M$44)-ROW($M32)-1),0)-1),0))</f>
        <v>2</v>
      </c>
      <c r="Q32" s="435" t="n">
        <f aca="true">IF($F33=-1,0,IF(Q$13&lt;=$M32,IF(ISERROR(MATCH(Q$13,OFFSET($M32,1,0,ROW($M$44)-ROW($M32)-1),0)),ROW($M$44)-ROW($M32)-1,MATCH(Q$13,OFFSET($M32,1,0,ROW($M$44)-ROW($M32)-1),0)-1),0))</f>
        <v>0</v>
      </c>
      <c r="R32" s="435" t="n">
        <f aca="true">MIN(OFFSET(M32,0,1,,M32))</f>
        <v>2</v>
      </c>
      <c r="S32" s="436" t="n">
        <f aca="true">IF($F33=0,OFFSET(ORÇAMENTO!X$15,$F32,0),IF($F33&lt;&gt;-1,OFFSET(QCI!$O$13,$F33,0),""))</f>
        <v>0</v>
      </c>
      <c r="T32" s="437" t="s">
        <v>830</v>
      </c>
      <c r="U32" s="430" t="n">
        <f aca="false" t="array" ref="U32:U32">IF(AND($R32=2,ACOMPANHAMENTO="BM"),ROUND(U33,4),U34/$S32)</f>
        <v>1</v>
      </c>
      <c r="V32" s="430" t="n">
        <f aca="false" t="array" ref="V32:V32">IF(AND($R32=2,ACOMPANHAMENTO="BM"),ROUND(V33,4),V34/$S32)</f>
        <v>0</v>
      </c>
      <c r="W32" s="430" t="n">
        <f aca="false" t="array" ref="W32:W32">IF(AND($R32=2,ACOMPANHAMENTO="BM"),ROUND(W33,4),W34/$S32)</f>
        <v>0</v>
      </c>
      <c r="X32" s="430" t="n">
        <f aca="false" t="array" ref="X32:X32">IF(AND($R32=2,ACOMPANHAMENTO="BM"),ROUND(X33,4),X34/$S32)</f>
        <v>0</v>
      </c>
      <c r="Y32" s="430" t="n">
        <f aca="false" t="array" ref="Y32:Y32">IF(AND($R32=2,ACOMPANHAMENTO="BM"),ROUND(Y33,4),Y34/$S32)</f>
        <v>0</v>
      </c>
      <c r="Z32" s="430" t="n">
        <f aca="false" t="array" ref="Z32:Z32">IF(AND($R32=2,ACOMPANHAMENTO="BM"),ROUND(Z33,4),Z34/$S32)</f>
        <v>0</v>
      </c>
      <c r="AA32" s="430" t="n">
        <f aca="false" t="array" ref="AA32:AA32">IF(AND($R32=2,ACOMPANHAMENTO="BM"),ROUND(AA33,4),AA34/$S32)</f>
        <v>0</v>
      </c>
      <c r="AB32" s="430" t="n">
        <f aca="false" t="array" ref="AB32:AB32">IF(AND($R32=2,ACOMPANHAMENTO="BM"),ROUND(AB33,4),AB34/$S32)</f>
        <v>0</v>
      </c>
      <c r="AC32" s="430" t="n">
        <f aca="false" t="array" ref="AC32:AC32">IF(AND($R32=2,ACOMPANHAMENTO="BM"),ROUND(AC33,4),AC34/$S32)</f>
        <v>0</v>
      </c>
      <c r="AD32" s="430" t="n">
        <f aca="false" t="array" ref="AD32:AD32">IF(AND($R32=2,ACOMPANHAMENTO="BM"),ROUND(AD33,4),AD34/$S32)</f>
        <v>0</v>
      </c>
      <c r="AE32" s="430" t="n">
        <f aca="false" t="array" ref="AE32:AE32">IF(AND($R32=2,ACOMPANHAMENTO="BM"),ROUND(AE33,4),AE34/$S32)</f>
        <v>0</v>
      </c>
      <c r="AF32" s="430" t="n">
        <f aca="false" t="array" ref="AF32:AF32">IF(AND($R32=2,ACOMPANHAMENTO="BM"),ROUND(AF33,4),AF34/$S32)</f>
        <v>0</v>
      </c>
      <c r="AG32" s="438"/>
    </row>
    <row r="33" customFormat="false" ht="12.75" hidden="false" customHeight="true" outlineLevel="0" collapsed="false">
      <c r="E33" s="439"/>
      <c r="F33" s="427" t="n">
        <f aca="true">IF(ISERROR(F32),IF(1+COUNTIF($M$13:OFFSET(M32,-1,0),1)&lt;=MAX(QCI!$D$13:$D$16),1+COUNTIF($M$13:OFFSET(M32,-1,0),1),-1),0)</f>
        <v>0</v>
      </c>
      <c r="G33" s="427" t="str">
        <f aca="true" t="array" ref="G33:G33">IF(ACOMPANHAMENTO="BM",OFFSET(G33,-1,0),"")</f>
        <v/>
      </c>
      <c r="H33" s="440" t="str">
        <f aca="false" t="array" ref="H33:H33">IF(OR(S32=0,S32=""),"vazia",IF(AND(OR(ACOMPANHAMENTO="PLE",$R32&lt;&gt;2),$F33=0),"calculada","--&gt;"))</f>
        <v>vazia</v>
      </c>
      <c r="I33" s="441"/>
      <c r="J33" s="442" t="str">
        <f aca="false">IF(AND(H32&lt;&gt;0,ISNUMBER(H32)),"PREENCHA ESTA LINHA --&gt;","")</f>
        <v/>
      </c>
      <c r="K33" s="442"/>
      <c r="L33" s="442"/>
      <c r="M33" s="443"/>
      <c r="N33" s="443"/>
      <c r="O33" s="443"/>
      <c r="P33" s="443"/>
      <c r="Q33" s="443"/>
      <c r="R33" s="443"/>
      <c r="S33" s="444"/>
      <c r="T33" s="445"/>
      <c r="U33" s="439" t="n">
        <v>1</v>
      </c>
      <c r="V33" s="439"/>
      <c r="W33" s="439"/>
      <c r="X33" s="439"/>
      <c r="Y33" s="439"/>
      <c r="Z33" s="439"/>
      <c r="AA33" s="439"/>
      <c r="AB33" s="439"/>
      <c r="AC33" s="439"/>
      <c r="AD33" s="439"/>
      <c r="AE33" s="439"/>
      <c r="AF33" s="439"/>
      <c r="AG33" s="438"/>
    </row>
    <row r="34" customFormat="false" ht="12.75" hidden="true" customHeight="true" outlineLevel="0" collapsed="false">
      <c r="D34" s="446"/>
      <c r="E34" s="447" t="n">
        <f aca="false" t="array" ref="E34:E34">IF($R32=2,
         IF(AND(ACOMPANHAMENTO="PLE",ISNUMBER($F32)),
                SUMIF((OFFSET(CÁLCULO!$AM$15:$AW$15,$F32,0,OFFSET(ORÇAMENTO!$D$15,CRONO!$F32,0))),CRONO!E$12,OFFSET(CÁLCULO!$AB$15:$AL$15,$F32,0,OFFSET(ORÇAMENTO!$D$15,CRONO!$F32,0)))
                +IF(AND($F34&lt;&gt;"",$F34&lt;&gt;0),
                        SUMIF(CÁLCULO!$AM$15:$AW$40,CRONO!E$12,CÁLCULO!$AB$15:$AL$40)/(ORÇAMENTO!$X$15-_xlfn.single(CÁLCULO.TotalAdmLocal))*CRONO!$F34,
                        0),
                 E33*$S32),
          SUMIF(OFFSET($S34,1,0,$R32-2),($M32+1)&amp;"$",OFFSET(E34,1,0,$R32-2)))</f>
        <v>0</v>
      </c>
      <c r="F34" s="427" t="str">
        <f aca="true">IF(OR($R32&lt;&gt;2,AUTOEVENTO&lt;&gt;"manual",$F33&gt;0),"",
        IF(Import.TipoArredondamento="Tradicional",
              SUMIF(OFFSET(CÁLCULO!$M$15,CRONO!$F32,0,OFFSET(ORÇAMENTO!$D$15,CRONO!$F32,0)),1,OFFSET(ORÇAMENTO!$X$15,CRONO!$F32,0,OFFSET(ORÇAMENTO!$D$15,CRONO!$F32,0))),
              0))</f>
        <v/>
      </c>
      <c r="H34" s="448"/>
      <c r="S34" s="449" t="str">
        <f aca="false">M32&amp;"$"</f>
        <v>3$</v>
      </c>
      <c r="T34" s="450"/>
      <c r="U34" s="447" t="n">
        <f aca="false" t="array" ref="U34:U34">IF($R32=2,
         IF(AND(ACOMPANHAMENTO="PLE",ISNUMBER($F32)),
                SUMIF((OFFSET(CÁLCULO!$AM$15:$AW$15,$F32,0,OFFSET(ORÇAMENTO!$D$15,CRONO!$F32,0))),CRONO!U$12,OFFSET(CÁLCULO!$AB$15:$AL$15,$F32,0,OFFSET(ORÇAMENTO!$D$15,CRONO!$F32,0)))
                +IF(AND($F34&lt;&gt;"",$F34&lt;&gt;0),
                        SUMIF(CÁLCULO!$AM$15:$AW$40,CRONO!U$12,CÁLCULO!$AB$15:$AL$40)/(ORÇAMENTO!$X$15-_xlfn.single(CÁLCULO.TotalAdmLocal))*CRONO!$F34,
                        0),
                 U33*$S32),
          SUMIF(OFFSET($S34,1,0,$R32-2),($M32+1)&amp;"$",OFFSET(U34,1,0,$R32-2)))</f>
        <v>0</v>
      </c>
      <c r="V34" s="447" t="n">
        <f aca="false" t="array" ref="V34:V34">IF($R32=2,
         IF(AND(ACOMPANHAMENTO="PLE",ISNUMBER($F32)),
                SUMIF((OFFSET(CÁLCULO!$AM$15:$AW$15,$F32,0,OFFSET(ORÇAMENTO!$D$15,CRONO!$F32,0))),CRONO!V$12,OFFSET(CÁLCULO!$AB$15:$AL$15,$F32,0,OFFSET(ORÇAMENTO!$D$15,CRONO!$F32,0)))
                +IF(AND($F34&lt;&gt;"",$F34&lt;&gt;0),
                        SUMIF(CÁLCULO!$AM$15:$AW$40,CRONO!V$12,CÁLCULO!$AB$15:$AL$40)/(ORÇAMENTO!$X$15-_xlfn.single(CÁLCULO.TotalAdmLocal))*CRONO!$F34,
                        0),
                 V33*$S32),
          SUMIF(OFFSET($S34,1,0,$R32-2),($M32+1)&amp;"$",OFFSET(V34,1,0,$R32-2)))</f>
        <v>0</v>
      </c>
      <c r="W34" s="447" t="n">
        <f aca="false" t="array" ref="W34:W34">IF($R32=2,
         IF(AND(ACOMPANHAMENTO="PLE",ISNUMBER($F32)),
                SUMIF((OFFSET(CÁLCULO!$AM$15:$AW$15,$F32,0,OFFSET(ORÇAMENTO!$D$15,CRONO!$F32,0))),CRONO!W$12,OFFSET(CÁLCULO!$AB$15:$AL$15,$F32,0,OFFSET(ORÇAMENTO!$D$15,CRONO!$F32,0)))
                +IF(AND($F34&lt;&gt;"",$F34&lt;&gt;0),
                        SUMIF(CÁLCULO!$AM$15:$AW$40,CRONO!W$12,CÁLCULO!$AB$15:$AL$40)/(ORÇAMENTO!$X$15-_xlfn.single(CÁLCULO.TotalAdmLocal))*CRONO!$F34,
                        0),
                 W33*$S32),
          SUMIF(OFFSET($S34,1,0,$R32-2),($M32+1)&amp;"$",OFFSET(W34,1,0,$R32-2)))</f>
        <v>0</v>
      </c>
      <c r="X34" s="447" t="n">
        <f aca="false" t="array" ref="X34:X34">IF($R32=2,
         IF(AND(ACOMPANHAMENTO="PLE",ISNUMBER($F32)),
                SUMIF((OFFSET(CÁLCULO!$AM$15:$AW$15,$F32,0,OFFSET(ORÇAMENTO!$D$15,CRONO!$F32,0))),CRONO!X$12,OFFSET(CÁLCULO!$AB$15:$AL$15,$F32,0,OFFSET(ORÇAMENTO!$D$15,CRONO!$F32,0)))
                +IF(AND($F34&lt;&gt;"",$F34&lt;&gt;0),
                        SUMIF(CÁLCULO!$AM$15:$AW$40,CRONO!X$12,CÁLCULO!$AB$15:$AL$40)/(ORÇAMENTO!$X$15-_xlfn.single(CÁLCULO.TotalAdmLocal))*CRONO!$F34,
                        0),
                 X33*$S32),
          SUMIF(OFFSET($S34,1,0,$R32-2),($M32+1)&amp;"$",OFFSET(X34,1,0,$R32-2)))</f>
        <v>0</v>
      </c>
      <c r="Y34" s="447" t="n">
        <f aca="false" t="array" ref="Y34:Y34">IF($R32=2,
         IF(AND(ACOMPANHAMENTO="PLE",ISNUMBER($F32)),
                SUMIF((OFFSET(CÁLCULO!$AM$15:$AW$15,$F32,0,OFFSET(ORÇAMENTO!$D$15,CRONO!$F32,0))),CRONO!Y$12,OFFSET(CÁLCULO!$AB$15:$AL$15,$F32,0,OFFSET(ORÇAMENTO!$D$15,CRONO!$F32,0)))
                +IF(AND($F34&lt;&gt;"",$F34&lt;&gt;0),
                        SUMIF(CÁLCULO!$AM$15:$AW$40,CRONO!Y$12,CÁLCULO!$AB$15:$AL$40)/(ORÇAMENTO!$X$15-_xlfn.single(CÁLCULO.TotalAdmLocal))*CRONO!$F34,
                        0),
                 Y33*$S32),
          SUMIF(OFFSET($S34,1,0,$R32-2),($M32+1)&amp;"$",OFFSET(Y34,1,0,$R32-2)))</f>
        <v>0</v>
      </c>
      <c r="Z34" s="447" t="n">
        <f aca="false" t="array" ref="Z34:Z34">IF($R32=2,
         IF(AND(ACOMPANHAMENTO="PLE",ISNUMBER($F32)),
                SUMIF((OFFSET(CÁLCULO!$AM$15:$AW$15,$F32,0,OFFSET(ORÇAMENTO!$D$15,CRONO!$F32,0))),CRONO!Z$12,OFFSET(CÁLCULO!$AB$15:$AL$15,$F32,0,OFFSET(ORÇAMENTO!$D$15,CRONO!$F32,0)))
                +IF(AND($F34&lt;&gt;"",$F34&lt;&gt;0),
                        SUMIF(CÁLCULO!$AM$15:$AW$40,CRONO!Z$12,CÁLCULO!$AB$15:$AL$40)/(ORÇAMENTO!$X$15-_xlfn.single(CÁLCULO.TotalAdmLocal))*CRONO!$F34,
                        0),
                 Z33*$S32),
          SUMIF(OFFSET($S34,1,0,$R32-2),($M32+1)&amp;"$",OFFSET(Z34,1,0,$R32-2)))</f>
        <v>0</v>
      </c>
      <c r="AA34" s="447" t="n">
        <f aca="false" t="array" ref="AA34:AA34">IF($R32=2,
         IF(AND(ACOMPANHAMENTO="PLE",ISNUMBER($F32)),
                SUMIF((OFFSET(CÁLCULO!$AM$15:$AW$15,$F32,0,OFFSET(ORÇAMENTO!$D$15,CRONO!$F32,0))),CRONO!AA$12,OFFSET(CÁLCULO!$AB$15:$AL$15,$F32,0,OFFSET(ORÇAMENTO!$D$15,CRONO!$F32,0)))
                +IF(AND($F34&lt;&gt;"",$F34&lt;&gt;0),
                        SUMIF(CÁLCULO!$AM$15:$AW$40,CRONO!AA$12,CÁLCULO!$AB$15:$AL$40)/(ORÇAMENTO!$X$15-_xlfn.single(CÁLCULO.TotalAdmLocal))*CRONO!$F34,
                        0),
                 AA33*$S32),
          SUMIF(OFFSET($S34,1,0,$R32-2),($M32+1)&amp;"$",OFFSET(AA34,1,0,$R32-2)))</f>
        <v>0</v>
      </c>
      <c r="AB34" s="447" t="n">
        <f aca="false" t="array" ref="AB34:AB34">IF($R32=2,
         IF(AND(ACOMPANHAMENTO="PLE",ISNUMBER($F32)),
                SUMIF((OFFSET(CÁLCULO!$AM$15:$AW$15,$F32,0,OFFSET(ORÇAMENTO!$D$15,CRONO!$F32,0))),CRONO!AB$12,OFFSET(CÁLCULO!$AB$15:$AL$15,$F32,0,OFFSET(ORÇAMENTO!$D$15,CRONO!$F32,0)))
                +IF(AND($F34&lt;&gt;"",$F34&lt;&gt;0),
                        SUMIF(CÁLCULO!$AM$15:$AW$40,CRONO!AB$12,CÁLCULO!$AB$15:$AL$40)/(ORÇAMENTO!$X$15-_xlfn.single(CÁLCULO.TotalAdmLocal))*CRONO!$F34,
                        0),
                 AB33*$S32),
          SUMIF(OFFSET($S34,1,0,$R32-2),($M32+1)&amp;"$",OFFSET(AB34,1,0,$R32-2)))</f>
        <v>0</v>
      </c>
      <c r="AC34" s="447" t="n">
        <f aca="false" t="array" ref="AC34:AC34">IF($R32=2,
         IF(AND(ACOMPANHAMENTO="PLE",ISNUMBER($F32)),
                SUMIF((OFFSET(CÁLCULO!$AM$15:$AW$15,$F32,0,OFFSET(ORÇAMENTO!$D$15,CRONO!$F32,0))),CRONO!AC$12,OFFSET(CÁLCULO!$AB$15:$AL$15,$F32,0,OFFSET(ORÇAMENTO!$D$15,CRONO!$F32,0)))
                +IF(AND($F34&lt;&gt;"",$F34&lt;&gt;0),
                        SUMIF(CÁLCULO!$AM$15:$AW$40,CRONO!AC$12,CÁLCULO!$AB$15:$AL$40)/(ORÇAMENTO!$X$15-_xlfn.single(CÁLCULO.TotalAdmLocal))*CRONO!$F34,
                        0),
                 AC33*$S32),
          SUMIF(OFFSET($S34,1,0,$R32-2),($M32+1)&amp;"$",OFFSET(AC34,1,0,$R32-2)))</f>
        <v>0</v>
      </c>
      <c r="AD34" s="447" t="n">
        <f aca="false" t="array" ref="AD34:AD34">IF($R32=2,
         IF(AND(ACOMPANHAMENTO="PLE",ISNUMBER($F32)),
                SUMIF((OFFSET(CÁLCULO!$AM$15:$AW$15,$F32,0,OFFSET(ORÇAMENTO!$D$15,CRONO!$F32,0))),CRONO!AD$12,OFFSET(CÁLCULO!$AB$15:$AL$15,$F32,0,OFFSET(ORÇAMENTO!$D$15,CRONO!$F32,0)))
                +IF(AND($F34&lt;&gt;"",$F34&lt;&gt;0),
                        SUMIF(CÁLCULO!$AM$15:$AW$40,CRONO!AD$12,CÁLCULO!$AB$15:$AL$40)/(ORÇAMENTO!$X$15-_xlfn.single(CÁLCULO.TotalAdmLocal))*CRONO!$F34,
                        0),
                 AD33*$S32),
          SUMIF(OFFSET($S34,1,0,$R32-2),($M32+1)&amp;"$",OFFSET(AD34,1,0,$R32-2)))</f>
        <v>0</v>
      </c>
      <c r="AE34" s="447" t="n">
        <f aca="false" t="array" ref="AE34:AE34">IF($R32=2,
         IF(AND(ACOMPANHAMENTO="PLE",ISNUMBER($F32)),
                SUMIF((OFFSET(CÁLCULO!$AM$15:$AW$15,$F32,0,OFFSET(ORÇAMENTO!$D$15,CRONO!$F32,0))),CRONO!AE$12,OFFSET(CÁLCULO!$AB$15:$AL$15,$F32,0,OFFSET(ORÇAMENTO!$D$15,CRONO!$F32,0)))
                +IF(AND($F34&lt;&gt;"",$F34&lt;&gt;0),
                        SUMIF(CÁLCULO!$AM$15:$AW$40,CRONO!AE$12,CÁLCULO!$AB$15:$AL$40)/(ORÇAMENTO!$X$15-_xlfn.single(CÁLCULO.TotalAdmLocal))*CRONO!$F34,
                        0),
                 AE33*$S32),
          SUMIF(OFFSET($S34,1,0,$R32-2),($M32+1)&amp;"$",OFFSET(AE34,1,0,$R32-2)))</f>
        <v>0</v>
      </c>
      <c r="AF34" s="447" t="n">
        <f aca="false" t="array" ref="AF34:AF34">IF($R32=2,
         IF(AND(ACOMPANHAMENTO="PLE",ISNUMBER($F32)),
                SUMIF((OFFSET(CÁLCULO!$AM$15:$AW$15,$F32,0,OFFSET(ORÇAMENTO!$D$15,CRONO!$F32,0))),CRONO!AF$12,OFFSET(CÁLCULO!$AB$15:$AL$15,$F32,0,OFFSET(ORÇAMENTO!$D$15,CRONO!$F32,0)))
                +IF(AND($F34&lt;&gt;"",$F34&lt;&gt;0),
                        SUMIF(CÁLCULO!$AM$15:$AW$40,CRONO!AF$12,CÁLCULO!$AB$15:$AL$40)/(ORÇAMENTO!$X$15-_xlfn.single(CÁLCULO.TotalAdmLocal))*CRONO!$F34,
                        0),
                 AF33*$S32),
          SUMIF(OFFSET($S34,1,0,$R32-2),($M32+1)&amp;"$",OFFSET(AF34,1,0,$R32-2)))</f>
        <v>0</v>
      </c>
      <c r="AG34" s="438"/>
    </row>
    <row r="35" customFormat="false" ht="12.75" hidden="false" customHeight="false" outlineLevel="0" collapsed="false">
      <c r="A35" s="388" t="str">
        <f aca="false">IF($M35&gt;1,_xlfn.CONCAT($I35," ",$J35),"")</f>
        <v>1.3.2. Telhamento</v>
      </c>
      <c r="B35" s="427" t="n">
        <f aca="true">OFFSET(B35,-3,0)+1</f>
        <v>8</v>
      </c>
      <c r="C35" s="427" t="n">
        <f aca="true">IF($R35&lt;&gt;2,0,IF($S35=0,1,IF(F36&gt;0,OFFSET(QCI!$M$13,SUBSTITUTE(F36,".",""),0),OFFSET(ORÇAMENTO!$AA$15,CRONO!$F35,0))/$S35))</f>
        <v>0</v>
      </c>
      <c r="D35" s="427" t="n">
        <f aca="true">IF($R35&lt;&gt;2,0,IF($S35=0,1,IF(F36&gt;0,OFFSET(QCI!$N$13,SUBSTITUTE(F36,".",""),0),OFFSET(ORÇAMENTO!$AB$15,CRONO!$F35,0))/$S35))</f>
        <v>0</v>
      </c>
      <c r="E35" s="430" t="n">
        <f aca="false" t="array" ref="E35:E35">IF(AND($R35=2,ACOMPANHAMENTO="BM"),ROUND(E36,4),E37/$S35)</f>
        <v>0</v>
      </c>
      <c r="F35" s="427" t="n">
        <f aca="true">IF(B35&lt;=ORÇAMENTO.MáximoListaCrono,MATCH(B35,ORÇAMENTO.ListaCrono,0),NA())</f>
        <v>13</v>
      </c>
      <c r="G35" s="427" t="str">
        <f aca="false">IF(AND($F36&lt;&gt;-1,$S35&gt;0),"F","")</f>
        <v>F</v>
      </c>
      <c r="H35" s="431" t="n">
        <f aca="false" t="array" ref="H35:H35">IF(OR(S35=0,S35=""),"Linha",IF(AND(OR(ACOMPANHAMENTO="PLE",$R35&lt;&gt;2),$F36=0),"Linha",ROUND(1-SUM(U35:AG35),4)))</f>
        <v>0</v>
      </c>
      <c r="I35" s="432" t="str">
        <f aca="true">IF($F36=0,OFFSET(ORÇAMENTO!O$15,$F35,0),IF($F36&lt;&gt;-1,OFFSET(QCI!$D$13,$F36,0),""))</f>
        <v>1.3.2.</v>
      </c>
      <c r="J35" s="433" t="str">
        <f aca="true">IF($F36=0,OFFSET(ORÇAMENTO!R$15,$F35,0),IF($F36&lt;&gt;-1,OFFSET(QCI!$G$13,$F36,0),""))</f>
        <v>Telhamento</v>
      </c>
      <c r="K35" s="433"/>
      <c r="L35" s="433"/>
      <c r="M35" s="434" t="n">
        <f aca="true">IF($F36=0,OFFSET(ORÇAMENTO!C$15,$F35,0),1)</f>
        <v>3</v>
      </c>
      <c r="N35" s="435" t="n">
        <f aca="true">IF($F36=-1,0,IF(N$13&lt;=$M35,IF(ISERROR(MATCH(N$13,OFFSET($M35,1,0,ROW($M$44)-ROW($M35)-1),0)),ROW($M$44)-ROW($M35)-1,MATCH(N$13,OFFSET($M35,1,0,ROW($M$44)-ROW($M35)-1),0)-1),0))</f>
        <v>8</v>
      </c>
      <c r="O35" s="435" t="n">
        <f aca="true">IF($F36=-1,0,IF(O$13&lt;=$M35,IF(ISERROR(MATCH(O$13,OFFSET($M35,1,0,ROW($M$44)-ROW($M35)-1),0)),ROW($M$44)-ROW($M35)-1,MATCH(O$13,OFFSET($M35,1,0,ROW($M$44)-ROW($M35)-1),0)-1),0))</f>
        <v>8</v>
      </c>
      <c r="P35" s="435" t="n">
        <f aca="true">IF($F36=-1,0,IF(P$13&lt;=$M35,IF(ISERROR(MATCH(P$13,OFFSET($M35,1,0,ROW($M$44)-ROW($M35)-1),0)),ROW($M$44)-ROW($M35)-1,MATCH(P$13,OFFSET($M35,1,0,ROW($M$44)-ROW($M35)-1),0)-1),0))</f>
        <v>2</v>
      </c>
      <c r="Q35" s="435" t="n">
        <f aca="true">IF($F36=-1,0,IF(Q$13&lt;=$M35,IF(ISERROR(MATCH(Q$13,OFFSET($M35,1,0,ROW($M$44)-ROW($M35)-1),0)),ROW($M$44)-ROW($M35)-1,MATCH(Q$13,OFFSET($M35,1,0,ROW($M$44)-ROW($M35)-1),0)-1),0))</f>
        <v>0</v>
      </c>
      <c r="R35" s="435" t="n">
        <f aca="true">MIN(OFFSET(M35,0,1,,M35))</f>
        <v>2</v>
      </c>
      <c r="S35" s="436" t="n">
        <f aca="true">IF($F36=0,OFFSET(ORÇAMENTO!X$15,$F35,0),IF($F36&lt;&gt;-1,OFFSET(QCI!$O$13,$F36,0),""))</f>
        <v>4413.98727</v>
      </c>
      <c r="T35" s="437" t="s">
        <v>830</v>
      </c>
      <c r="U35" s="430" t="n">
        <f aca="false" t="array" ref="U35:U35">IF(AND($R35=2,ACOMPANHAMENTO="BM"),ROUND(U36,4),U37/$S35)</f>
        <v>0.5</v>
      </c>
      <c r="V35" s="430" t="n">
        <f aca="false" t="array" ref="V35:V35">IF(AND($R35=2,ACOMPANHAMENTO="BM"),ROUND(V36,4),V37/$S35)</f>
        <v>0.5</v>
      </c>
      <c r="W35" s="430" t="n">
        <f aca="false" t="array" ref="W35:W35">IF(AND($R35=2,ACOMPANHAMENTO="BM"),ROUND(W36,4),W37/$S35)</f>
        <v>0</v>
      </c>
      <c r="X35" s="430" t="n">
        <f aca="false" t="array" ref="X35:X35">IF(AND($R35=2,ACOMPANHAMENTO="BM"),ROUND(X36,4),X37/$S35)</f>
        <v>0</v>
      </c>
      <c r="Y35" s="430" t="n">
        <f aca="false" t="array" ref="Y35:Y35">IF(AND($R35=2,ACOMPANHAMENTO="BM"),ROUND(Y36,4),Y37/$S35)</f>
        <v>0</v>
      </c>
      <c r="Z35" s="430" t="n">
        <f aca="false" t="array" ref="Z35:Z35">IF(AND($R35=2,ACOMPANHAMENTO="BM"),ROUND(Z36,4),Z37/$S35)</f>
        <v>0</v>
      </c>
      <c r="AA35" s="430" t="n">
        <f aca="false" t="array" ref="AA35:AA35">IF(AND($R35=2,ACOMPANHAMENTO="BM"),ROUND(AA36,4),AA37/$S35)</f>
        <v>0</v>
      </c>
      <c r="AB35" s="430" t="n">
        <f aca="false" t="array" ref="AB35:AB35">IF(AND($R35=2,ACOMPANHAMENTO="BM"),ROUND(AB36,4),AB37/$S35)</f>
        <v>0</v>
      </c>
      <c r="AC35" s="430" t="n">
        <f aca="false" t="array" ref="AC35:AC35">IF(AND($R35=2,ACOMPANHAMENTO="BM"),ROUND(AC36,4),AC37/$S35)</f>
        <v>0</v>
      </c>
      <c r="AD35" s="430" t="n">
        <f aca="false" t="array" ref="AD35:AD35">IF(AND($R35=2,ACOMPANHAMENTO="BM"),ROUND(AD36,4),AD37/$S35)</f>
        <v>0</v>
      </c>
      <c r="AE35" s="430" t="n">
        <f aca="false" t="array" ref="AE35:AE35">IF(AND($R35=2,ACOMPANHAMENTO="BM"),ROUND(AE36,4),AE37/$S35)</f>
        <v>0</v>
      </c>
      <c r="AF35" s="430" t="n">
        <f aca="false" t="array" ref="AF35:AF35">IF(AND($R35=2,ACOMPANHAMENTO="BM"),ROUND(AF36,4),AF37/$S35)</f>
        <v>0</v>
      </c>
      <c r="AG35" s="438"/>
    </row>
    <row r="36" customFormat="false" ht="12.75" hidden="false" customHeight="true" outlineLevel="0" collapsed="false">
      <c r="E36" s="439"/>
      <c r="F36" s="427" t="n">
        <f aca="true">IF(ISERROR(F35),IF(1+COUNTIF($M$13:OFFSET(M35,-1,0),1)&lt;=MAX(QCI!$D$13:$D$16),1+COUNTIF($M$13:OFFSET(M35,-1,0),1),-1),0)</f>
        <v>0</v>
      </c>
      <c r="G36" s="427" t="str">
        <f aca="true" t="array" ref="G36:G36">IF(ACOMPANHAMENTO="BM",OFFSET(G36,-1,0),"")</f>
        <v>F</v>
      </c>
      <c r="H36" s="440" t="str">
        <f aca="false" t="array" ref="H36:H36">IF(OR(S35=0,S35=""),"vazia",IF(AND(OR(ACOMPANHAMENTO="PLE",$R35&lt;&gt;2),$F36=0),"calculada","--&gt;"))</f>
        <v>--&gt;</v>
      </c>
      <c r="I36" s="441"/>
      <c r="J36" s="442" t="str">
        <f aca="false">IF(AND(H35&lt;&gt;0,ISNUMBER(H35)),"PREENCHA ESTA LINHA --&gt;","")</f>
        <v/>
      </c>
      <c r="K36" s="442"/>
      <c r="L36" s="442"/>
      <c r="M36" s="443"/>
      <c r="N36" s="443"/>
      <c r="O36" s="443"/>
      <c r="P36" s="443"/>
      <c r="Q36" s="443"/>
      <c r="R36" s="443"/>
      <c r="S36" s="444"/>
      <c r="T36" s="445"/>
      <c r="U36" s="439" t="n">
        <v>0.5</v>
      </c>
      <c r="V36" s="439" t="n">
        <v>0.5</v>
      </c>
      <c r="W36" s="439"/>
      <c r="X36" s="439"/>
      <c r="Y36" s="439"/>
      <c r="Z36" s="439"/>
      <c r="AA36" s="439"/>
      <c r="AB36" s="439"/>
      <c r="AC36" s="439"/>
      <c r="AD36" s="439"/>
      <c r="AE36" s="439"/>
      <c r="AF36" s="439"/>
      <c r="AG36" s="438"/>
    </row>
    <row r="37" customFormat="false" ht="12.75" hidden="true" customHeight="true" outlineLevel="0" collapsed="false">
      <c r="D37" s="446"/>
      <c r="E37" s="447" t="n">
        <f aca="false" t="array" ref="E37:E37">IF($R35=2,
         IF(AND(ACOMPANHAMENTO="PLE",ISNUMBER($F35)),
                SUMIF((OFFSET(CÁLCULO!$AM$15:$AW$15,$F35,0,OFFSET(ORÇAMENTO!$D$15,CRONO!$F35,0))),CRONO!E$12,OFFSET(CÁLCULO!$AB$15:$AL$15,$F35,0,OFFSET(ORÇAMENTO!$D$15,CRONO!$F35,0)))
                +IF(AND($F37&lt;&gt;"",$F37&lt;&gt;0),
                        SUMIF(CÁLCULO!$AM$15:$AW$40,CRONO!E$12,CÁLCULO!$AB$15:$AL$40)/(ORÇAMENTO!$X$15-_xlfn.single(CÁLCULO.TotalAdmLocal))*CRONO!$F37,
                        0),
                 E36*$S35),
          SUMIF(OFFSET($S37,1,0,$R35-2),($M35+1)&amp;"$",OFFSET(E37,1,0,$R35-2)))</f>
        <v>0</v>
      </c>
      <c r="F37" s="427" t="str">
        <f aca="true">IF(OR($R35&lt;&gt;2,AUTOEVENTO&lt;&gt;"manual",$F36&gt;0),"",
        IF(Import.TipoArredondamento="Tradicional",
              SUMIF(OFFSET(CÁLCULO!$M$15,CRONO!$F35,0,OFFSET(ORÇAMENTO!$D$15,CRONO!$F35,0)),1,OFFSET(ORÇAMENTO!$X$15,CRONO!$F35,0,OFFSET(ORÇAMENTO!$D$15,CRONO!$F35,0))),
              0))</f>
        <v/>
      </c>
      <c r="H37" s="448"/>
      <c r="S37" s="449" t="str">
        <f aca="false">M35&amp;"$"</f>
        <v>3$</v>
      </c>
      <c r="T37" s="450"/>
      <c r="U37" s="447" t="n">
        <f aca="false" t="array" ref="U37:U37">IF($R35=2,
         IF(AND(ACOMPANHAMENTO="PLE",ISNUMBER($F35)),
                SUMIF((OFFSET(CÁLCULO!$AM$15:$AW$15,$F35,0,OFFSET(ORÇAMENTO!$D$15,CRONO!$F35,0))),CRONO!U$12,OFFSET(CÁLCULO!$AB$15:$AL$15,$F35,0,OFFSET(ORÇAMENTO!$D$15,CRONO!$F35,0)))
                +IF(AND($F37&lt;&gt;"",$F37&lt;&gt;0),
                        SUMIF(CÁLCULO!$AM$15:$AW$40,CRONO!U$12,CÁLCULO!$AB$15:$AL$40)/(ORÇAMENTO!$X$15-_xlfn.single(CÁLCULO.TotalAdmLocal))*CRONO!$F37,
                        0),
                 U36*$S35),
          SUMIF(OFFSET($S37,1,0,$R35-2),($M35+1)&amp;"$",OFFSET(U37,1,0,$R35-2)))</f>
        <v>2206.993635</v>
      </c>
      <c r="V37" s="447" t="n">
        <f aca="false" t="array" ref="V37:V37">IF($R35=2,
         IF(AND(ACOMPANHAMENTO="PLE",ISNUMBER($F35)),
                SUMIF((OFFSET(CÁLCULO!$AM$15:$AW$15,$F35,0,OFFSET(ORÇAMENTO!$D$15,CRONO!$F35,0))),CRONO!V$12,OFFSET(CÁLCULO!$AB$15:$AL$15,$F35,0,OFFSET(ORÇAMENTO!$D$15,CRONO!$F35,0)))
                +IF(AND($F37&lt;&gt;"",$F37&lt;&gt;0),
                        SUMIF(CÁLCULO!$AM$15:$AW$40,CRONO!V$12,CÁLCULO!$AB$15:$AL$40)/(ORÇAMENTO!$X$15-_xlfn.single(CÁLCULO.TotalAdmLocal))*CRONO!$F37,
                        0),
                 V36*$S35),
          SUMIF(OFFSET($S37,1,0,$R35-2),($M35+1)&amp;"$",OFFSET(V37,1,0,$R35-2)))</f>
        <v>2206.993635</v>
      </c>
      <c r="W37" s="447" t="n">
        <f aca="false" t="array" ref="W37:W37">IF($R35=2,
         IF(AND(ACOMPANHAMENTO="PLE",ISNUMBER($F35)),
                SUMIF((OFFSET(CÁLCULO!$AM$15:$AW$15,$F35,0,OFFSET(ORÇAMENTO!$D$15,CRONO!$F35,0))),CRONO!W$12,OFFSET(CÁLCULO!$AB$15:$AL$15,$F35,0,OFFSET(ORÇAMENTO!$D$15,CRONO!$F35,0)))
                +IF(AND($F37&lt;&gt;"",$F37&lt;&gt;0),
                        SUMIF(CÁLCULO!$AM$15:$AW$40,CRONO!W$12,CÁLCULO!$AB$15:$AL$40)/(ORÇAMENTO!$X$15-_xlfn.single(CÁLCULO.TotalAdmLocal))*CRONO!$F37,
                        0),
                 W36*$S35),
          SUMIF(OFFSET($S37,1,0,$R35-2),($M35+1)&amp;"$",OFFSET(W37,1,0,$R35-2)))</f>
        <v>0</v>
      </c>
      <c r="X37" s="447" t="n">
        <f aca="false" t="array" ref="X37:X37">IF($R35=2,
         IF(AND(ACOMPANHAMENTO="PLE",ISNUMBER($F35)),
                SUMIF((OFFSET(CÁLCULO!$AM$15:$AW$15,$F35,0,OFFSET(ORÇAMENTO!$D$15,CRONO!$F35,0))),CRONO!X$12,OFFSET(CÁLCULO!$AB$15:$AL$15,$F35,0,OFFSET(ORÇAMENTO!$D$15,CRONO!$F35,0)))
                +IF(AND($F37&lt;&gt;"",$F37&lt;&gt;0),
                        SUMIF(CÁLCULO!$AM$15:$AW$40,CRONO!X$12,CÁLCULO!$AB$15:$AL$40)/(ORÇAMENTO!$X$15-_xlfn.single(CÁLCULO.TotalAdmLocal))*CRONO!$F37,
                        0),
                 X36*$S35),
          SUMIF(OFFSET($S37,1,0,$R35-2),($M35+1)&amp;"$",OFFSET(X37,1,0,$R35-2)))</f>
        <v>0</v>
      </c>
      <c r="Y37" s="447" t="n">
        <f aca="false" t="array" ref="Y37:Y37">IF($R35=2,
         IF(AND(ACOMPANHAMENTO="PLE",ISNUMBER($F35)),
                SUMIF((OFFSET(CÁLCULO!$AM$15:$AW$15,$F35,0,OFFSET(ORÇAMENTO!$D$15,CRONO!$F35,0))),CRONO!Y$12,OFFSET(CÁLCULO!$AB$15:$AL$15,$F35,0,OFFSET(ORÇAMENTO!$D$15,CRONO!$F35,0)))
                +IF(AND($F37&lt;&gt;"",$F37&lt;&gt;0),
                        SUMIF(CÁLCULO!$AM$15:$AW$40,CRONO!Y$12,CÁLCULO!$AB$15:$AL$40)/(ORÇAMENTO!$X$15-_xlfn.single(CÁLCULO.TotalAdmLocal))*CRONO!$F37,
                        0),
                 Y36*$S35),
          SUMIF(OFFSET($S37,1,0,$R35-2),($M35+1)&amp;"$",OFFSET(Y37,1,0,$R35-2)))</f>
        <v>0</v>
      </c>
      <c r="Z37" s="447" t="n">
        <f aca="false" t="array" ref="Z37:Z37">IF($R35=2,
         IF(AND(ACOMPANHAMENTO="PLE",ISNUMBER($F35)),
                SUMIF((OFFSET(CÁLCULO!$AM$15:$AW$15,$F35,0,OFFSET(ORÇAMENTO!$D$15,CRONO!$F35,0))),CRONO!Z$12,OFFSET(CÁLCULO!$AB$15:$AL$15,$F35,0,OFFSET(ORÇAMENTO!$D$15,CRONO!$F35,0)))
                +IF(AND($F37&lt;&gt;"",$F37&lt;&gt;0),
                        SUMIF(CÁLCULO!$AM$15:$AW$40,CRONO!Z$12,CÁLCULO!$AB$15:$AL$40)/(ORÇAMENTO!$X$15-_xlfn.single(CÁLCULO.TotalAdmLocal))*CRONO!$F37,
                        0),
                 Z36*$S35),
          SUMIF(OFFSET($S37,1,0,$R35-2),($M35+1)&amp;"$",OFFSET(Z37,1,0,$R35-2)))</f>
        <v>0</v>
      </c>
      <c r="AA37" s="447" t="n">
        <f aca="false" t="array" ref="AA37:AA37">IF($R35=2,
         IF(AND(ACOMPANHAMENTO="PLE",ISNUMBER($F35)),
                SUMIF((OFFSET(CÁLCULO!$AM$15:$AW$15,$F35,0,OFFSET(ORÇAMENTO!$D$15,CRONO!$F35,0))),CRONO!AA$12,OFFSET(CÁLCULO!$AB$15:$AL$15,$F35,0,OFFSET(ORÇAMENTO!$D$15,CRONO!$F35,0)))
                +IF(AND($F37&lt;&gt;"",$F37&lt;&gt;0),
                        SUMIF(CÁLCULO!$AM$15:$AW$40,CRONO!AA$12,CÁLCULO!$AB$15:$AL$40)/(ORÇAMENTO!$X$15-_xlfn.single(CÁLCULO.TotalAdmLocal))*CRONO!$F37,
                        0),
                 AA36*$S35),
          SUMIF(OFFSET($S37,1,0,$R35-2),($M35+1)&amp;"$",OFFSET(AA37,1,0,$R35-2)))</f>
        <v>0</v>
      </c>
      <c r="AB37" s="447" t="n">
        <f aca="false" t="array" ref="AB37:AB37">IF($R35=2,
         IF(AND(ACOMPANHAMENTO="PLE",ISNUMBER($F35)),
                SUMIF((OFFSET(CÁLCULO!$AM$15:$AW$15,$F35,0,OFFSET(ORÇAMENTO!$D$15,CRONO!$F35,0))),CRONO!AB$12,OFFSET(CÁLCULO!$AB$15:$AL$15,$F35,0,OFFSET(ORÇAMENTO!$D$15,CRONO!$F35,0)))
                +IF(AND($F37&lt;&gt;"",$F37&lt;&gt;0),
                        SUMIF(CÁLCULO!$AM$15:$AW$40,CRONO!AB$12,CÁLCULO!$AB$15:$AL$40)/(ORÇAMENTO!$X$15-_xlfn.single(CÁLCULO.TotalAdmLocal))*CRONO!$F37,
                        0),
                 AB36*$S35),
          SUMIF(OFFSET($S37,1,0,$R35-2),($M35+1)&amp;"$",OFFSET(AB37,1,0,$R35-2)))</f>
        <v>0</v>
      </c>
      <c r="AC37" s="447" t="n">
        <f aca="false" t="array" ref="AC37:AC37">IF($R35=2,
         IF(AND(ACOMPANHAMENTO="PLE",ISNUMBER($F35)),
                SUMIF((OFFSET(CÁLCULO!$AM$15:$AW$15,$F35,0,OFFSET(ORÇAMENTO!$D$15,CRONO!$F35,0))),CRONO!AC$12,OFFSET(CÁLCULO!$AB$15:$AL$15,$F35,0,OFFSET(ORÇAMENTO!$D$15,CRONO!$F35,0)))
                +IF(AND($F37&lt;&gt;"",$F37&lt;&gt;0),
                        SUMIF(CÁLCULO!$AM$15:$AW$40,CRONO!AC$12,CÁLCULO!$AB$15:$AL$40)/(ORÇAMENTO!$X$15-_xlfn.single(CÁLCULO.TotalAdmLocal))*CRONO!$F37,
                        0),
                 AC36*$S35),
          SUMIF(OFFSET($S37,1,0,$R35-2),($M35+1)&amp;"$",OFFSET(AC37,1,0,$R35-2)))</f>
        <v>0</v>
      </c>
      <c r="AD37" s="447" t="n">
        <f aca="false" t="array" ref="AD37:AD37">IF($R35=2,
         IF(AND(ACOMPANHAMENTO="PLE",ISNUMBER($F35)),
                SUMIF((OFFSET(CÁLCULO!$AM$15:$AW$15,$F35,0,OFFSET(ORÇAMENTO!$D$15,CRONO!$F35,0))),CRONO!AD$12,OFFSET(CÁLCULO!$AB$15:$AL$15,$F35,0,OFFSET(ORÇAMENTO!$D$15,CRONO!$F35,0)))
                +IF(AND($F37&lt;&gt;"",$F37&lt;&gt;0),
                        SUMIF(CÁLCULO!$AM$15:$AW$40,CRONO!AD$12,CÁLCULO!$AB$15:$AL$40)/(ORÇAMENTO!$X$15-_xlfn.single(CÁLCULO.TotalAdmLocal))*CRONO!$F37,
                        0),
                 AD36*$S35),
          SUMIF(OFFSET($S37,1,0,$R35-2),($M35+1)&amp;"$",OFFSET(AD37,1,0,$R35-2)))</f>
        <v>0</v>
      </c>
      <c r="AE37" s="447" t="n">
        <f aca="false" t="array" ref="AE37:AE37">IF($R35=2,
         IF(AND(ACOMPANHAMENTO="PLE",ISNUMBER($F35)),
                SUMIF((OFFSET(CÁLCULO!$AM$15:$AW$15,$F35,0,OFFSET(ORÇAMENTO!$D$15,CRONO!$F35,0))),CRONO!AE$12,OFFSET(CÁLCULO!$AB$15:$AL$15,$F35,0,OFFSET(ORÇAMENTO!$D$15,CRONO!$F35,0)))
                +IF(AND($F37&lt;&gt;"",$F37&lt;&gt;0),
                        SUMIF(CÁLCULO!$AM$15:$AW$40,CRONO!AE$12,CÁLCULO!$AB$15:$AL$40)/(ORÇAMENTO!$X$15-_xlfn.single(CÁLCULO.TotalAdmLocal))*CRONO!$F37,
                        0),
                 AE36*$S35),
          SUMIF(OFFSET($S37,1,0,$R35-2),($M35+1)&amp;"$",OFFSET(AE37,1,0,$R35-2)))</f>
        <v>0</v>
      </c>
      <c r="AF37" s="447" t="n">
        <f aca="false" t="array" ref="AF37:AF37">IF($R35=2,
         IF(AND(ACOMPANHAMENTO="PLE",ISNUMBER($F35)),
                SUMIF((OFFSET(CÁLCULO!$AM$15:$AW$15,$F35,0,OFFSET(ORÇAMENTO!$D$15,CRONO!$F35,0))),CRONO!AF$12,OFFSET(CÁLCULO!$AB$15:$AL$15,$F35,0,OFFSET(ORÇAMENTO!$D$15,CRONO!$F35,0)))
                +IF(AND($F37&lt;&gt;"",$F37&lt;&gt;0),
                        SUMIF(CÁLCULO!$AM$15:$AW$40,CRONO!AF$12,CÁLCULO!$AB$15:$AL$40)/(ORÇAMENTO!$X$15-_xlfn.single(CÁLCULO.TotalAdmLocal))*CRONO!$F37,
                        0),
                 AF36*$S35),
          SUMIF(OFFSET($S37,1,0,$R35-2),($M35+1)&amp;"$",OFFSET(AF37,1,0,$R35-2)))</f>
        <v>0</v>
      </c>
      <c r="AG37" s="438"/>
    </row>
    <row r="38" customFormat="false" ht="12.75" hidden="false" customHeight="false" outlineLevel="0" collapsed="false">
      <c r="A38" s="388" t="str">
        <f aca="false">IF($M38&gt;1,_xlfn.CONCAT($I38," ",$J38),"")</f>
        <v>1.3.3. Sistema de águas pluviais</v>
      </c>
      <c r="B38" s="427" t="n">
        <f aca="true">OFFSET(B38,-3,0)+1</f>
        <v>9</v>
      </c>
      <c r="C38" s="427" t="n">
        <f aca="true">IF($R38&lt;&gt;2,0,IF($S38=0,1,IF(F39&gt;0,OFFSET(QCI!$M$13,SUBSTITUTE(F39,".",""),0),OFFSET(ORÇAMENTO!$AA$15,CRONO!$F38,0))/$S38))</f>
        <v>1</v>
      </c>
      <c r="D38" s="427" t="n">
        <f aca="true">IF($R38&lt;&gt;2,0,IF($S38=0,1,IF(F39&gt;0,OFFSET(QCI!$N$13,SUBSTITUTE(F39,".",""),0),OFFSET(ORÇAMENTO!$AB$15,CRONO!$F38,0))/$S38))</f>
        <v>1</v>
      </c>
      <c r="E38" s="430" t="n">
        <f aca="false" t="array" ref="E38:E38">IF(AND($R38=2,ACOMPANHAMENTO="BM"),ROUND(E39,4),E40/$S38)</f>
        <v>0</v>
      </c>
      <c r="F38" s="427" t="n">
        <f aca="true">IF(B38&lt;=ORÇAMENTO.MáximoListaCrono,MATCH(B38,ORÇAMENTO.ListaCrono,0),NA())</f>
        <v>17</v>
      </c>
      <c r="G38" s="427" t="str">
        <f aca="false">IF(AND($F39&lt;&gt;-1,$S38&gt;0),"F","")</f>
        <v/>
      </c>
      <c r="H38" s="431" t="str">
        <f aca="false" t="array" ref="H38:H38">IF(OR(S38=0,S38=""),"Linha",IF(AND(OR(ACOMPANHAMENTO="PLE",$R38&lt;&gt;2),$F39=0),"Linha",ROUND(1-SUM(U38:AG38),4)))</f>
        <v>Linha</v>
      </c>
      <c r="I38" s="432" t="str">
        <f aca="true">IF($F39=0,OFFSET(ORÇAMENTO!O$15,$F38,0),IF($F39&lt;&gt;-1,OFFSET(QCI!$D$13,$F39,0),""))</f>
        <v>1.3.3.</v>
      </c>
      <c r="J38" s="433" t="str">
        <f aca="true">IF($F39=0,OFFSET(ORÇAMENTO!R$15,$F38,0),IF($F39&lt;&gt;-1,OFFSET(QCI!$G$13,$F39,0),""))</f>
        <v>Sistema de águas pluviais</v>
      </c>
      <c r="K38" s="433"/>
      <c r="L38" s="433"/>
      <c r="M38" s="434" t="n">
        <f aca="true">IF($F39=0,OFFSET(ORÇAMENTO!C$15,$F38,0),1)</f>
        <v>3</v>
      </c>
      <c r="N38" s="435" t="n">
        <f aca="true">IF($F39=-1,0,IF(N$13&lt;=$M38,IF(ISERROR(MATCH(N$13,OFFSET($M38,1,0,ROW($M$44)-ROW($M38)-1),0)),ROW($M$44)-ROW($M38)-1,MATCH(N$13,OFFSET($M38,1,0,ROW($M$44)-ROW($M38)-1),0)-1),0))</f>
        <v>5</v>
      </c>
      <c r="O38" s="435" t="n">
        <f aca="true">IF($F39=-1,0,IF(O$13&lt;=$M38,IF(ISERROR(MATCH(O$13,OFFSET($M38,1,0,ROW($M$44)-ROW($M38)-1),0)),ROW($M$44)-ROW($M38)-1,MATCH(O$13,OFFSET($M38,1,0,ROW($M$44)-ROW($M38)-1),0)-1),0))</f>
        <v>5</v>
      </c>
      <c r="P38" s="435" t="n">
        <f aca="true">IF($F39=-1,0,IF(P$13&lt;=$M38,IF(ISERROR(MATCH(P$13,OFFSET($M38,1,0,ROW($M$44)-ROW($M38)-1),0)),ROW($M$44)-ROW($M38)-1,MATCH(P$13,OFFSET($M38,1,0,ROW($M$44)-ROW($M38)-1),0)-1),0))</f>
        <v>2</v>
      </c>
      <c r="Q38" s="435" t="n">
        <f aca="true">IF($F39=-1,0,IF(Q$13&lt;=$M38,IF(ISERROR(MATCH(Q$13,OFFSET($M38,1,0,ROW($M$44)-ROW($M38)-1),0)),ROW($M$44)-ROW($M38)-1,MATCH(Q$13,OFFSET($M38,1,0,ROW($M$44)-ROW($M38)-1),0)-1),0))</f>
        <v>0</v>
      </c>
      <c r="R38" s="435" t="n">
        <f aca="true">MIN(OFFSET(M38,0,1,,M38))</f>
        <v>2</v>
      </c>
      <c r="S38" s="436" t="n">
        <f aca="true">IF($F39=0,OFFSET(ORÇAMENTO!X$15,$F38,0),IF($F39&lt;&gt;-1,OFFSET(QCI!$O$13,$F39,0),""))</f>
        <v>0</v>
      </c>
      <c r="T38" s="437" t="s">
        <v>830</v>
      </c>
      <c r="U38" s="430" t="n">
        <f aca="false" t="array" ref="U38:U38">IF(AND($R38=2,ACOMPANHAMENTO="BM"),ROUND(U39,4),U40/$S38)</f>
        <v>0</v>
      </c>
      <c r="V38" s="430" t="n">
        <f aca="false" t="array" ref="V38:V38">IF(AND($R38=2,ACOMPANHAMENTO="BM"),ROUND(V39,4),V40/$S38)</f>
        <v>0.2</v>
      </c>
      <c r="W38" s="430" t="n">
        <f aca="false" t="array" ref="W38:W38">IF(AND($R38=2,ACOMPANHAMENTO="BM"),ROUND(W39,4),W40/$S38)</f>
        <v>0.8</v>
      </c>
      <c r="X38" s="430" t="n">
        <f aca="false" t="array" ref="X38:X38">IF(AND($R38=2,ACOMPANHAMENTO="BM"),ROUND(X39,4),X40/$S38)</f>
        <v>0</v>
      </c>
      <c r="Y38" s="430" t="n">
        <f aca="false" t="array" ref="Y38:Y38">IF(AND($R38=2,ACOMPANHAMENTO="BM"),ROUND(Y39,4),Y40/$S38)</f>
        <v>0</v>
      </c>
      <c r="Z38" s="430" t="n">
        <f aca="false" t="array" ref="Z38:Z38">IF(AND($R38=2,ACOMPANHAMENTO="BM"),ROUND(Z39,4),Z40/$S38)</f>
        <v>0</v>
      </c>
      <c r="AA38" s="430" t="n">
        <f aca="false" t="array" ref="AA38:AA38">IF(AND($R38=2,ACOMPANHAMENTO="BM"),ROUND(AA39,4),AA40/$S38)</f>
        <v>0</v>
      </c>
      <c r="AB38" s="430" t="n">
        <f aca="false" t="array" ref="AB38:AB38">IF(AND($R38=2,ACOMPANHAMENTO="BM"),ROUND(AB39,4),AB40/$S38)</f>
        <v>0</v>
      </c>
      <c r="AC38" s="430" t="n">
        <f aca="false" t="array" ref="AC38:AC38">IF(AND($R38=2,ACOMPANHAMENTO="BM"),ROUND(AC39,4),AC40/$S38)</f>
        <v>0</v>
      </c>
      <c r="AD38" s="430" t="n">
        <f aca="false" t="array" ref="AD38:AD38">IF(AND($R38=2,ACOMPANHAMENTO="BM"),ROUND(AD39,4),AD40/$S38)</f>
        <v>0</v>
      </c>
      <c r="AE38" s="430" t="n">
        <f aca="false" t="array" ref="AE38:AE38">IF(AND($R38=2,ACOMPANHAMENTO="BM"),ROUND(AE39,4),AE40/$S38)</f>
        <v>0</v>
      </c>
      <c r="AF38" s="430" t="n">
        <f aca="false" t="array" ref="AF38:AF38">IF(AND($R38=2,ACOMPANHAMENTO="BM"),ROUND(AF39,4),AF40/$S38)</f>
        <v>0</v>
      </c>
      <c r="AG38" s="438"/>
    </row>
    <row r="39" customFormat="false" ht="12.75" hidden="false" customHeight="true" outlineLevel="0" collapsed="false">
      <c r="E39" s="439"/>
      <c r="F39" s="427" t="n">
        <f aca="true">IF(ISERROR(F38),IF(1+COUNTIF($M$13:OFFSET(M38,-1,0),1)&lt;=MAX(QCI!$D$13:$D$16),1+COUNTIF($M$13:OFFSET(M38,-1,0),1),-1),0)</f>
        <v>0</v>
      </c>
      <c r="G39" s="427" t="str">
        <f aca="true" t="array" ref="G39:G39">IF(ACOMPANHAMENTO="BM",OFFSET(G39,-1,0),"")</f>
        <v/>
      </c>
      <c r="H39" s="440" t="str">
        <f aca="false" t="array" ref="H39:H39">IF(OR(S38=0,S38=""),"vazia",IF(AND(OR(ACOMPANHAMENTO="PLE",$R38&lt;&gt;2),$F39=0),"calculada","--&gt;"))</f>
        <v>vazia</v>
      </c>
      <c r="I39" s="441"/>
      <c r="J39" s="442" t="str">
        <f aca="false">IF(AND(H38&lt;&gt;0,ISNUMBER(H38)),"PREENCHA ESTA LINHA --&gt;","")</f>
        <v/>
      </c>
      <c r="K39" s="442"/>
      <c r="L39" s="442"/>
      <c r="M39" s="443"/>
      <c r="N39" s="443"/>
      <c r="O39" s="443"/>
      <c r="P39" s="443"/>
      <c r="Q39" s="443"/>
      <c r="R39" s="443"/>
      <c r="S39" s="444"/>
      <c r="T39" s="445"/>
      <c r="U39" s="439"/>
      <c r="V39" s="439" t="n">
        <v>0.2</v>
      </c>
      <c r="W39" s="439" t="n">
        <v>0.8</v>
      </c>
      <c r="X39" s="439"/>
      <c r="Y39" s="439"/>
      <c r="Z39" s="439"/>
      <c r="AA39" s="439"/>
      <c r="AB39" s="439"/>
      <c r="AC39" s="439"/>
      <c r="AD39" s="439"/>
      <c r="AE39" s="439"/>
      <c r="AF39" s="439"/>
      <c r="AG39" s="438"/>
    </row>
    <row r="40" customFormat="false" ht="12.75" hidden="true" customHeight="true" outlineLevel="0" collapsed="false">
      <c r="D40" s="446"/>
      <c r="E40" s="447" t="n">
        <f aca="false" t="array" ref="E40:E40">IF($R38=2,
         IF(AND(ACOMPANHAMENTO="PLE",ISNUMBER($F38)),
                SUMIF((OFFSET(CÁLCULO!$AM$15:$AW$15,$F38,0,OFFSET(ORÇAMENTO!$D$15,CRONO!$F38,0))),CRONO!E$12,OFFSET(CÁLCULO!$AB$15:$AL$15,$F38,0,OFFSET(ORÇAMENTO!$D$15,CRONO!$F38,0)))
                +IF(AND($F40&lt;&gt;"",$F40&lt;&gt;0),
                        SUMIF(CÁLCULO!$AM$15:$AW$40,CRONO!E$12,CÁLCULO!$AB$15:$AL$40)/(ORÇAMENTO!$X$15-_xlfn.single(CÁLCULO.TotalAdmLocal))*CRONO!$F40,
                        0),
                 E39*$S38),
          SUMIF(OFFSET($S40,1,0,$R38-2),($M38+1)&amp;"$",OFFSET(E40,1,0,$R38-2)))</f>
        <v>0</v>
      </c>
      <c r="F40" s="427" t="str">
        <f aca="true">IF(OR($R38&lt;&gt;2,AUTOEVENTO&lt;&gt;"manual",$F39&gt;0),"",
        IF(Import.TipoArredondamento="Tradicional",
              SUMIF(OFFSET(CÁLCULO!$M$15,CRONO!$F38,0,OFFSET(ORÇAMENTO!$D$15,CRONO!$F38,0)),1,OFFSET(ORÇAMENTO!$X$15,CRONO!$F38,0,OFFSET(ORÇAMENTO!$D$15,CRONO!$F38,0))),
              0))</f>
        <v/>
      </c>
      <c r="H40" s="448"/>
      <c r="S40" s="449" t="str">
        <f aca="false">M38&amp;"$"</f>
        <v>3$</v>
      </c>
      <c r="T40" s="450"/>
      <c r="U40" s="447" t="n">
        <f aca="false" t="array" ref="U40:U40">IF($R38=2,
         IF(AND(ACOMPANHAMENTO="PLE",ISNUMBER($F38)),
                SUMIF((OFFSET(CÁLCULO!$AM$15:$AW$15,$F38,0,OFFSET(ORÇAMENTO!$D$15,CRONO!$F38,0))),CRONO!U$12,OFFSET(CÁLCULO!$AB$15:$AL$15,$F38,0,OFFSET(ORÇAMENTO!$D$15,CRONO!$F38,0)))
                +IF(AND($F40&lt;&gt;"",$F40&lt;&gt;0),
                        SUMIF(CÁLCULO!$AM$15:$AW$40,CRONO!U$12,CÁLCULO!$AB$15:$AL$40)/(ORÇAMENTO!$X$15-_xlfn.single(CÁLCULO.TotalAdmLocal))*CRONO!$F40,
                        0),
                 U39*$S38),
          SUMIF(OFFSET($S40,1,0,$R38-2),($M38+1)&amp;"$",OFFSET(U40,1,0,$R38-2)))</f>
        <v>0</v>
      </c>
      <c r="V40" s="447" t="n">
        <f aca="false" t="array" ref="V40:V40">IF($R38=2,
         IF(AND(ACOMPANHAMENTO="PLE",ISNUMBER($F38)),
                SUMIF((OFFSET(CÁLCULO!$AM$15:$AW$15,$F38,0,OFFSET(ORÇAMENTO!$D$15,CRONO!$F38,0))),CRONO!V$12,OFFSET(CÁLCULO!$AB$15:$AL$15,$F38,0,OFFSET(ORÇAMENTO!$D$15,CRONO!$F38,0)))
                +IF(AND($F40&lt;&gt;"",$F40&lt;&gt;0),
                        SUMIF(CÁLCULO!$AM$15:$AW$40,CRONO!V$12,CÁLCULO!$AB$15:$AL$40)/(ORÇAMENTO!$X$15-_xlfn.single(CÁLCULO.TotalAdmLocal))*CRONO!$F40,
                        0),
                 V39*$S38),
          SUMIF(OFFSET($S40,1,0,$R38-2),($M38+1)&amp;"$",OFFSET(V40,1,0,$R38-2)))</f>
        <v>0</v>
      </c>
      <c r="W40" s="447" t="n">
        <f aca="false" t="array" ref="W40:W40">IF($R38=2,
         IF(AND(ACOMPANHAMENTO="PLE",ISNUMBER($F38)),
                SUMIF((OFFSET(CÁLCULO!$AM$15:$AW$15,$F38,0,OFFSET(ORÇAMENTO!$D$15,CRONO!$F38,0))),CRONO!W$12,OFFSET(CÁLCULO!$AB$15:$AL$15,$F38,0,OFFSET(ORÇAMENTO!$D$15,CRONO!$F38,0)))
                +IF(AND($F40&lt;&gt;"",$F40&lt;&gt;0),
                        SUMIF(CÁLCULO!$AM$15:$AW$40,CRONO!W$12,CÁLCULO!$AB$15:$AL$40)/(ORÇAMENTO!$X$15-_xlfn.single(CÁLCULO.TotalAdmLocal))*CRONO!$F40,
                        0),
                 W39*$S38),
          SUMIF(OFFSET($S40,1,0,$R38-2),($M38+1)&amp;"$",OFFSET(W40,1,0,$R38-2)))</f>
        <v>0</v>
      </c>
      <c r="X40" s="447" t="n">
        <f aca="false" t="array" ref="X40:X40">IF($R38=2,
         IF(AND(ACOMPANHAMENTO="PLE",ISNUMBER($F38)),
                SUMIF((OFFSET(CÁLCULO!$AM$15:$AW$15,$F38,0,OFFSET(ORÇAMENTO!$D$15,CRONO!$F38,0))),CRONO!X$12,OFFSET(CÁLCULO!$AB$15:$AL$15,$F38,0,OFFSET(ORÇAMENTO!$D$15,CRONO!$F38,0)))
                +IF(AND($F40&lt;&gt;"",$F40&lt;&gt;0),
                        SUMIF(CÁLCULO!$AM$15:$AW$40,CRONO!X$12,CÁLCULO!$AB$15:$AL$40)/(ORÇAMENTO!$X$15-_xlfn.single(CÁLCULO.TotalAdmLocal))*CRONO!$F40,
                        0),
                 X39*$S38),
          SUMIF(OFFSET($S40,1,0,$R38-2),($M38+1)&amp;"$",OFFSET(X40,1,0,$R38-2)))</f>
        <v>0</v>
      </c>
      <c r="Y40" s="447" t="n">
        <f aca="false" t="array" ref="Y40:Y40">IF($R38=2,
         IF(AND(ACOMPANHAMENTO="PLE",ISNUMBER($F38)),
                SUMIF((OFFSET(CÁLCULO!$AM$15:$AW$15,$F38,0,OFFSET(ORÇAMENTO!$D$15,CRONO!$F38,0))),CRONO!Y$12,OFFSET(CÁLCULO!$AB$15:$AL$15,$F38,0,OFFSET(ORÇAMENTO!$D$15,CRONO!$F38,0)))
                +IF(AND($F40&lt;&gt;"",$F40&lt;&gt;0),
                        SUMIF(CÁLCULO!$AM$15:$AW$40,CRONO!Y$12,CÁLCULO!$AB$15:$AL$40)/(ORÇAMENTO!$X$15-_xlfn.single(CÁLCULO.TotalAdmLocal))*CRONO!$F40,
                        0),
                 Y39*$S38),
          SUMIF(OFFSET($S40,1,0,$R38-2),($M38+1)&amp;"$",OFFSET(Y40,1,0,$R38-2)))</f>
        <v>0</v>
      </c>
      <c r="Z40" s="447" t="n">
        <f aca="false" t="array" ref="Z40:Z40">IF($R38=2,
         IF(AND(ACOMPANHAMENTO="PLE",ISNUMBER($F38)),
                SUMIF((OFFSET(CÁLCULO!$AM$15:$AW$15,$F38,0,OFFSET(ORÇAMENTO!$D$15,CRONO!$F38,0))),CRONO!Z$12,OFFSET(CÁLCULO!$AB$15:$AL$15,$F38,0,OFFSET(ORÇAMENTO!$D$15,CRONO!$F38,0)))
                +IF(AND($F40&lt;&gt;"",$F40&lt;&gt;0),
                        SUMIF(CÁLCULO!$AM$15:$AW$40,CRONO!Z$12,CÁLCULO!$AB$15:$AL$40)/(ORÇAMENTO!$X$15-_xlfn.single(CÁLCULO.TotalAdmLocal))*CRONO!$F40,
                        0),
                 Z39*$S38),
          SUMIF(OFFSET($S40,1,0,$R38-2),($M38+1)&amp;"$",OFFSET(Z40,1,0,$R38-2)))</f>
        <v>0</v>
      </c>
      <c r="AA40" s="447" t="n">
        <f aca="false" t="array" ref="AA40:AA40">IF($R38=2,
         IF(AND(ACOMPANHAMENTO="PLE",ISNUMBER($F38)),
                SUMIF((OFFSET(CÁLCULO!$AM$15:$AW$15,$F38,0,OFFSET(ORÇAMENTO!$D$15,CRONO!$F38,0))),CRONO!AA$12,OFFSET(CÁLCULO!$AB$15:$AL$15,$F38,0,OFFSET(ORÇAMENTO!$D$15,CRONO!$F38,0)))
                +IF(AND($F40&lt;&gt;"",$F40&lt;&gt;0),
                        SUMIF(CÁLCULO!$AM$15:$AW$40,CRONO!AA$12,CÁLCULO!$AB$15:$AL$40)/(ORÇAMENTO!$X$15-_xlfn.single(CÁLCULO.TotalAdmLocal))*CRONO!$F40,
                        0),
                 AA39*$S38),
          SUMIF(OFFSET($S40,1,0,$R38-2),($M38+1)&amp;"$",OFFSET(AA40,1,0,$R38-2)))</f>
        <v>0</v>
      </c>
      <c r="AB40" s="447" t="n">
        <f aca="false" t="array" ref="AB40:AB40">IF($R38=2,
         IF(AND(ACOMPANHAMENTO="PLE",ISNUMBER($F38)),
                SUMIF((OFFSET(CÁLCULO!$AM$15:$AW$15,$F38,0,OFFSET(ORÇAMENTO!$D$15,CRONO!$F38,0))),CRONO!AB$12,OFFSET(CÁLCULO!$AB$15:$AL$15,$F38,0,OFFSET(ORÇAMENTO!$D$15,CRONO!$F38,0)))
                +IF(AND($F40&lt;&gt;"",$F40&lt;&gt;0),
                        SUMIF(CÁLCULO!$AM$15:$AW$40,CRONO!AB$12,CÁLCULO!$AB$15:$AL$40)/(ORÇAMENTO!$X$15-_xlfn.single(CÁLCULO.TotalAdmLocal))*CRONO!$F40,
                        0),
                 AB39*$S38),
          SUMIF(OFFSET($S40,1,0,$R38-2),($M38+1)&amp;"$",OFFSET(AB40,1,0,$R38-2)))</f>
        <v>0</v>
      </c>
      <c r="AC40" s="447" t="n">
        <f aca="false" t="array" ref="AC40:AC40">IF($R38=2,
         IF(AND(ACOMPANHAMENTO="PLE",ISNUMBER($F38)),
                SUMIF((OFFSET(CÁLCULO!$AM$15:$AW$15,$F38,0,OFFSET(ORÇAMENTO!$D$15,CRONO!$F38,0))),CRONO!AC$12,OFFSET(CÁLCULO!$AB$15:$AL$15,$F38,0,OFFSET(ORÇAMENTO!$D$15,CRONO!$F38,0)))
                +IF(AND($F40&lt;&gt;"",$F40&lt;&gt;0),
                        SUMIF(CÁLCULO!$AM$15:$AW$40,CRONO!AC$12,CÁLCULO!$AB$15:$AL$40)/(ORÇAMENTO!$X$15-_xlfn.single(CÁLCULO.TotalAdmLocal))*CRONO!$F40,
                        0),
                 AC39*$S38),
          SUMIF(OFFSET($S40,1,0,$R38-2),($M38+1)&amp;"$",OFFSET(AC40,1,0,$R38-2)))</f>
        <v>0</v>
      </c>
      <c r="AD40" s="447" t="n">
        <f aca="false" t="array" ref="AD40:AD40">IF($R38=2,
         IF(AND(ACOMPANHAMENTO="PLE",ISNUMBER($F38)),
                SUMIF((OFFSET(CÁLCULO!$AM$15:$AW$15,$F38,0,OFFSET(ORÇAMENTO!$D$15,CRONO!$F38,0))),CRONO!AD$12,OFFSET(CÁLCULO!$AB$15:$AL$15,$F38,0,OFFSET(ORÇAMENTO!$D$15,CRONO!$F38,0)))
                +IF(AND($F40&lt;&gt;"",$F40&lt;&gt;0),
                        SUMIF(CÁLCULO!$AM$15:$AW$40,CRONO!AD$12,CÁLCULO!$AB$15:$AL$40)/(ORÇAMENTO!$X$15-_xlfn.single(CÁLCULO.TotalAdmLocal))*CRONO!$F40,
                        0),
                 AD39*$S38),
          SUMIF(OFFSET($S40,1,0,$R38-2),($M38+1)&amp;"$",OFFSET(AD40,1,0,$R38-2)))</f>
        <v>0</v>
      </c>
      <c r="AE40" s="447" t="n">
        <f aca="false" t="array" ref="AE40:AE40">IF($R38=2,
         IF(AND(ACOMPANHAMENTO="PLE",ISNUMBER($F38)),
                SUMIF((OFFSET(CÁLCULO!$AM$15:$AW$15,$F38,0,OFFSET(ORÇAMENTO!$D$15,CRONO!$F38,0))),CRONO!AE$12,OFFSET(CÁLCULO!$AB$15:$AL$15,$F38,0,OFFSET(ORÇAMENTO!$D$15,CRONO!$F38,0)))
                +IF(AND($F40&lt;&gt;"",$F40&lt;&gt;0),
                        SUMIF(CÁLCULO!$AM$15:$AW$40,CRONO!AE$12,CÁLCULO!$AB$15:$AL$40)/(ORÇAMENTO!$X$15-_xlfn.single(CÁLCULO.TotalAdmLocal))*CRONO!$F40,
                        0),
                 AE39*$S38),
          SUMIF(OFFSET($S40,1,0,$R38-2),($M38+1)&amp;"$",OFFSET(AE40,1,0,$R38-2)))</f>
        <v>0</v>
      </c>
      <c r="AF40" s="447" t="n">
        <f aca="false" t="array" ref="AF40:AF40">IF($R38=2,
         IF(AND(ACOMPANHAMENTO="PLE",ISNUMBER($F38)),
                SUMIF((OFFSET(CÁLCULO!$AM$15:$AW$15,$F38,0,OFFSET(ORÇAMENTO!$D$15,CRONO!$F38,0))),CRONO!AF$12,OFFSET(CÁLCULO!$AB$15:$AL$15,$F38,0,OFFSET(ORÇAMENTO!$D$15,CRONO!$F38,0)))
                +IF(AND($F40&lt;&gt;"",$F40&lt;&gt;0),
                        SUMIF(CÁLCULO!$AM$15:$AW$40,CRONO!AF$12,CÁLCULO!$AB$15:$AL$40)/(ORÇAMENTO!$X$15-_xlfn.single(CÁLCULO.TotalAdmLocal))*CRONO!$F40,
                        0),
                 AF39*$S38),
          SUMIF(OFFSET($S40,1,0,$R38-2),($M38+1)&amp;"$",OFFSET(AF40,1,0,$R38-2)))</f>
        <v>0</v>
      </c>
      <c r="AG40" s="438"/>
    </row>
    <row r="41" customFormat="false" ht="12.75" hidden="false" customHeight="false" outlineLevel="0" collapsed="false">
      <c r="A41" s="388" t="str">
        <f aca="false">IF($M41&gt;1,_xlfn.CONCAT($I41," ",$J41),"")</f>
        <v>1.3.4. Forro Parte B</v>
      </c>
      <c r="B41" s="427" t="n">
        <f aca="true">OFFSET(B41,-3,0)+1</f>
        <v>10</v>
      </c>
      <c r="C41" s="427" t="n">
        <f aca="true">IF($R41&lt;&gt;2,0,IF($S41=0,1,IF(F42&gt;0,OFFSET(QCI!$M$13,SUBSTITUTE(F42,".",""),0),OFFSET(ORÇAMENTO!$AA$15,CRONO!$F41,0))/$S41))</f>
        <v>1</v>
      </c>
      <c r="D41" s="427" t="n">
        <f aca="true">IF($R41&lt;&gt;2,0,IF($S41=0,1,IF(F42&gt;0,OFFSET(QCI!$N$13,SUBSTITUTE(F42,".",""),0),OFFSET(ORÇAMENTO!$AB$15,CRONO!$F41,0))/$S41))</f>
        <v>1</v>
      </c>
      <c r="E41" s="430" t="n">
        <f aca="false" t="array" ref="E41:E41">IF(AND($R41=2,ACOMPANHAMENTO="BM"),ROUND(E42,4),E43/$S41)</f>
        <v>0</v>
      </c>
      <c r="F41" s="427" t="n">
        <f aca="true">IF(B41&lt;=ORÇAMENTO.MáximoListaCrono,MATCH(B41,ORÇAMENTO.ListaCrono,0),NA())</f>
        <v>22</v>
      </c>
      <c r="G41" s="427" t="str">
        <f aca="false">IF(AND($F42&lt;&gt;-1,$S41&gt;0),"F","")</f>
        <v/>
      </c>
      <c r="H41" s="431" t="str">
        <f aca="false" t="array" ref="H41:H41">IF(OR(S41=0,S41=""),"Linha",IF(AND(OR(ACOMPANHAMENTO="PLE",$R41&lt;&gt;2),$F42=0),"Linha",ROUND(1-SUM(U41:AG41),4)))</f>
        <v>Linha</v>
      </c>
      <c r="I41" s="432" t="str">
        <f aca="true">IF($F42=0,OFFSET(ORÇAMENTO!O$15,$F41,0),IF($F42&lt;&gt;-1,OFFSET(QCI!$D$13,$F42,0),""))</f>
        <v>1.3.4.</v>
      </c>
      <c r="J41" s="433" t="str">
        <f aca="true">IF($F42=0,OFFSET(ORÇAMENTO!R$15,$F41,0),IF($F42&lt;&gt;-1,OFFSET(QCI!$G$13,$F42,0),""))</f>
        <v>Forro Parte B</v>
      </c>
      <c r="K41" s="433"/>
      <c r="L41" s="433"/>
      <c r="M41" s="434" t="n">
        <f aca="true">IF($F42=0,OFFSET(ORÇAMENTO!C$15,$F41,0),1)</f>
        <v>3</v>
      </c>
      <c r="N41" s="435" t="n">
        <f aca="true">IF($F42=-1,0,IF(N$13&lt;=$M41,IF(ISERROR(MATCH(N$13,OFFSET($M41,1,0,ROW($M$44)-ROW($M41)-1),0)),ROW($M$44)-ROW($M41)-1,MATCH(N$13,OFFSET($M41,1,0,ROW($M$44)-ROW($M41)-1),0)-1),0))</f>
        <v>2</v>
      </c>
      <c r="O41" s="435" t="n">
        <f aca="true">IF($F42=-1,0,IF(O$13&lt;=$M41,IF(ISERROR(MATCH(O$13,OFFSET($M41,1,0,ROW($M$44)-ROW($M41)-1),0)),ROW($M$44)-ROW($M41)-1,MATCH(O$13,OFFSET($M41,1,0,ROW($M$44)-ROW($M41)-1),0)-1),0))</f>
        <v>2</v>
      </c>
      <c r="P41" s="435" t="n">
        <f aca="true">IF($F42=-1,0,IF(P$13&lt;=$M41,IF(ISERROR(MATCH(P$13,OFFSET($M41,1,0,ROW($M$44)-ROW($M41)-1),0)),ROW($M$44)-ROW($M41)-1,MATCH(P$13,OFFSET($M41,1,0,ROW($M$44)-ROW($M41)-1),0)-1),0))</f>
        <v>2</v>
      </c>
      <c r="Q41" s="435" t="n">
        <f aca="true">IF($F42=-1,0,IF(Q$13&lt;=$M41,IF(ISERROR(MATCH(Q$13,OFFSET($M41,1,0,ROW($M$44)-ROW($M41)-1),0)),ROW($M$44)-ROW($M41)-1,MATCH(Q$13,OFFSET($M41,1,0,ROW($M$44)-ROW($M41)-1),0)-1),0))</f>
        <v>0</v>
      </c>
      <c r="R41" s="435" t="n">
        <f aca="true">MIN(OFFSET(M41,0,1,,M41))</f>
        <v>2</v>
      </c>
      <c r="S41" s="436" t="n">
        <f aca="true">IF($F42=0,OFFSET(ORÇAMENTO!X$15,$F41,0),IF($F42&lt;&gt;-1,OFFSET(QCI!$O$13,$F42,0),""))</f>
        <v>0</v>
      </c>
      <c r="T41" s="437" t="s">
        <v>830</v>
      </c>
      <c r="U41" s="430" t="n">
        <f aca="false" t="array" ref="U41:U41">IF(AND($R41=2,ACOMPANHAMENTO="BM"),ROUND(U42,4),U43/$S41)</f>
        <v>0</v>
      </c>
      <c r="V41" s="430" t="n">
        <f aca="false" t="array" ref="V41:V41">IF(AND($R41=2,ACOMPANHAMENTO="BM"),ROUND(V42,4),V43/$S41)</f>
        <v>0.2</v>
      </c>
      <c r="W41" s="430" t="n">
        <f aca="false" t="array" ref="W41:W41">IF(AND($R41=2,ACOMPANHAMENTO="BM"),ROUND(W42,4),W43/$S41)</f>
        <v>0.8</v>
      </c>
      <c r="X41" s="430" t="n">
        <f aca="false" t="array" ref="X41:X41">IF(AND($R41=2,ACOMPANHAMENTO="BM"),ROUND(X42,4),X43/$S41)</f>
        <v>0</v>
      </c>
      <c r="Y41" s="430" t="n">
        <f aca="false" t="array" ref="Y41:Y41">IF(AND($R41=2,ACOMPANHAMENTO="BM"),ROUND(Y42,4),Y43/$S41)</f>
        <v>0</v>
      </c>
      <c r="Z41" s="430" t="n">
        <f aca="false" t="array" ref="Z41:Z41">IF(AND($R41=2,ACOMPANHAMENTO="BM"),ROUND(Z42,4),Z43/$S41)</f>
        <v>0</v>
      </c>
      <c r="AA41" s="430" t="n">
        <f aca="false" t="array" ref="AA41:AA41">IF(AND($R41=2,ACOMPANHAMENTO="BM"),ROUND(AA42,4),AA43/$S41)</f>
        <v>0</v>
      </c>
      <c r="AB41" s="430" t="n">
        <f aca="false" t="array" ref="AB41:AB41">IF(AND($R41=2,ACOMPANHAMENTO="BM"),ROUND(AB42,4),AB43/$S41)</f>
        <v>0</v>
      </c>
      <c r="AC41" s="430" t="n">
        <f aca="false" t="array" ref="AC41:AC41">IF(AND($R41=2,ACOMPANHAMENTO="BM"),ROUND(AC42,4),AC43/$S41)</f>
        <v>0</v>
      </c>
      <c r="AD41" s="430" t="n">
        <f aca="false" t="array" ref="AD41:AD41">IF(AND($R41=2,ACOMPANHAMENTO="BM"),ROUND(AD42,4),AD43/$S41)</f>
        <v>0</v>
      </c>
      <c r="AE41" s="430" t="n">
        <f aca="false" t="array" ref="AE41:AE41">IF(AND($R41=2,ACOMPANHAMENTO="BM"),ROUND(AE42,4),AE43/$S41)</f>
        <v>0</v>
      </c>
      <c r="AF41" s="430" t="n">
        <f aca="false" t="array" ref="AF41:AF41">IF(AND($R41=2,ACOMPANHAMENTO="BM"),ROUND(AF42,4),AF43/$S41)</f>
        <v>0</v>
      </c>
      <c r="AG41" s="438"/>
    </row>
    <row r="42" customFormat="false" ht="12.75" hidden="false" customHeight="true" outlineLevel="0" collapsed="false">
      <c r="E42" s="439"/>
      <c r="F42" s="427" t="n">
        <f aca="true">IF(ISERROR(F41),IF(1+COUNTIF($M$13:OFFSET(M41,-1,0),1)&lt;=MAX(QCI!$D$13:$D$16),1+COUNTIF($M$13:OFFSET(M41,-1,0),1),-1),0)</f>
        <v>0</v>
      </c>
      <c r="G42" s="427" t="str">
        <f aca="true" t="array" ref="G42:G42">IF(ACOMPANHAMENTO="BM",OFFSET(G42,-1,0),"")</f>
        <v/>
      </c>
      <c r="H42" s="440" t="str">
        <f aca="false" t="array" ref="H42:H42">IF(OR(S41=0,S41=""),"vazia",IF(AND(OR(ACOMPANHAMENTO="PLE",$R41&lt;&gt;2),$F42=0),"calculada","--&gt;"))</f>
        <v>vazia</v>
      </c>
      <c r="I42" s="441"/>
      <c r="J42" s="442" t="str">
        <f aca="false">IF(AND(H41&lt;&gt;0,ISNUMBER(H41)),"PREENCHA ESTA LINHA --&gt;","")</f>
        <v/>
      </c>
      <c r="K42" s="442"/>
      <c r="L42" s="442"/>
      <c r="M42" s="443"/>
      <c r="N42" s="443"/>
      <c r="O42" s="443"/>
      <c r="P42" s="443"/>
      <c r="Q42" s="443"/>
      <c r="R42" s="443"/>
      <c r="S42" s="444"/>
      <c r="T42" s="445"/>
      <c r="U42" s="439"/>
      <c r="V42" s="439" t="n">
        <v>0.2</v>
      </c>
      <c r="W42" s="439" t="n">
        <v>0.8</v>
      </c>
      <c r="X42" s="439"/>
      <c r="Y42" s="439"/>
      <c r="Z42" s="439"/>
      <c r="AA42" s="439"/>
      <c r="AB42" s="439"/>
      <c r="AC42" s="439"/>
      <c r="AD42" s="439"/>
      <c r="AE42" s="439"/>
      <c r="AF42" s="439"/>
      <c r="AG42" s="438"/>
    </row>
    <row r="43" customFormat="false" ht="12.75" hidden="true" customHeight="true" outlineLevel="0" collapsed="false">
      <c r="D43" s="446"/>
      <c r="E43" s="447" t="n">
        <f aca="false" t="array" ref="E43:E43">IF($R41=2,
         IF(AND(ACOMPANHAMENTO="PLE",ISNUMBER($F41)),
                SUMIF((OFFSET(CÁLCULO!$AM$15:$AW$15,$F41,0,OFFSET(ORÇAMENTO!$D$15,CRONO!$F41,0))),CRONO!E$12,OFFSET(CÁLCULO!$AB$15:$AL$15,$F41,0,OFFSET(ORÇAMENTO!$D$15,CRONO!$F41,0)))
                +IF(AND($F43&lt;&gt;"",$F43&lt;&gt;0),
                        SUMIF(CÁLCULO!$AM$15:$AW$40,CRONO!E$12,CÁLCULO!$AB$15:$AL$40)/(ORÇAMENTO!$X$15-_xlfn.single(CÁLCULO.TotalAdmLocal))*CRONO!$F43,
                        0),
                 E42*$S41),
          SUMIF(OFFSET($S43,1,0,$R41-2),($M41+1)&amp;"$",OFFSET(E43,1,0,$R41-2)))</f>
        <v>0</v>
      </c>
      <c r="F43" s="427" t="str">
        <f aca="true">IF(OR($R41&lt;&gt;2,AUTOEVENTO&lt;&gt;"manual",$F42&gt;0),"",
        IF(Import.TipoArredondamento="Tradicional",
              SUMIF(OFFSET(CÁLCULO!$M$15,CRONO!$F41,0,OFFSET(ORÇAMENTO!$D$15,CRONO!$F41,0)),1,OFFSET(ORÇAMENTO!$X$15,CRONO!$F41,0,OFFSET(ORÇAMENTO!$D$15,CRONO!$F41,0))),
              0))</f>
        <v/>
      </c>
      <c r="H43" s="448"/>
      <c r="S43" s="449" t="str">
        <f aca="false">M41&amp;"$"</f>
        <v>3$</v>
      </c>
      <c r="T43" s="450"/>
      <c r="U43" s="447" t="n">
        <f aca="false" t="array" ref="U43:U43">IF($R41=2,
         IF(AND(ACOMPANHAMENTO="PLE",ISNUMBER($F41)),
                SUMIF((OFFSET(CÁLCULO!$AM$15:$AW$15,$F41,0,OFFSET(ORÇAMENTO!$D$15,CRONO!$F41,0))),CRONO!U$12,OFFSET(CÁLCULO!$AB$15:$AL$15,$F41,0,OFFSET(ORÇAMENTO!$D$15,CRONO!$F41,0)))
                +IF(AND($F43&lt;&gt;"",$F43&lt;&gt;0),
                        SUMIF(CÁLCULO!$AM$15:$AW$40,CRONO!U$12,CÁLCULO!$AB$15:$AL$40)/(ORÇAMENTO!$X$15-_xlfn.single(CÁLCULO.TotalAdmLocal))*CRONO!$F43,
                        0),
                 U42*$S41),
          SUMIF(OFFSET($S43,1,0,$R41-2),($M41+1)&amp;"$",OFFSET(U43,1,0,$R41-2)))</f>
        <v>0</v>
      </c>
      <c r="V43" s="447" t="n">
        <f aca="false" t="array" ref="V43:V43">IF($R41=2,
         IF(AND(ACOMPANHAMENTO="PLE",ISNUMBER($F41)),
                SUMIF((OFFSET(CÁLCULO!$AM$15:$AW$15,$F41,0,OFFSET(ORÇAMENTO!$D$15,CRONO!$F41,0))),CRONO!V$12,OFFSET(CÁLCULO!$AB$15:$AL$15,$F41,0,OFFSET(ORÇAMENTO!$D$15,CRONO!$F41,0)))
                +IF(AND($F43&lt;&gt;"",$F43&lt;&gt;0),
                        SUMIF(CÁLCULO!$AM$15:$AW$40,CRONO!V$12,CÁLCULO!$AB$15:$AL$40)/(ORÇAMENTO!$X$15-_xlfn.single(CÁLCULO.TotalAdmLocal))*CRONO!$F43,
                        0),
                 V42*$S41),
          SUMIF(OFFSET($S43,1,0,$R41-2),($M41+1)&amp;"$",OFFSET(V43,1,0,$R41-2)))</f>
        <v>0</v>
      </c>
      <c r="W43" s="447" t="n">
        <f aca="false" t="array" ref="W43:W43">IF($R41=2,
         IF(AND(ACOMPANHAMENTO="PLE",ISNUMBER($F41)),
                SUMIF((OFFSET(CÁLCULO!$AM$15:$AW$15,$F41,0,OFFSET(ORÇAMENTO!$D$15,CRONO!$F41,0))),CRONO!W$12,OFFSET(CÁLCULO!$AB$15:$AL$15,$F41,0,OFFSET(ORÇAMENTO!$D$15,CRONO!$F41,0)))
                +IF(AND($F43&lt;&gt;"",$F43&lt;&gt;0),
                        SUMIF(CÁLCULO!$AM$15:$AW$40,CRONO!W$12,CÁLCULO!$AB$15:$AL$40)/(ORÇAMENTO!$X$15-_xlfn.single(CÁLCULO.TotalAdmLocal))*CRONO!$F43,
                        0),
                 W42*$S41),
          SUMIF(OFFSET($S43,1,0,$R41-2),($M41+1)&amp;"$",OFFSET(W43,1,0,$R41-2)))</f>
        <v>0</v>
      </c>
      <c r="X43" s="447" t="n">
        <f aca="false" t="array" ref="X43:X43">IF($R41=2,
         IF(AND(ACOMPANHAMENTO="PLE",ISNUMBER($F41)),
                SUMIF((OFFSET(CÁLCULO!$AM$15:$AW$15,$F41,0,OFFSET(ORÇAMENTO!$D$15,CRONO!$F41,0))),CRONO!X$12,OFFSET(CÁLCULO!$AB$15:$AL$15,$F41,0,OFFSET(ORÇAMENTO!$D$15,CRONO!$F41,0)))
                +IF(AND($F43&lt;&gt;"",$F43&lt;&gt;0),
                        SUMIF(CÁLCULO!$AM$15:$AW$40,CRONO!X$12,CÁLCULO!$AB$15:$AL$40)/(ORÇAMENTO!$X$15-_xlfn.single(CÁLCULO.TotalAdmLocal))*CRONO!$F43,
                        0),
                 X42*$S41),
          SUMIF(OFFSET($S43,1,0,$R41-2),($M41+1)&amp;"$",OFFSET(X43,1,0,$R41-2)))</f>
        <v>0</v>
      </c>
      <c r="Y43" s="447" t="n">
        <f aca="false" t="array" ref="Y43:Y43">IF($R41=2,
         IF(AND(ACOMPANHAMENTO="PLE",ISNUMBER($F41)),
                SUMIF((OFFSET(CÁLCULO!$AM$15:$AW$15,$F41,0,OFFSET(ORÇAMENTO!$D$15,CRONO!$F41,0))),CRONO!Y$12,OFFSET(CÁLCULO!$AB$15:$AL$15,$F41,0,OFFSET(ORÇAMENTO!$D$15,CRONO!$F41,0)))
                +IF(AND($F43&lt;&gt;"",$F43&lt;&gt;0),
                        SUMIF(CÁLCULO!$AM$15:$AW$40,CRONO!Y$12,CÁLCULO!$AB$15:$AL$40)/(ORÇAMENTO!$X$15-_xlfn.single(CÁLCULO.TotalAdmLocal))*CRONO!$F43,
                        0),
                 Y42*$S41),
          SUMIF(OFFSET($S43,1,0,$R41-2),($M41+1)&amp;"$",OFFSET(Y43,1,0,$R41-2)))</f>
        <v>0</v>
      </c>
      <c r="Z43" s="447" t="n">
        <f aca="false" t="array" ref="Z43:Z43">IF($R41=2,
         IF(AND(ACOMPANHAMENTO="PLE",ISNUMBER($F41)),
                SUMIF((OFFSET(CÁLCULO!$AM$15:$AW$15,$F41,0,OFFSET(ORÇAMENTO!$D$15,CRONO!$F41,0))),CRONO!Z$12,OFFSET(CÁLCULO!$AB$15:$AL$15,$F41,0,OFFSET(ORÇAMENTO!$D$15,CRONO!$F41,0)))
                +IF(AND($F43&lt;&gt;"",$F43&lt;&gt;0),
                        SUMIF(CÁLCULO!$AM$15:$AW$40,CRONO!Z$12,CÁLCULO!$AB$15:$AL$40)/(ORÇAMENTO!$X$15-_xlfn.single(CÁLCULO.TotalAdmLocal))*CRONO!$F43,
                        0),
                 Z42*$S41),
          SUMIF(OFFSET($S43,1,0,$R41-2),($M41+1)&amp;"$",OFFSET(Z43,1,0,$R41-2)))</f>
        <v>0</v>
      </c>
      <c r="AA43" s="447" t="n">
        <f aca="false" t="array" ref="AA43:AA43">IF($R41=2,
         IF(AND(ACOMPANHAMENTO="PLE",ISNUMBER($F41)),
                SUMIF((OFFSET(CÁLCULO!$AM$15:$AW$15,$F41,0,OFFSET(ORÇAMENTO!$D$15,CRONO!$F41,0))),CRONO!AA$12,OFFSET(CÁLCULO!$AB$15:$AL$15,$F41,0,OFFSET(ORÇAMENTO!$D$15,CRONO!$F41,0)))
                +IF(AND($F43&lt;&gt;"",$F43&lt;&gt;0),
                        SUMIF(CÁLCULO!$AM$15:$AW$40,CRONO!AA$12,CÁLCULO!$AB$15:$AL$40)/(ORÇAMENTO!$X$15-_xlfn.single(CÁLCULO.TotalAdmLocal))*CRONO!$F43,
                        0),
                 AA42*$S41),
          SUMIF(OFFSET($S43,1,0,$R41-2),($M41+1)&amp;"$",OFFSET(AA43,1,0,$R41-2)))</f>
        <v>0</v>
      </c>
      <c r="AB43" s="447" t="n">
        <f aca="false" t="array" ref="AB43:AB43">IF($R41=2,
         IF(AND(ACOMPANHAMENTO="PLE",ISNUMBER($F41)),
                SUMIF((OFFSET(CÁLCULO!$AM$15:$AW$15,$F41,0,OFFSET(ORÇAMENTO!$D$15,CRONO!$F41,0))),CRONO!AB$12,OFFSET(CÁLCULO!$AB$15:$AL$15,$F41,0,OFFSET(ORÇAMENTO!$D$15,CRONO!$F41,0)))
                +IF(AND($F43&lt;&gt;"",$F43&lt;&gt;0),
                        SUMIF(CÁLCULO!$AM$15:$AW$40,CRONO!AB$12,CÁLCULO!$AB$15:$AL$40)/(ORÇAMENTO!$X$15-_xlfn.single(CÁLCULO.TotalAdmLocal))*CRONO!$F43,
                        0),
                 AB42*$S41),
          SUMIF(OFFSET($S43,1,0,$R41-2),($M41+1)&amp;"$",OFFSET(AB43,1,0,$R41-2)))</f>
        <v>0</v>
      </c>
      <c r="AC43" s="447" t="n">
        <f aca="false" t="array" ref="AC43:AC43">IF($R41=2,
         IF(AND(ACOMPANHAMENTO="PLE",ISNUMBER($F41)),
                SUMIF((OFFSET(CÁLCULO!$AM$15:$AW$15,$F41,0,OFFSET(ORÇAMENTO!$D$15,CRONO!$F41,0))),CRONO!AC$12,OFFSET(CÁLCULO!$AB$15:$AL$15,$F41,0,OFFSET(ORÇAMENTO!$D$15,CRONO!$F41,0)))
                +IF(AND($F43&lt;&gt;"",$F43&lt;&gt;0),
                        SUMIF(CÁLCULO!$AM$15:$AW$40,CRONO!AC$12,CÁLCULO!$AB$15:$AL$40)/(ORÇAMENTO!$X$15-_xlfn.single(CÁLCULO.TotalAdmLocal))*CRONO!$F43,
                        0),
                 AC42*$S41),
          SUMIF(OFFSET($S43,1,0,$R41-2),($M41+1)&amp;"$",OFFSET(AC43,1,0,$R41-2)))</f>
        <v>0</v>
      </c>
      <c r="AD43" s="447" t="n">
        <f aca="false" t="array" ref="AD43:AD43">IF($R41=2,
         IF(AND(ACOMPANHAMENTO="PLE",ISNUMBER($F41)),
                SUMIF((OFFSET(CÁLCULO!$AM$15:$AW$15,$F41,0,OFFSET(ORÇAMENTO!$D$15,CRONO!$F41,0))),CRONO!AD$12,OFFSET(CÁLCULO!$AB$15:$AL$15,$F41,0,OFFSET(ORÇAMENTO!$D$15,CRONO!$F41,0)))
                +IF(AND($F43&lt;&gt;"",$F43&lt;&gt;0),
                        SUMIF(CÁLCULO!$AM$15:$AW$40,CRONO!AD$12,CÁLCULO!$AB$15:$AL$40)/(ORÇAMENTO!$X$15-_xlfn.single(CÁLCULO.TotalAdmLocal))*CRONO!$F43,
                        0),
                 AD42*$S41),
          SUMIF(OFFSET($S43,1,0,$R41-2),($M41+1)&amp;"$",OFFSET(AD43,1,0,$R41-2)))</f>
        <v>0</v>
      </c>
      <c r="AE43" s="447" t="n">
        <f aca="false" t="array" ref="AE43:AE43">IF($R41=2,
         IF(AND(ACOMPANHAMENTO="PLE",ISNUMBER($F41)),
                SUMIF((OFFSET(CÁLCULO!$AM$15:$AW$15,$F41,0,OFFSET(ORÇAMENTO!$D$15,CRONO!$F41,0))),CRONO!AE$12,OFFSET(CÁLCULO!$AB$15:$AL$15,$F41,0,OFFSET(ORÇAMENTO!$D$15,CRONO!$F41,0)))
                +IF(AND($F43&lt;&gt;"",$F43&lt;&gt;0),
                        SUMIF(CÁLCULO!$AM$15:$AW$40,CRONO!AE$12,CÁLCULO!$AB$15:$AL$40)/(ORÇAMENTO!$X$15-_xlfn.single(CÁLCULO.TotalAdmLocal))*CRONO!$F43,
                        0),
                 AE42*$S41),
          SUMIF(OFFSET($S43,1,0,$R41-2),($M41+1)&amp;"$",OFFSET(AE43,1,0,$R41-2)))</f>
        <v>0</v>
      </c>
      <c r="AF43" s="447" t="n">
        <f aca="false" t="array" ref="AF43:AF43">IF($R41=2,
         IF(AND(ACOMPANHAMENTO="PLE",ISNUMBER($F41)),
                SUMIF((OFFSET(CÁLCULO!$AM$15:$AW$15,$F41,0,OFFSET(ORÇAMENTO!$D$15,CRONO!$F41,0))),CRONO!AF$12,OFFSET(CÁLCULO!$AB$15:$AL$15,$F41,0,OFFSET(ORÇAMENTO!$D$15,CRONO!$F41,0)))
                +IF(AND($F43&lt;&gt;"",$F43&lt;&gt;0),
                        SUMIF(CÁLCULO!$AM$15:$AW$40,CRONO!AF$12,CÁLCULO!$AB$15:$AL$40)/(ORÇAMENTO!$X$15-_xlfn.single(CÁLCULO.TotalAdmLocal))*CRONO!$F43,
                        0),
                 AF42*$S41),
          SUMIF(OFFSET($S43,1,0,$R41-2),($M41+1)&amp;"$",OFFSET(AF43,1,0,$R41-2)))</f>
        <v>0</v>
      </c>
      <c r="AG43" s="438"/>
    </row>
    <row r="44" customFormat="false" ht="4.5" hidden="false" customHeight="true" outlineLevel="0" collapsed="false">
      <c r="E44" s="483"/>
      <c r="G44" s="427" t="s">
        <v>551</v>
      </c>
      <c r="H44" s="484"/>
      <c r="I44" s="485"/>
      <c r="J44" s="486"/>
      <c r="K44" s="486"/>
      <c r="L44" s="486"/>
      <c r="M44" s="487" t="s">
        <v>842</v>
      </c>
      <c r="N44" s="487"/>
      <c r="O44" s="487"/>
      <c r="P44" s="487"/>
      <c r="Q44" s="487"/>
      <c r="R44" s="487"/>
      <c r="S44" s="488"/>
      <c r="T44" s="488"/>
      <c r="U44" s="486"/>
      <c r="V44" s="486"/>
      <c r="W44" s="486"/>
      <c r="X44" s="486"/>
      <c r="Y44" s="486"/>
      <c r="Z44" s="486"/>
      <c r="AA44" s="486"/>
      <c r="AB44" s="486"/>
      <c r="AC44" s="486"/>
      <c r="AD44" s="486"/>
      <c r="AE44" s="486"/>
      <c r="AF44" s="486"/>
      <c r="AG44" s="438"/>
    </row>
    <row r="45" customFormat="false" ht="12.75" hidden="false" customHeight="true" outlineLevel="0" collapsed="false">
      <c r="E45" s="489" t="n">
        <f aca="false">E49/$R$45</f>
        <v>0</v>
      </c>
      <c r="G45" s="427" t="s">
        <v>551</v>
      </c>
      <c r="I45" s="490" t="str">
        <f aca="false">"Total:    R$ "&amp;TEXT(R45,"#.##0,00")</f>
        <v>Total:    R$ 4.413,99</v>
      </c>
      <c r="J45" s="490"/>
      <c r="K45" s="490"/>
      <c r="L45" s="491"/>
      <c r="R45" s="492" t="n">
        <f aca="false">SUMIF(M12:M44,1,S12:S44)</f>
        <v>4413.98727</v>
      </c>
      <c r="S45" s="493"/>
      <c r="T45" s="494" t="s">
        <v>843</v>
      </c>
      <c r="U45" s="489" t="n">
        <f aca="false">ROUND(U49,2)/$R$45</f>
        <v>0.49999917648154</v>
      </c>
      <c r="V45" s="489" t="n">
        <f aca="false">ROUND(V49,2)/$R$45</f>
        <v>0.500001442006877</v>
      </c>
      <c r="W45" s="489" t="n">
        <f aca="false">ROUND(W49,2)/$R$45</f>
        <v>0</v>
      </c>
      <c r="X45" s="489" t="n">
        <f aca="false">ROUND(X49,2)/$R$45</f>
        <v>0</v>
      </c>
      <c r="Y45" s="489" t="n">
        <f aca="false">ROUND(Y49,2)/$R$45</f>
        <v>0</v>
      </c>
      <c r="Z45" s="489" t="n">
        <f aca="false">ROUND(Z49,2)/$R$45</f>
        <v>0</v>
      </c>
      <c r="AA45" s="489" t="n">
        <f aca="false">ROUND(AA49,2)/$R$45</f>
        <v>0</v>
      </c>
      <c r="AB45" s="489" t="n">
        <f aca="false">ROUND(AB49,2)/$R$45</f>
        <v>0</v>
      </c>
      <c r="AC45" s="489" t="n">
        <f aca="false">ROUND(AC49,2)/$R$45</f>
        <v>0</v>
      </c>
      <c r="AD45" s="489" t="n">
        <f aca="false">ROUND(AD49,2)/$R$45</f>
        <v>0</v>
      </c>
      <c r="AE45" s="489" t="n">
        <f aca="false">ROUND(AE49,2)/$R$45</f>
        <v>0</v>
      </c>
      <c r="AF45" s="495" t="n">
        <f aca="false">ROUND(AF49,2)/$R$45</f>
        <v>0</v>
      </c>
      <c r="AG45" s="438"/>
    </row>
    <row r="46" customFormat="false" ht="15" hidden="false" customHeight="true" outlineLevel="0" collapsed="false">
      <c r="E46" s="496" t="n">
        <f aca="false">ROUND(E51,2)-ROUND(D51,2)</f>
        <v>0</v>
      </c>
      <c r="G46" s="427" t="s">
        <v>551</v>
      </c>
      <c r="I46" s="490"/>
      <c r="J46" s="490"/>
      <c r="K46" s="490"/>
      <c r="L46" s="497"/>
      <c r="R46" s="492"/>
      <c r="S46" s="498"/>
      <c r="T46" s="499" t="str">
        <f aca="false">IF(import.recurso="FGTS","Financiamento:","Repasse:")</f>
        <v>Repasse:</v>
      </c>
      <c r="U46" s="496" t="n">
        <f aca="false">ROUND(U51,2)</f>
        <v>2206.99</v>
      </c>
      <c r="V46" s="496" t="n">
        <f aca="false">ROUND(V51,2)-ROUND(U51,2)</f>
        <v>2207</v>
      </c>
      <c r="W46" s="496" t="n">
        <f aca="false">ROUND(W51,2)-ROUND(V51,2)</f>
        <v>0</v>
      </c>
      <c r="X46" s="496" t="n">
        <f aca="false">ROUND(X51,2)-ROUND(W51,2)</f>
        <v>0</v>
      </c>
      <c r="Y46" s="496" t="n">
        <f aca="false">ROUND(Y51,2)-ROUND(X51,2)</f>
        <v>0</v>
      </c>
      <c r="Z46" s="496" t="n">
        <f aca="false">ROUND(Z51,2)-ROUND(Y51,2)</f>
        <v>0</v>
      </c>
      <c r="AA46" s="496" t="n">
        <f aca="false">ROUND(AA51,2)-ROUND(Z51,2)</f>
        <v>0</v>
      </c>
      <c r="AB46" s="496" t="n">
        <f aca="false">ROUND(AB51,2)-ROUND(AA51,2)</f>
        <v>0</v>
      </c>
      <c r="AC46" s="496" t="n">
        <f aca="false">ROUND(AC51,2)-ROUND(AB51,2)</f>
        <v>0</v>
      </c>
      <c r="AD46" s="496" t="n">
        <f aca="false">ROUND(AD51,2)-ROUND(AC51,2)</f>
        <v>0</v>
      </c>
      <c r="AE46" s="496" t="n">
        <f aca="false">ROUND(AE51,2)-ROUND(AD51,2)</f>
        <v>0</v>
      </c>
      <c r="AF46" s="500" t="n">
        <f aca="false">ROUND(AF51,2)-ROUND(AE51,2)</f>
        <v>0</v>
      </c>
      <c r="AG46" s="438"/>
    </row>
    <row r="47" customFormat="false" ht="12.75" hidden="false" customHeight="true" outlineLevel="0" collapsed="false">
      <c r="E47" s="501" t="n">
        <f aca="false">ROUND(E52,2)-ROUND(D52,2)</f>
        <v>0</v>
      </c>
      <c r="G47" s="427" t="s">
        <v>551</v>
      </c>
      <c r="I47" s="502"/>
      <c r="L47" s="503" t="s">
        <v>844</v>
      </c>
      <c r="R47" s="492"/>
      <c r="S47" s="504"/>
      <c r="T47" s="505" t="s">
        <v>845</v>
      </c>
      <c r="U47" s="501" t="n">
        <f aca="false">ROUND(U52,2)</f>
        <v>0</v>
      </c>
      <c r="V47" s="501" t="n">
        <f aca="false">ROUND(V52,2)-ROUND(U52,2)</f>
        <v>0</v>
      </c>
      <c r="W47" s="501" t="n">
        <f aca="false">ROUND(W52,2)-ROUND(V52,2)</f>
        <v>0</v>
      </c>
      <c r="X47" s="501" t="n">
        <f aca="false">ROUND(X52,2)-ROUND(W52,2)</f>
        <v>0</v>
      </c>
      <c r="Y47" s="501" t="n">
        <f aca="false">ROUND(Y52,2)-ROUND(X52,2)</f>
        <v>0</v>
      </c>
      <c r="Z47" s="501" t="n">
        <f aca="false">ROUND(Z52,2)-ROUND(Y52,2)</f>
        <v>0</v>
      </c>
      <c r="AA47" s="501" t="n">
        <f aca="false">ROUND(AA52,2)-ROUND(Z52,2)</f>
        <v>0</v>
      </c>
      <c r="AB47" s="501" t="n">
        <f aca="false">ROUND(AB52,2)-ROUND(AA52,2)</f>
        <v>0</v>
      </c>
      <c r="AC47" s="501" t="n">
        <f aca="false">ROUND(AC52,2)-ROUND(AB52,2)</f>
        <v>0</v>
      </c>
      <c r="AD47" s="501" t="n">
        <f aca="false">ROUND(AD52,2)-ROUND(AC52,2)</f>
        <v>0</v>
      </c>
      <c r="AE47" s="501" t="n">
        <f aca="false">ROUND(AE52,2)-ROUND(AD52,2)</f>
        <v>0</v>
      </c>
      <c r="AF47" s="506" t="n">
        <f aca="false">ROUND(AF52,2)-ROUND(AE52,2)</f>
        <v>0</v>
      </c>
      <c r="AG47" s="438"/>
    </row>
    <row r="48" customFormat="false" ht="12.75" hidden="false" customHeight="false" outlineLevel="0" collapsed="false">
      <c r="E48" s="507" t="n">
        <f aca="false">ROUND(E53,2)-ROUND(D53,2)</f>
        <v>0</v>
      </c>
      <c r="G48" s="427" t="s">
        <v>551</v>
      </c>
      <c r="I48" s="502"/>
      <c r="L48" s="503"/>
      <c r="R48" s="492"/>
      <c r="S48" s="508"/>
      <c r="T48" s="509" t="s">
        <v>846</v>
      </c>
      <c r="U48" s="507" t="n">
        <f aca="false">ROUND(U53,2)</f>
        <v>0</v>
      </c>
      <c r="V48" s="507" t="n">
        <f aca="false">ROUND(V53,2)-ROUND(U53,2)</f>
        <v>0</v>
      </c>
      <c r="W48" s="507" t="n">
        <f aca="false">ROUND(W53,2)-ROUND(V53,2)</f>
        <v>0</v>
      </c>
      <c r="X48" s="507" t="n">
        <f aca="false">ROUND(X53,2)-ROUND(W53,2)</f>
        <v>0</v>
      </c>
      <c r="Y48" s="507" t="n">
        <f aca="false">ROUND(Y53,2)-ROUND(X53,2)</f>
        <v>0</v>
      </c>
      <c r="Z48" s="507" t="n">
        <f aca="false">ROUND(Z53,2)-ROUND(Y53,2)</f>
        <v>0</v>
      </c>
      <c r="AA48" s="507" t="n">
        <f aca="false">ROUND(AA53,2)-ROUND(Z53,2)</f>
        <v>0</v>
      </c>
      <c r="AB48" s="507" t="n">
        <f aca="false">ROUND(AB53,2)-ROUND(AA53,2)</f>
        <v>0</v>
      </c>
      <c r="AC48" s="507" t="n">
        <f aca="false">ROUND(AC53,2)-ROUND(AB53,2)</f>
        <v>0</v>
      </c>
      <c r="AD48" s="507" t="n">
        <f aca="false">ROUND(AD53,2)-ROUND(AC53,2)</f>
        <v>0</v>
      </c>
      <c r="AE48" s="507" t="n">
        <f aca="false">ROUND(AE53,2)-ROUND(AD53,2)</f>
        <v>0</v>
      </c>
      <c r="AF48" s="510" t="n">
        <f aca="false">ROUND(AF53,2)-ROUND(AE53,2)</f>
        <v>0</v>
      </c>
      <c r="AG48" s="438"/>
    </row>
    <row r="49" customFormat="false" ht="12.75" hidden="false" customHeight="false" outlineLevel="0" collapsed="false">
      <c r="E49" s="511" t="n">
        <f aca="false">ROUND(E54,2)-ROUND(D55,2)</f>
        <v>0</v>
      </c>
      <c r="G49" s="427" t="s">
        <v>551</v>
      </c>
      <c r="H49" s="512"/>
      <c r="L49" s="513"/>
      <c r="S49" s="514"/>
      <c r="T49" s="515" t="s">
        <v>847</v>
      </c>
      <c r="U49" s="511" t="n">
        <f aca="false">ROUND(U54,2)</f>
        <v>2206.99</v>
      </c>
      <c r="V49" s="511" t="n">
        <f aca="false">ROUND(V54,2)-ROUND(U54,2)</f>
        <v>2207</v>
      </c>
      <c r="W49" s="511" t="n">
        <f aca="false">ROUND(W54,2)-ROUND(V54,2)</f>
        <v>0</v>
      </c>
      <c r="X49" s="511" t="n">
        <f aca="false">ROUND(X54,2)-ROUND(W54,2)</f>
        <v>0</v>
      </c>
      <c r="Y49" s="511" t="n">
        <f aca="false">ROUND(Y54,2)-ROUND(X54,2)</f>
        <v>0</v>
      </c>
      <c r="Z49" s="511" t="n">
        <f aca="false">ROUND(Z54,2)-ROUND(Y54,2)</f>
        <v>0</v>
      </c>
      <c r="AA49" s="511" t="n">
        <f aca="false">ROUND(AA54,2)-ROUND(Z54,2)</f>
        <v>0</v>
      </c>
      <c r="AB49" s="511" t="n">
        <f aca="false">ROUND(AB54,2)-ROUND(AA54,2)</f>
        <v>0</v>
      </c>
      <c r="AC49" s="511" t="n">
        <f aca="false">ROUND(AC54,2)-ROUND(AB54,2)</f>
        <v>0</v>
      </c>
      <c r="AD49" s="511" t="n">
        <f aca="false">ROUND(AD54,2)-ROUND(AC54,2)</f>
        <v>0</v>
      </c>
      <c r="AE49" s="511" t="n">
        <f aca="false">ROUND(AE54,2)-ROUND(AD54,2)</f>
        <v>0</v>
      </c>
      <c r="AF49" s="516" t="n">
        <f aca="false">ROUND(AF54,2)-ROUND(AE54,2)</f>
        <v>0</v>
      </c>
      <c r="AG49" s="438"/>
    </row>
    <row r="50" customFormat="false" ht="12.75" hidden="false" customHeight="false" outlineLevel="0" collapsed="false">
      <c r="E50" s="489" t="n">
        <f aca="false">ROUND(E54,2)/$R$45</f>
        <v>0</v>
      </c>
      <c r="G50" s="427" t="s">
        <v>551</v>
      </c>
      <c r="L50" s="491"/>
      <c r="S50" s="493"/>
      <c r="T50" s="494" t="s">
        <v>843</v>
      </c>
      <c r="U50" s="489" t="n">
        <f aca="false">ROUND(U54,2)/$R$45</f>
        <v>0.49999917648154</v>
      </c>
      <c r="V50" s="489" t="n">
        <f aca="false">ROUND(V54,2)/$R$45</f>
        <v>1.00000061848842</v>
      </c>
      <c r="W50" s="489" t="n">
        <f aca="false">ROUND(W54,2)/$R$45</f>
        <v>1.00000061848842</v>
      </c>
      <c r="X50" s="489" t="n">
        <f aca="false">ROUND(X54,2)/$R$45</f>
        <v>1.00000061848842</v>
      </c>
      <c r="Y50" s="489" t="n">
        <f aca="false">ROUND(Y54,2)/$R$45</f>
        <v>1.00000061848842</v>
      </c>
      <c r="Z50" s="489" t="n">
        <f aca="false">ROUND(Z54,2)/$R$45</f>
        <v>1.00000061848842</v>
      </c>
      <c r="AA50" s="489" t="n">
        <f aca="false">ROUND(AA54,2)/$R$45</f>
        <v>1.00000061848842</v>
      </c>
      <c r="AB50" s="489" t="n">
        <f aca="false">ROUND(AB54,2)/$R$45</f>
        <v>1.00000061848842</v>
      </c>
      <c r="AC50" s="489" t="n">
        <f aca="false">ROUND(AC54,2)/$R$45</f>
        <v>1.00000061848842</v>
      </c>
      <c r="AD50" s="489" t="n">
        <f aca="false">ROUND(AD54,2)/$R$45</f>
        <v>1.00000061848842</v>
      </c>
      <c r="AE50" s="489" t="n">
        <f aca="false">ROUND(AE54,2)/$R$45</f>
        <v>1.00000061848842</v>
      </c>
      <c r="AF50" s="495" t="n">
        <f aca="false">ROUND(AF54,2)/$R$45</f>
        <v>1.00000061848842</v>
      </c>
      <c r="AG50" s="438"/>
    </row>
    <row r="51" customFormat="false" ht="12.75" hidden="false" customHeight="false" outlineLevel="0" collapsed="false">
      <c r="E51" s="496" t="n">
        <f aca="false">ROUND(E54-E53-E52,2)</f>
        <v>0</v>
      </c>
      <c r="G51" s="427" t="s">
        <v>551</v>
      </c>
      <c r="L51" s="497"/>
      <c r="S51" s="498"/>
      <c r="T51" s="499" t="str">
        <f aca="false">IF(import.recurso="FGTS","Financiamento:","Repasse:")</f>
        <v>Repasse:</v>
      </c>
      <c r="U51" s="496" t="n">
        <f aca="false">ROUND(U54-U53-U52,2)</f>
        <v>2206.99</v>
      </c>
      <c r="V51" s="496" t="n">
        <f aca="false">ROUND(V54-V53-V52,2)</f>
        <v>4413.99</v>
      </c>
      <c r="W51" s="496" t="n">
        <f aca="false">ROUND(W54-W53-W52,2)</f>
        <v>4413.99</v>
      </c>
      <c r="X51" s="496" t="n">
        <f aca="false">ROUND(X54-X53-X52,2)</f>
        <v>4413.99</v>
      </c>
      <c r="Y51" s="496" t="n">
        <f aca="false">ROUND(Y54-Y53-Y52,2)</f>
        <v>4413.99</v>
      </c>
      <c r="Z51" s="496" t="n">
        <f aca="false">ROUND(Z54-Z53-Z52,2)</f>
        <v>4413.99</v>
      </c>
      <c r="AA51" s="496" t="n">
        <f aca="false">ROUND(AA54-AA53-AA52,2)</f>
        <v>4413.99</v>
      </c>
      <c r="AB51" s="496" t="n">
        <f aca="false">ROUND(AB54-AB53-AB52,2)</f>
        <v>4413.99</v>
      </c>
      <c r="AC51" s="496" t="n">
        <f aca="false">ROUND(AC54-AC53-AC52,2)</f>
        <v>4413.99</v>
      </c>
      <c r="AD51" s="496" t="n">
        <f aca="false">ROUND(AD54-AD53-AD52,2)</f>
        <v>4413.99</v>
      </c>
      <c r="AE51" s="496" t="n">
        <f aca="false">ROUND(AE54-AE53-AE52,2)</f>
        <v>4413.99</v>
      </c>
      <c r="AF51" s="500" t="n">
        <f aca="false">ROUND(AF54-AF53-AF52,2)</f>
        <v>4413.99</v>
      </c>
      <c r="AG51" s="438"/>
    </row>
    <row r="52" customFormat="false" ht="12.75" hidden="false" customHeight="false" outlineLevel="0" collapsed="false">
      <c r="E52" s="501" t="n">
        <f aca="true" t="array" ref="E52:E52">D52+SUM((OFFSET($C$13,1,0):OFFSET($C$44,-3,0))*IF(ISNUMBER(OFFSET(E$11,5,0):OFFSET(E$44,-1,0)),OFFSET(E$11,5,0):OFFSET(E$44,-1,0),0))</f>
        <v>0</v>
      </c>
      <c r="G52" s="427" t="s">
        <v>551</v>
      </c>
      <c r="L52" s="503" t="s">
        <v>848</v>
      </c>
      <c r="S52" s="504"/>
      <c r="T52" s="505" t="s">
        <v>845</v>
      </c>
      <c r="U52" s="501" t="n">
        <f aca="true" t="array" ref="U52:U52">SUM((OFFSET($C$13,1,0):OFFSET($C$44,-3,0))*IF(ISNUMBER(OFFSET(U$11,5,0):OFFSET(U$44,-1,0)),OFFSET(U$11,5,0):OFFSET(U$44,-1,0),0))</f>
        <v>0</v>
      </c>
      <c r="V52" s="501" t="n">
        <f aca="true" t="array" ref="V52:V52">U52+SUM((OFFSET($C$13,1,0):OFFSET($C$44,-3,0))*IF(ISNUMBER(OFFSET(V$11,5,0):OFFSET(V$44,-1,0)),OFFSET(V$11,5,0):OFFSET(V$44,-1,0),0))</f>
        <v>0</v>
      </c>
      <c r="W52" s="501" t="n">
        <f aca="true" t="array" ref="W52:W52">V52+SUM((OFFSET($C$13,1,0):OFFSET($C$44,-3,0))*IF(ISNUMBER(OFFSET(W$11,5,0):OFFSET(W$44,-1,0)),OFFSET(W$11,5,0):OFFSET(W$44,-1,0),0))</f>
        <v>0</v>
      </c>
      <c r="X52" s="501" t="n">
        <f aca="true" t="array" ref="X52:X52">W52+SUM((OFFSET($C$13,1,0):OFFSET($C$44,-3,0))*IF(ISNUMBER(OFFSET(X$11,5,0):OFFSET(X$44,-1,0)),OFFSET(X$11,5,0):OFFSET(X$44,-1,0),0))</f>
        <v>0</v>
      </c>
      <c r="Y52" s="501" t="n">
        <f aca="true" t="array" ref="Y52:Y52">X52+SUM((OFFSET($C$13,1,0):OFFSET($C$44,-3,0))*IF(ISNUMBER(OFFSET(Y$11,5,0):OFFSET(Y$44,-1,0)),OFFSET(Y$11,5,0):OFFSET(Y$44,-1,0),0))</f>
        <v>0</v>
      </c>
      <c r="Z52" s="501" t="n">
        <f aca="true" t="array" ref="Z52:Z52">Y52+SUM((OFFSET($C$13,1,0):OFFSET($C$44,-3,0))*IF(ISNUMBER(OFFSET(Z$11,5,0):OFFSET(Z$44,-1,0)),OFFSET(Z$11,5,0):OFFSET(Z$44,-1,0),0))</f>
        <v>0</v>
      </c>
      <c r="AA52" s="501" t="n">
        <f aca="true" t="array" ref="AA52:AA52">Z52+SUM((OFFSET($C$13,1,0):OFFSET($C$44,-3,0))*IF(ISNUMBER(OFFSET(AA$11,5,0):OFFSET(AA$44,-1,0)),OFFSET(AA$11,5,0):OFFSET(AA$44,-1,0),0))</f>
        <v>0</v>
      </c>
      <c r="AB52" s="501" t="n">
        <f aca="true" t="array" ref="AB52:AB52">AA52+SUM((OFFSET($C$13,1,0):OFFSET($C$44,-3,0))*IF(ISNUMBER(OFFSET(AB$11,5,0):OFFSET(AB$44,-1,0)),OFFSET(AB$11,5,0):OFFSET(AB$44,-1,0),0))</f>
        <v>0</v>
      </c>
      <c r="AC52" s="501" t="n">
        <f aca="true" t="array" ref="AC52:AC52">AB52+SUM((OFFSET($C$13,1,0):OFFSET($C$44,-3,0))*IF(ISNUMBER(OFFSET(AC$11,5,0):OFFSET(AC$44,-1,0)),OFFSET(AC$11,5,0):OFFSET(AC$44,-1,0),0))</f>
        <v>0</v>
      </c>
      <c r="AD52" s="501" t="n">
        <f aca="true" t="array" ref="AD52:AD52">AC52+SUM((OFFSET($C$13,1,0):OFFSET($C$44,-3,0))*IF(ISNUMBER(OFFSET(AD$11,5,0):OFFSET(AD$44,-1,0)),OFFSET(AD$11,5,0):OFFSET(AD$44,-1,0),0))</f>
        <v>0</v>
      </c>
      <c r="AE52" s="501" t="n">
        <f aca="true" t="array" ref="AE52:AE52">AD52+SUM((OFFSET($C$13,1,0):OFFSET($C$44,-3,0))*IF(ISNUMBER(OFFSET(AE$11,5,0):OFFSET(AE$44,-1,0)),OFFSET(AE$11,5,0):OFFSET(AE$44,-1,0),0))</f>
        <v>0</v>
      </c>
      <c r="AF52" s="506" t="n">
        <f aca="true" t="array" ref="AF52:AF52">AE52+SUM((OFFSET($C$13,1,0):OFFSET($C$44,-3,0))*IF(ISNUMBER(OFFSET(AF$11,5,0):OFFSET(AF$44,-1,0)),OFFSET(AF$11,5,0):OFFSET(AF$44,-1,0),0))</f>
        <v>0</v>
      </c>
      <c r="AG52" s="438"/>
    </row>
    <row r="53" customFormat="false" ht="12.75" hidden="false" customHeight="false" outlineLevel="0" collapsed="false">
      <c r="E53" s="507" t="n">
        <f aca="true" t="array" ref="E53:E53">D53+SUM((OFFSET($D$13,1,0):OFFSET($D$44,-3,0))*IF(ISNUMBER(OFFSET(E$11,5,0):OFFSET(E$44,-1,0)),OFFSET(E$11,5,0):OFFSET(E$44,-1,0),0))</f>
        <v>0</v>
      </c>
      <c r="G53" s="427" t="s">
        <v>551</v>
      </c>
      <c r="L53" s="503"/>
      <c r="S53" s="508"/>
      <c r="T53" s="509" t="s">
        <v>846</v>
      </c>
      <c r="U53" s="507" t="n">
        <f aca="true" t="array" ref="U53:U53">SUM((OFFSET($D$13,1,0):OFFSET($D$44,-3,0))*IF(ISNUMBER(OFFSET(U$11,5,0):OFFSET(U$44,-1,0)),OFFSET(U$11,5,0):OFFSET(U$44,-1,0),0))</f>
        <v>0</v>
      </c>
      <c r="V53" s="507" t="n">
        <f aca="true" t="array" ref="V53:V53">U53+SUM((OFFSET($D$13,1,0):OFFSET($D$44,-3,0))*IF(ISNUMBER(OFFSET(V$11,5,0):OFFSET(V$44,-1,0)),OFFSET(V$11,5,0):OFFSET(V$44,-1,0),0))</f>
        <v>0</v>
      </c>
      <c r="W53" s="507" t="n">
        <f aca="true" t="array" ref="W53:W53">V53+SUM((OFFSET($D$13,1,0):OFFSET($D$44,-3,0))*IF(ISNUMBER(OFFSET(W$11,5,0):OFFSET(W$44,-1,0)),OFFSET(W$11,5,0):OFFSET(W$44,-1,0),0))</f>
        <v>0</v>
      </c>
      <c r="X53" s="507" t="n">
        <f aca="true" t="array" ref="X53:X53">W53+SUM((OFFSET($D$13,1,0):OFFSET($D$44,-3,0))*IF(ISNUMBER(OFFSET(X$11,5,0):OFFSET(X$44,-1,0)),OFFSET(X$11,5,0):OFFSET(X$44,-1,0),0))</f>
        <v>0</v>
      </c>
      <c r="Y53" s="507" t="n">
        <f aca="true" t="array" ref="Y53:Y53">X53+SUM((OFFSET($D$13,1,0):OFFSET($D$44,-3,0))*IF(ISNUMBER(OFFSET(Y$11,5,0):OFFSET(Y$44,-1,0)),OFFSET(Y$11,5,0):OFFSET(Y$44,-1,0),0))</f>
        <v>0</v>
      </c>
      <c r="Z53" s="507" t="n">
        <f aca="true" t="array" ref="Z53:Z53">Y53+SUM((OFFSET($D$13,1,0):OFFSET($D$44,-3,0))*IF(ISNUMBER(OFFSET(Z$11,5,0):OFFSET(Z$44,-1,0)),OFFSET(Z$11,5,0):OFFSET(Z$44,-1,0),0))</f>
        <v>0</v>
      </c>
      <c r="AA53" s="507" t="n">
        <f aca="true" t="array" ref="AA53:AA53">Z53+SUM((OFFSET($D$13,1,0):OFFSET($D$44,-3,0))*IF(ISNUMBER(OFFSET(AA$11,5,0):OFFSET(AA$44,-1,0)),OFFSET(AA$11,5,0):OFFSET(AA$44,-1,0),0))</f>
        <v>0</v>
      </c>
      <c r="AB53" s="507" t="n">
        <f aca="true" t="array" ref="AB53:AB53">AA53+SUM((OFFSET($D$13,1,0):OFFSET($D$44,-3,0))*IF(ISNUMBER(OFFSET(AB$11,5,0):OFFSET(AB$44,-1,0)),OFFSET(AB$11,5,0):OFFSET(AB$44,-1,0),0))</f>
        <v>0</v>
      </c>
      <c r="AC53" s="507" t="n">
        <f aca="true" t="array" ref="AC53:AC53">AB53+SUM((OFFSET($D$13,1,0):OFFSET($D$44,-3,0))*IF(ISNUMBER(OFFSET(AC$11,5,0):OFFSET(AC$44,-1,0)),OFFSET(AC$11,5,0):OFFSET(AC$44,-1,0),0))</f>
        <v>0</v>
      </c>
      <c r="AD53" s="507" t="n">
        <f aca="true" t="array" ref="AD53:AD53">AC53+SUM((OFFSET($D$13,1,0):OFFSET($D$44,-3,0))*IF(ISNUMBER(OFFSET(AD$11,5,0):OFFSET(AD$44,-1,0)),OFFSET(AD$11,5,0):OFFSET(AD$44,-1,0),0))</f>
        <v>0</v>
      </c>
      <c r="AE53" s="507" t="n">
        <f aca="true" t="array" ref="AE53:AE53">AD53+SUM((OFFSET($D$13,1,0):OFFSET($D$44,-3,0))*IF(ISNUMBER(OFFSET(AE$11,5,0):OFFSET(AE$44,-1,0)),OFFSET(AE$11,5,0):OFFSET(AE$44,-1,0),0))</f>
        <v>0</v>
      </c>
      <c r="AF53" s="510" t="n">
        <f aca="true" t="array" ref="AF53:AF53">AE53+SUM((OFFSET($D$13,1,0):OFFSET($D$44,-3,0))*IF(ISNUMBER(OFFSET(AF$11,5,0):OFFSET(AF$44,-1,0)),OFFSET(AF$11,5,0):OFFSET(AF$44,-1,0),0))</f>
        <v>0</v>
      </c>
      <c r="AG53" s="438"/>
    </row>
    <row r="54" customFormat="false" ht="13.5" hidden="false" customHeight="false" outlineLevel="0" collapsed="false">
      <c r="D54" s="446"/>
      <c r="E54" s="517" t="n">
        <f aca="true">SUMIF($S$12:$S$44,"1$",E12:E44)+IF(E$12&gt;1,OFFSET(E54,0,-1),0)</f>
        <v>0</v>
      </c>
      <c r="G54" s="427" t="s">
        <v>551</v>
      </c>
      <c r="H54" s="339" t="str">
        <f aca="false" t="array" ref="H54:H54">IF(ACOMPANHAMENTO="BM","Selecione o Macrosserviço da Administração Local:","")</f>
        <v>Selecione o Macrosserviço da Administração Local:</v>
      </c>
      <c r="L54" s="503"/>
      <c r="S54" s="504"/>
      <c r="T54" s="518" t="s">
        <v>847</v>
      </c>
      <c r="U54" s="517" t="n">
        <f aca="true">SUMIF($S$12:$S$44,"1$",U12:U44)+IF(U$12&gt;1,OFFSET(U54,0,-1),0)</f>
        <v>2206.993635</v>
      </c>
      <c r="V54" s="517" t="n">
        <f aca="true">SUMIF($S$12:$S$44,"1$",V12:V44)+IF(V$12&gt;1,OFFSET(V54,0,-1),0)</f>
        <v>4413.98727</v>
      </c>
      <c r="W54" s="517" t="n">
        <f aca="true">SUMIF($S$12:$S$44,"1$",W12:W44)+IF(W$12&gt;1,OFFSET(W54,0,-1),0)</f>
        <v>4413.98727</v>
      </c>
      <c r="X54" s="517" t="n">
        <f aca="true">SUMIF($S$12:$S$44,"1$",X12:X44)+IF(X$12&gt;1,OFFSET(X54,0,-1),0)</f>
        <v>4413.98727</v>
      </c>
      <c r="Y54" s="517" t="n">
        <f aca="true">SUMIF($S$12:$S$44,"1$",Y12:Y44)+IF(Y$12&gt;1,OFFSET(Y54,0,-1),0)</f>
        <v>4413.98727</v>
      </c>
      <c r="Z54" s="517" t="n">
        <f aca="true">SUMIF($S$12:$S$44,"1$",Z12:Z44)+IF(Z$12&gt;1,OFFSET(Z54,0,-1),0)</f>
        <v>4413.98727</v>
      </c>
      <c r="AA54" s="517" t="n">
        <f aca="true">SUMIF($S$12:$S$44,"1$",AA12:AA44)+IF(AA$12&gt;1,OFFSET(AA54,0,-1),0)</f>
        <v>4413.98727</v>
      </c>
      <c r="AB54" s="517" t="n">
        <f aca="true">SUMIF($S$12:$S$44,"1$",AB12:AB44)+IF(AB$12&gt;1,OFFSET(AB54,0,-1),0)</f>
        <v>4413.98727</v>
      </c>
      <c r="AC54" s="517" t="n">
        <f aca="true">SUMIF($S$12:$S$44,"1$",AC12:AC44)+IF(AC$12&gt;1,OFFSET(AC54,0,-1),0)</f>
        <v>4413.98727</v>
      </c>
      <c r="AD54" s="517" t="n">
        <f aca="true">SUMIF($S$12:$S$44,"1$",AD12:AD44)+IF(AD$12&gt;1,OFFSET(AD54,0,-1),0)</f>
        <v>4413.98727</v>
      </c>
      <c r="AE54" s="517" t="n">
        <f aca="true">SUMIF($S$12:$S$44,"1$",AE12:AE44)+IF(AE$12&gt;1,OFFSET(AE54,0,-1),0)</f>
        <v>4413.98727</v>
      </c>
      <c r="AF54" s="519" t="n">
        <f aca="true">SUMIF($S$12:$S$44,"1$",AF12:AF44)+IF(AF$12&gt;1,OFFSET(AF54,0,-1),0)</f>
        <v>4413.98727</v>
      </c>
      <c r="AG54" s="438"/>
    </row>
    <row r="55" customFormat="false" ht="13.5" hidden="false" customHeight="false" outlineLevel="0" collapsed="false">
      <c r="D55" s="446"/>
      <c r="E55" s="520" t="str">
        <f aca="true" t="array" ref="E55:E55">IF($F$55="","",
  IF(ACOMPANHAMENTO="PLE",
     IF(AUTOEVENTO="Manual",
         IF(AdmLocal="Automática",
              E50,
              SUMIF(OFFSET(CRONOPLE!$F$14,CRONOPLE!$A$8+1,1,1,OFFSET(CRONOPLE!$AF$12,0,-1)),"&lt;="&amp;E$12,OFFSET(EVENTOS!$G$14,CRONOPLE!$A$8+1,1,1,OFFSET(CRONOPLE!$AF$12,0,-1)))/OFFSET(EVENTOS!$G$14,CRONOPLE!$A$8+1,-1)),
         SUM(OFFSET($T$13,$F$55+2,1,1,E$12))/OFFSET($S$13,$F$55,0)),
     IF(ACOMPANHAMENTO="BM",SUM(OFFSET($T$13,$F$55+2,1,1,E$12))/OFFSET($S$13,$F$55,0),"")))</f>
        <v/>
      </c>
      <c r="F55" s="427" t="str">
        <f aca="false" t="array" ref="F55:F55">IF(ACOMPANHAMENTO="PLE",
    IF(AUTOEVENTO="Manual",
        IF(AdmLocal="Automática",1,IF(CRONOPLE!$D$8&lt;&gt;"","",MATCH(Import.EventoAdmLocal,EVENTOS!$B$15:$B$22,0))),
        IF(CRONOPLE!$D$8&lt;&gt;"","",MATCH(CRONOPLE!$A$10,CRONO!$F$13:$F$44,0)-1)),
    IF($H$56&lt;&gt;"","",MATCH(Import.MacrosserviçoAdmLocal,$A$13:$A$44,0)-1))</f>
        <v/>
      </c>
      <c r="G55" s="427" t="s">
        <v>551</v>
      </c>
      <c r="H55" s="391"/>
      <c r="I55" s="391"/>
      <c r="J55" s="391"/>
      <c r="L55" s="513"/>
      <c r="S55" s="521"/>
      <c r="T55" s="522" t="s">
        <v>849</v>
      </c>
      <c r="U55" s="520" t="str">
        <f aca="true" t="array" ref="U55:U55">IF($F$55="","",
  IF(ACOMPANHAMENTO="PLE",
     IF(AUTOEVENTO="Manual",
         IF(AdmLocal="Automática",
              U50,
              SUMIF(OFFSET(CRONOPLE!$F$14,CRONOPLE!$A$8+1,1,1,OFFSET(CRONOPLE!$AF$12,0,-1)),"&lt;="&amp;U$12,OFFSET(EVENTOS!$G$14,CRONOPLE!$A$8+1,1,1,OFFSET(CRONOPLE!$AF$12,0,-1)))/OFFSET(EVENTOS!$G$14,CRONOPLE!$A$8+1,-1)),
         SUM(OFFSET($T$13,$F$55+2,1,1,U$12))/OFFSET($S$13,$F$55,0)),
     IF(ACOMPANHAMENTO="BM",SUM(OFFSET($T$13,$F$55+2,1,1,U$12))/OFFSET($S$13,$F$55,0),"")))</f>
        <v/>
      </c>
      <c r="V55" s="520" t="str">
        <f aca="true" t="array" ref="V55:V55">IF($F$55="","",
  IF(ACOMPANHAMENTO="PLE",
     IF(AUTOEVENTO="Manual",
         IF(AdmLocal="Automática",
              V50,
              SUMIF(OFFSET(CRONOPLE!$F$14,CRONOPLE!$A$8+1,1,1,OFFSET(CRONOPLE!$AF$12,0,-1)),"&lt;="&amp;V$12,OFFSET(EVENTOS!$G$14,CRONOPLE!$A$8+1,1,1,OFFSET(CRONOPLE!$AF$12,0,-1)))/OFFSET(EVENTOS!$G$14,CRONOPLE!$A$8+1,-1)),
         SUM(OFFSET($T$13,$F$55+2,1,1,V$12))/OFFSET($S$13,$F$55,0)),
     IF(ACOMPANHAMENTO="BM",SUM(OFFSET($T$13,$F$55+2,1,1,V$12))/OFFSET($S$13,$F$55,0),"")))</f>
        <v/>
      </c>
      <c r="W55" s="520" t="str">
        <f aca="true" t="array" ref="W55:W55">IF($F$55="","",
  IF(ACOMPANHAMENTO="PLE",
     IF(AUTOEVENTO="Manual",
         IF(AdmLocal="Automática",
              W50,
              SUMIF(OFFSET(CRONOPLE!$F$14,CRONOPLE!$A$8+1,1,1,OFFSET(CRONOPLE!$AF$12,0,-1)),"&lt;="&amp;W$12,OFFSET(EVENTOS!$G$14,CRONOPLE!$A$8+1,1,1,OFFSET(CRONOPLE!$AF$12,0,-1)))/OFFSET(EVENTOS!$G$14,CRONOPLE!$A$8+1,-1)),
         SUM(OFFSET($T$13,$F$55+2,1,1,W$12))/OFFSET($S$13,$F$55,0)),
     IF(ACOMPANHAMENTO="BM",SUM(OFFSET($T$13,$F$55+2,1,1,W$12))/OFFSET($S$13,$F$55,0),"")))</f>
        <v/>
      </c>
      <c r="X55" s="520" t="str">
        <f aca="true" t="array" ref="X55:X55">IF($F$55="","",
  IF(ACOMPANHAMENTO="PLE",
     IF(AUTOEVENTO="Manual",
         IF(AdmLocal="Automática",
              X50,
              SUMIF(OFFSET(CRONOPLE!$F$14,CRONOPLE!$A$8+1,1,1,OFFSET(CRONOPLE!$AF$12,0,-1)),"&lt;="&amp;X$12,OFFSET(EVENTOS!$G$14,CRONOPLE!$A$8+1,1,1,OFFSET(CRONOPLE!$AF$12,0,-1)))/OFFSET(EVENTOS!$G$14,CRONOPLE!$A$8+1,-1)),
         SUM(OFFSET($T$13,$F$55+2,1,1,X$12))/OFFSET($S$13,$F$55,0)),
     IF(ACOMPANHAMENTO="BM",SUM(OFFSET($T$13,$F$55+2,1,1,X$12))/OFFSET($S$13,$F$55,0),"")))</f>
        <v/>
      </c>
      <c r="Y55" s="520" t="str">
        <f aca="true" t="array" ref="Y55:Y55">IF($F$55="","",
  IF(ACOMPANHAMENTO="PLE",
     IF(AUTOEVENTO="Manual",
         IF(AdmLocal="Automática",
              Y50,
              SUMIF(OFFSET(CRONOPLE!$F$14,CRONOPLE!$A$8+1,1,1,OFFSET(CRONOPLE!$AF$12,0,-1)),"&lt;="&amp;Y$12,OFFSET(EVENTOS!$G$14,CRONOPLE!$A$8+1,1,1,OFFSET(CRONOPLE!$AF$12,0,-1)))/OFFSET(EVENTOS!$G$14,CRONOPLE!$A$8+1,-1)),
         SUM(OFFSET($T$13,$F$55+2,1,1,Y$12))/OFFSET($S$13,$F$55,0)),
     IF(ACOMPANHAMENTO="BM",SUM(OFFSET($T$13,$F$55+2,1,1,Y$12))/OFFSET($S$13,$F$55,0),"")))</f>
        <v/>
      </c>
      <c r="Z55" s="520" t="str">
        <f aca="true" t="array" ref="Z55:Z55">IF($F$55="","",
  IF(ACOMPANHAMENTO="PLE",
     IF(AUTOEVENTO="Manual",
         IF(AdmLocal="Automática",
              Z50,
              SUMIF(OFFSET(CRONOPLE!$F$14,CRONOPLE!$A$8+1,1,1,OFFSET(CRONOPLE!$AF$12,0,-1)),"&lt;="&amp;Z$12,OFFSET(EVENTOS!$G$14,CRONOPLE!$A$8+1,1,1,OFFSET(CRONOPLE!$AF$12,0,-1)))/OFFSET(EVENTOS!$G$14,CRONOPLE!$A$8+1,-1)),
         SUM(OFFSET($T$13,$F$55+2,1,1,Z$12))/OFFSET($S$13,$F$55,0)),
     IF(ACOMPANHAMENTO="BM",SUM(OFFSET($T$13,$F$55+2,1,1,Z$12))/OFFSET($S$13,$F$55,0),"")))</f>
        <v/>
      </c>
      <c r="AA55" s="520" t="str">
        <f aca="true" t="array" ref="AA55:AA55">IF($F$55="","",
  IF(ACOMPANHAMENTO="PLE",
     IF(AUTOEVENTO="Manual",
         IF(AdmLocal="Automática",
              AA50,
              SUMIF(OFFSET(CRONOPLE!$F$14,CRONOPLE!$A$8+1,1,1,OFFSET(CRONOPLE!$AF$12,0,-1)),"&lt;="&amp;AA$12,OFFSET(EVENTOS!$G$14,CRONOPLE!$A$8+1,1,1,OFFSET(CRONOPLE!$AF$12,0,-1)))/OFFSET(EVENTOS!$G$14,CRONOPLE!$A$8+1,-1)),
         SUM(OFFSET($T$13,$F$55+2,1,1,AA$12))/OFFSET($S$13,$F$55,0)),
     IF(ACOMPANHAMENTO="BM",SUM(OFFSET($T$13,$F$55+2,1,1,AA$12))/OFFSET($S$13,$F$55,0),"")))</f>
        <v/>
      </c>
      <c r="AB55" s="520" t="str">
        <f aca="true" t="array" ref="AB55:AB55">IF($F$55="","",
  IF(ACOMPANHAMENTO="PLE",
     IF(AUTOEVENTO="Manual",
         IF(AdmLocal="Automática",
              AB50,
              SUMIF(OFFSET(CRONOPLE!$F$14,CRONOPLE!$A$8+1,1,1,OFFSET(CRONOPLE!$AF$12,0,-1)),"&lt;="&amp;AB$12,OFFSET(EVENTOS!$G$14,CRONOPLE!$A$8+1,1,1,OFFSET(CRONOPLE!$AF$12,0,-1)))/OFFSET(EVENTOS!$G$14,CRONOPLE!$A$8+1,-1)),
         SUM(OFFSET($T$13,$F$55+2,1,1,AB$12))/OFFSET($S$13,$F$55,0)),
     IF(ACOMPANHAMENTO="BM",SUM(OFFSET($T$13,$F$55+2,1,1,AB$12))/OFFSET($S$13,$F$55,0),"")))</f>
        <v/>
      </c>
      <c r="AC55" s="520" t="str">
        <f aca="true" t="array" ref="AC55:AC55">IF($F$55="","",
  IF(ACOMPANHAMENTO="PLE",
     IF(AUTOEVENTO="Manual",
         IF(AdmLocal="Automática",
              AC50,
              SUMIF(OFFSET(CRONOPLE!$F$14,CRONOPLE!$A$8+1,1,1,OFFSET(CRONOPLE!$AF$12,0,-1)),"&lt;="&amp;AC$12,OFFSET(EVENTOS!$G$14,CRONOPLE!$A$8+1,1,1,OFFSET(CRONOPLE!$AF$12,0,-1)))/OFFSET(EVENTOS!$G$14,CRONOPLE!$A$8+1,-1)),
         SUM(OFFSET($T$13,$F$55+2,1,1,AC$12))/OFFSET($S$13,$F$55,0)),
     IF(ACOMPANHAMENTO="BM",SUM(OFFSET($T$13,$F$55+2,1,1,AC$12))/OFFSET($S$13,$F$55,0),"")))</f>
        <v/>
      </c>
      <c r="AD55" s="520" t="str">
        <f aca="true" t="array" ref="AD55:AD55">IF($F$55="","",
  IF(ACOMPANHAMENTO="PLE",
     IF(AUTOEVENTO="Manual",
         IF(AdmLocal="Automática",
              AD50,
              SUMIF(OFFSET(CRONOPLE!$F$14,CRONOPLE!$A$8+1,1,1,OFFSET(CRONOPLE!$AF$12,0,-1)),"&lt;="&amp;AD$12,OFFSET(EVENTOS!$G$14,CRONOPLE!$A$8+1,1,1,OFFSET(CRONOPLE!$AF$12,0,-1)))/OFFSET(EVENTOS!$G$14,CRONOPLE!$A$8+1,-1)),
         SUM(OFFSET($T$13,$F$55+2,1,1,AD$12))/OFFSET($S$13,$F$55,0)),
     IF(ACOMPANHAMENTO="BM",SUM(OFFSET($T$13,$F$55+2,1,1,AD$12))/OFFSET($S$13,$F$55,0),"")))</f>
        <v/>
      </c>
      <c r="AE55" s="520" t="str">
        <f aca="true" t="array" ref="AE55:AE55">IF($F$55="","",
  IF(ACOMPANHAMENTO="PLE",
     IF(AUTOEVENTO="Manual",
         IF(AdmLocal="Automática",
              AE50,
              SUMIF(OFFSET(CRONOPLE!$F$14,CRONOPLE!$A$8+1,1,1,OFFSET(CRONOPLE!$AF$12,0,-1)),"&lt;="&amp;AE$12,OFFSET(EVENTOS!$G$14,CRONOPLE!$A$8+1,1,1,OFFSET(CRONOPLE!$AF$12,0,-1)))/OFFSET(EVENTOS!$G$14,CRONOPLE!$A$8+1,-1)),
         SUM(OFFSET($T$13,$F$55+2,1,1,AE$12))/OFFSET($S$13,$F$55,0)),
     IF(ACOMPANHAMENTO="BM",SUM(OFFSET($T$13,$F$55+2,1,1,AE$12))/OFFSET($S$13,$F$55,0),"")))</f>
        <v/>
      </c>
      <c r="AF55" s="523" t="str">
        <f aca="true" t="array" ref="AF55:AF55">IF($F$55="","",
  IF(ACOMPANHAMENTO="PLE",
     IF(AUTOEVENTO="Manual",
         IF(AdmLocal="Automática",
              AF50,
              SUMIF(OFFSET(CRONOPLE!$F$14,CRONOPLE!$A$8+1,1,1,OFFSET(CRONOPLE!$AF$12,0,-1)),"&lt;="&amp;AF$12,OFFSET(EVENTOS!$G$14,CRONOPLE!$A$8+1,1,1,OFFSET(CRONOPLE!$AF$12,0,-1)))/OFFSET(EVENTOS!$G$14,CRONOPLE!$A$8+1,-1)),
         SUM(OFFSET($T$13,$F$55+2,1,1,AF$12))/OFFSET($S$13,$F$55,0)),
     IF(ACOMPANHAMENTO="BM",SUM(OFFSET($T$13,$F$55+2,1,1,AF$12))/OFFSET($S$13,$F$55,0),"")))</f>
        <v/>
      </c>
      <c r="AG55" s="438"/>
    </row>
    <row r="56" customFormat="false" ht="16.5" hidden="false" customHeight="true" outlineLevel="0" collapsed="false">
      <c r="G56" s="427" t="s">
        <v>551</v>
      </c>
      <c r="H56" s="111" t="str">
        <f aca="false" t="array" ref="H56:H56">IF(AND(ACOMPANHAMENTO="BM",$H$55=""),"↑ Não foi indicado o Macrosserviço de Administração Local","")</f>
        <v>↑ Não foi indicado o Macrosserviço de Administração Local</v>
      </c>
      <c r="T56" s="424" t="str">
        <f aca="false">IF(COUNTIF(U56:AG56,"%Adm&gt;%Global")&gt;0,"Verificar proporcionalidade da Administração Local","")</f>
        <v/>
      </c>
      <c r="U56" s="425" t="str">
        <f aca="false">IF(U55="","",IF(ROUND(U55,4)&gt;ROUND(U50,4),"%Adm&gt;%Global",""))</f>
        <v/>
      </c>
      <c r="V56" s="425" t="str">
        <f aca="false">IF(V55="","",IF(ROUND(V55,4)&gt;ROUND(V50,4),"%Adm&gt;%Global",""))</f>
        <v/>
      </c>
      <c r="W56" s="425" t="str">
        <f aca="false">IF(W55="","",IF(ROUND(W55,4)&gt;ROUND(W50,4),"%Adm&gt;%Global",""))</f>
        <v/>
      </c>
      <c r="X56" s="425" t="str">
        <f aca="false">IF(X55="","",IF(ROUND(X55,4)&gt;ROUND(X50,4),"%Adm&gt;%Global",""))</f>
        <v/>
      </c>
      <c r="Y56" s="425" t="str">
        <f aca="false">IF(Y55="","",IF(ROUND(Y55,4)&gt;ROUND(Y50,4),"%Adm&gt;%Global",""))</f>
        <v/>
      </c>
      <c r="Z56" s="425" t="str">
        <f aca="false">IF(Z55="","",IF(ROUND(Z55,4)&gt;ROUND(Z50,4),"%Adm&gt;%Global",""))</f>
        <v/>
      </c>
      <c r="AA56" s="425" t="str">
        <f aca="false">IF(AA55="","",IF(ROUND(AA55,4)&gt;ROUND(AA50,4),"%Adm&gt;%Global",""))</f>
        <v/>
      </c>
      <c r="AB56" s="425" t="str">
        <f aca="false">IF(AB55="","",IF(ROUND(AB55,4)&gt;ROUND(AB50,4),"%Adm&gt;%Global",""))</f>
        <v/>
      </c>
      <c r="AC56" s="425" t="str">
        <f aca="false">IF(AC55="","",IF(ROUND(AC55,4)&gt;ROUND(AC50,4),"%Adm&gt;%Global",""))</f>
        <v/>
      </c>
      <c r="AD56" s="425" t="str">
        <f aca="false">IF(AD55="","",IF(ROUND(AD55,4)&gt;ROUND(AD50,4),"%Adm&gt;%Global",""))</f>
        <v/>
      </c>
      <c r="AE56" s="425" t="str">
        <f aca="false">IF(AE55="","",IF(ROUND(AE55,4)&gt;ROUND(AE50,4),"%Adm&gt;%Global",""))</f>
        <v/>
      </c>
      <c r="AF56" s="425" t="str">
        <f aca="false">IF(AF55="","",IF(ROUND(AF55,4)&gt;ROUND(AF50,4),"%Adm&gt;%Global",""))</f>
        <v/>
      </c>
      <c r="AG56" s="425" t="str">
        <f aca="false">IF(AG55="","",IF(ROUND(AG55,4)&gt;ROUND(AG50,4),"%Adm&gt;%Global",""))</f>
        <v/>
      </c>
    </row>
    <row r="57" customFormat="false" ht="32.25" hidden="false" customHeight="true" outlineLevel="0" collapsed="false">
      <c r="G57" s="427" t="s">
        <v>551</v>
      </c>
      <c r="I57" s="255" t="str">
        <f aca="false">Import.Município</f>
        <v>CAÇÃPAVA DO SUL</v>
      </c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AA57" s="256"/>
      <c r="AB57" s="256"/>
      <c r="AC57" s="256"/>
      <c r="AD57" s="256"/>
      <c r="AE57" s="524"/>
      <c r="AF57" s="524"/>
    </row>
    <row r="58" customFormat="false" ht="12.75" hidden="false" customHeight="false" outlineLevel="0" collapsed="false">
      <c r="G58" s="427" t="s">
        <v>551</v>
      </c>
      <c r="I58" s="57" t="s">
        <v>709</v>
      </c>
      <c r="AA58" s="257" t="s">
        <v>712</v>
      </c>
      <c r="AB58" s="257"/>
      <c r="AC58" s="257"/>
      <c r="AD58" s="257"/>
      <c r="AE58" s="427"/>
      <c r="AF58" s="427"/>
    </row>
    <row r="59" customFormat="false" ht="12.75" hidden="false" customHeight="false" outlineLevel="0" collapsed="false">
      <c r="G59" s="427" t="s">
        <v>551</v>
      </c>
      <c r="AA59" s="303" t="str">
        <f aca="true" t="array" ref="AA59:AA61">OFFSET(Import.RespOrçamento,0,-1) &amp; " " &amp; Import.RespOrçamento</f>
        <v>Nome: HELMESONA DE OLIVEIRA SANTANA</v>
      </c>
      <c r="AD59" s="152"/>
      <c r="AE59" s="427"/>
      <c r="AF59" s="427"/>
    </row>
    <row r="60" customFormat="false" ht="12.75" hidden="false" customHeight="false" outlineLevel="0" collapsed="false">
      <c r="G60" s="427" t="s">
        <v>551</v>
      </c>
      <c r="I60" s="304" t="n">
        <f aca="false">DADOS!$C$25</f>
        <v>46087</v>
      </c>
      <c r="J60" s="304"/>
      <c r="K60" s="304"/>
      <c r="L60" s="47"/>
      <c r="M60" s="524"/>
      <c r="N60" s="524"/>
      <c r="O60" s="524"/>
      <c r="P60" s="524"/>
      <c r="Q60" s="524"/>
      <c r="R60" s="524"/>
      <c r="S60" s="525"/>
      <c r="AA60" s="303" t="str">
        <v>CREA/CAU: RS152843</v>
      </c>
      <c r="AC60" s="152"/>
      <c r="AD60" s="152"/>
      <c r="AE60" s="427"/>
      <c r="AF60" s="427"/>
    </row>
    <row r="61" customFormat="false" ht="12.75" hidden="false" customHeight="false" outlineLevel="0" collapsed="false">
      <c r="G61" s="427" t="s">
        <v>551</v>
      </c>
      <c r="I61" s="57" t="s">
        <v>710</v>
      </c>
      <c r="AA61" s="303" t="str">
        <v>ART/RRT: 8809670</v>
      </c>
      <c r="AC61" s="152"/>
      <c r="AD61" s="152"/>
      <c r="AE61" s="427"/>
      <c r="AF61" s="427"/>
    </row>
  </sheetData>
  <sheetProtection sheet="true" password="bd1f" objects="true" scenarios="true" autoFilter="false"/>
  <autoFilter ref="G13:G61">
    <filterColumn colId="0" hiddenButton="1">
      <filters>
        <filter val="F"/>
      </filters>
    </filterColumn>
    <filterColumn colId="0" hiddenButton="1"/>
  </autoFilter>
  <mergeCells count="18">
    <mergeCell ref="AE4:AF4"/>
    <mergeCell ref="AE5:AF5"/>
    <mergeCell ref="H7:H9"/>
    <mergeCell ref="G8:G11"/>
    <mergeCell ref="I8:J8"/>
    <mergeCell ref="L8:T8"/>
    <mergeCell ref="U8:Y8"/>
    <mergeCell ref="Z8:AE8"/>
    <mergeCell ref="K10:T11"/>
    <mergeCell ref="H12:H13"/>
    <mergeCell ref="I12:I13"/>
    <mergeCell ref="J12:J13"/>
    <mergeCell ref="S12:S13"/>
    <mergeCell ref="T12:T13"/>
    <mergeCell ref="I45:K46"/>
    <mergeCell ref="H55:J55"/>
    <mergeCell ref="I57:S57"/>
    <mergeCell ref="I60:K60"/>
  </mergeCells>
  <conditionalFormatting sqref="U21:W21">
    <cfRule type="expression" priority="2" aboveAverage="0" equalAverage="0" bottom="0" percent="0" rank="0" text="" dxfId="350">
      <formula>AND(_xlfn.single(ACOMPANHAMENTO)="BM",U21&gt;ROUND(U21,4))</formula>
    </cfRule>
    <cfRule type="expression" priority="3" aboveAverage="0" equalAverage="0" bottom="0" percent="0" rank="0" text="" dxfId="351">
      <formula>AND(ISNUMBER($H20),$H20&lt;&gt;0)</formula>
    </cfRule>
  </conditionalFormatting>
  <conditionalFormatting sqref="U39:AF39 U42:AF42">
    <cfRule type="expression" priority="4" aboveAverage="0" equalAverage="0" bottom="0" percent="0" rank="0" text="" dxfId="352">
      <formula>AND(_xlfn.single(ACOMPANHAMENTO)="BM",U39&gt;ROUND(U39,4))</formula>
    </cfRule>
  </conditionalFormatting>
  <conditionalFormatting sqref="U38:AF38 U41:AF41">
    <cfRule type="expression" priority="5" aboveAverage="0" equalAverage="0" bottom="0" percent="0" rank="0" text="" dxfId="353">
      <formula>U38&lt;&gt;0</formula>
    </cfRule>
  </conditionalFormatting>
  <conditionalFormatting sqref="E39 E42">
    <cfRule type="expression" priority="6" aboveAverage="0" equalAverage="0" bottom="0" percent="0" rank="0" text="" dxfId="354">
      <formula>AND(_xlfn.single(ACOMPANHAMENTO)="BM",E39&gt;ROUND(E39,4))</formula>
    </cfRule>
  </conditionalFormatting>
  <conditionalFormatting sqref="E38 E41">
    <cfRule type="expression" priority="7" aboveAverage="0" equalAverage="0" bottom="0" percent="0" rank="0" text="" dxfId="355">
      <formula>E38&lt;&gt;0</formula>
    </cfRule>
  </conditionalFormatting>
  <conditionalFormatting sqref="H38 H41">
    <cfRule type="expression" priority="8" aboveAverage="0" equalAverage="0" bottom="0" percent="0" rank="0" text="" dxfId="356">
      <formula>AND(H38&lt;&gt;0,ISNUMBER(H38))</formula>
    </cfRule>
  </conditionalFormatting>
  <conditionalFormatting sqref="H39 H42">
    <cfRule type="expression" priority="9" aboveAverage="0" equalAverage="0" bottom="0" percent="0" rank="0" text="" dxfId="357">
      <formula>AND(H38&lt;&gt;0,ISNUMBER(H38))</formula>
    </cfRule>
  </conditionalFormatting>
  <conditionalFormatting sqref="E39 E42 U39:AF39 U42:AF42">
    <cfRule type="expression" priority="10" aboveAverage="0" equalAverage="0" bottom="0" percent="0" rank="0" text="" dxfId="358">
      <formula>AND(ISNUMBER($H38),$H38&lt;&gt;0)</formula>
    </cfRule>
  </conditionalFormatting>
  <conditionalFormatting sqref="I39:S39 I42:S42">
    <cfRule type="expression" priority="11" aboveAverage="0" equalAverage="0" bottom="0" percent="0" rank="0" text="" dxfId="359">
      <formula>$M38=2</formula>
    </cfRule>
    <cfRule type="expression" priority="12" aboveAverage="0" equalAverage="0" bottom="0" percent="0" rank="0" text="" dxfId="360">
      <formula>AND($M38=1,$S38&lt;&gt;"")</formula>
    </cfRule>
  </conditionalFormatting>
  <conditionalFormatting sqref="I38:S38 I41:S41">
    <cfRule type="expression" priority="13" aboveAverage="0" equalAverage="0" bottom="0" percent="0" rank="0" text="" dxfId="361">
      <formula>$M38=2</formula>
    </cfRule>
    <cfRule type="expression" priority="14" aboveAverage="0" equalAverage="0" bottom="0" percent="0" rank="0" text="" dxfId="362">
      <formula>AND($M38=1,$S38&lt;&gt;"")</formula>
    </cfRule>
  </conditionalFormatting>
  <conditionalFormatting sqref="U36:AF36">
    <cfRule type="expression" priority="15" aboveAverage="0" equalAverage="0" bottom="0" percent="0" rank="0" text="" dxfId="363">
      <formula>AND(_xlfn.single(ACOMPANHAMENTO)="BM",U36&gt;ROUND(U36,4))</formula>
    </cfRule>
  </conditionalFormatting>
  <conditionalFormatting sqref="U35:AF35">
    <cfRule type="expression" priority="16" aboveAverage="0" equalAverage="0" bottom="0" percent="0" rank="0" text="" dxfId="364">
      <formula>U35&lt;&gt;0</formula>
    </cfRule>
  </conditionalFormatting>
  <conditionalFormatting sqref="E36">
    <cfRule type="expression" priority="17" aboveAverage="0" equalAverage="0" bottom="0" percent="0" rank="0" text="" dxfId="365">
      <formula>AND(_xlfn.single(ACOMPANHAMENTO)="BM",E36&gt;ROUND(E36,4))</formula>
    </cfRule>
  </conditionalFormatting>
  <conditionalFormatting sqref="E35">
    <cfRule type="expression" priority="18" aboveAverage="0" equalAverage="0" bottom="0" percent="0" rank="0" text="" dxfId="366">
      <formula>E35&lt;&gt;0</formula>
    </cfRule>
  </conditionalFormatting>
  <conditionalFormatting sqref="H35">
    <cfRule type="expression" priority="19" aboveAverage="0" equalAverage="0" bottom="0" percent="0" rank="0" text="" dxfId="367">
      <formula>AND(H35&lt;&gt;0,ISNUMBER(H35))</formula>
    </cfRule>
  </conditionalFormatting>
  <conditionalFormatting sqref="H36">
    <cfRule type="expression" priority="20" aboveAverage="0" equalAverage="0" bottom="0" percent="0" rank="0" text="" dxfId="368">
      <formula>AND(H35&lt;&gt;0,ISNUMBER(H35))</formula>
    </cfRule>
  </conditionalFormatting>
  <conditionalFormatting sqref="E36 U36:AF36">
    <cfRule type="expression" priority="21" aboveAverage="0" equalAverage="0" bottom="0" percent="0" rank="0" text="" dxfId="369">
      <formula>AND(ISNUMBER($H35),$H35&lt;&gt;0)</formula>
    </cfRule>
  </conditionalFormatting>
  <conditionalFormatting sqref="I36:S36">
    <cfRule type="expression" priority="22" aboveAverage="0" equalAverage="0" bottom="0" percent="0" rank="0" text="" dxfId="370">
      <formula>$M35=2</formula>
    </cfRule>
    <cfRule type="expression" priority="23" aboveAverage="0" equalAverage="0" bottom="0" percent="0" rank="0" text="" dxfId="371">
      <formula>AND($M35=1,$S35&lt;&gt;"")</formula>
    </cfRule>
  </conditionalFormatting>
  <conditionalFormatting sqref="I35:S35">
    <cfRule type="expression" priority="24" aboveAverage="0" equalAverage="0" bottom="0" percent="0" rank="0" text="" dxfId="372">
      <formula>$M35=2</formula>
    </cfRule>
    <cfRule type="expression" priority="25" aboveAverage="0" equalAverage="0" bottom="0" percent="0" rank="0" text="" dxfId="373">
      <formula>AND($M35=1,$S35&lt;&gt;"")</formula>
    </cfRule>
  </conditionalFormatting>
  <conditionalFormatting sqref="U33:AF33">
    <cfRule type="expression" priority="26" aboveAverage="0" equalAverage="0" bottom="0" percent="0" rank="0" text="" dxfId="374">
      <formula>AND(_xlfn.single(ACOMPANHAMENTO)="BM",U33&gt;ROUND(U33,4))</formula>
    </cfRule>
  </conditionalFormatting>
  <conditionalFormatting sqref="U32:AF32">
    <cfRule type="expression" priority="27" aboveAverage="0" equalAverage="0" bottom="0" percent="0" rank="0" text="" dxfId="375">
      <formula>U32&lt;&gt;0</formula>
    </cfRule>
  </conditionalFormatting>
  <conditionalFormatting sqref="E33">
    <cfRule type="expression" priority="28" aboveAverage="0" equalAverage="0" bottom="0" percent="0" rank="0" text="" dxfId="376">
      <formula>AND(_xlfn.single(ACOMPANHAMENTO)="BM",E33&gt;ROUND(E33,4))</formula>
    </cfRule>
  </conditionalFormatting>
  <conditionalFormatting sqref="E32">
    <cfRule type="expression" priority="29" aboveAverage="0" equalAverage="0" bottom="0" percent="0" rank="0" text="" dxfId="377">
      <formula>E32&lt;&gt;0</formula>
    </cfRule>
  </conditionalFormatting>
  <conditionalFormatting sqref="H32">
    <cfRule type="expression" priority="30" aboveAverage="0" equalAverage="0" bottom="0" percent="0" rank="0" text="" dxfId="378">
      <formula>AND(H32&lt;&gt;0,ISNUMBER(H32))</formula>
    </cfRule>
  </conditionalFormatting>
  <conditionalFormatting sqref="H33">
    <cfRule type="expression" priority="31" aboveAverage="0" equalAverage="0" bottom="0" percent="0" rank="0" text="" dxfId="379">
      <formula>AND(H32&lt;&gt;0,ISNUMBER(H32))</formula>
    </cfRule>
  </conditionalFormatting>
  <conditionalFormatting sqref="E33 U33:AF33">
    <cfRule type="expression" priority="32" aboveAverage="0" equalAverage="0" bottom="0" percent="0" rank="0" text="" dxfId="380">
      <formula>AND(ISNUMBER($H32),$H32&lt;&gt;0)</formula>
    </cfRule>
  </conditionalFormatting>
  <conditionalFormatting sqref="I33:S33">
    <cfRule type="expression" priority="33" aboveAverage="0" equalAverage="0" bottom="0" percent="0" rank="0" text="" dxfId="381">
      <formula>$M32=2</formula>
    </cfRule>
    <cfRule type="expression" priority="34" aboveAverage="0" equalAverage="0" bottom="0" percent="0" rank="0" text="" dxfId="382">
      <formula>AND($M32=1,$S32&lt;&gt;"")</formula>
    </cfRule>
  </conditionalFormatting>
  <conditionalFormatting sqref="I32:S32">
    <cfRule type="expression" priority="35" aboveAverage="0" equalAverage="0" bottom="0" percent="0" rank="0" text="" dxfId="383">
      <formula>$M32=2</formula>
    </cfRule>
    <cfRule type="expression" priority="36" aboveAverage="0" equalAverage="0" bottom="0" percent="0" rank="0" text="" dxfId="384">
      <formula>AND($M32=1,$S32&lt;&gt;"")</formula>
    </cfRule>
  </conditionalFormatting>
  <conditionalFormatting sqref="U24:AF24 U27:AF27 U30:AF30">
    <cfRule type="expression" priority="37" aboveAverage="0" equalAverage="0" bottom="0" percent="0" rank="0" text="" dxfId="385">
      <formula>AND(_xlfn.single(ACOMPANHAMENTO)="BM",U24&gt;ROUND(U24,4))</formula>
    </cfRule>
  </conditionalFormatting>
  <conditionalFormatting sqref="U23:AF23 U26:AF26 U29:AF29">
    <cfRule type="expression" priority="38" aboveAverage="0" equalAverage="0" bottom="0" percent="0" rank="0" text="" dxfId="386">
      <formula>U23&lt;&gt;0</formula>
    </cfRule>
  </conditionalFormatting>
  <conditionalFormatting sqref="E24 E27 E30">
    <cfRule type="expression" priority="39" aboveAverage="0" equalAverage="0" bottom="0" percent="0" rank="0" text="" dxfId="387">
      <formula>AND(_xlfn.single(ACOMPANHAMENTO)="BM",E24&gt;ROUND(E24,4))</formula>
    </cfRule>
  </conditionalFormatting>
  <conditionalFormatting sqref="E23 E26 E29">
    <cfRule type="expression" priority="40" aboveAverage="0" equalAverage="0" bottom="0" percent="0" rank="0" text="" dxfId="388">
      <formula>E23&lt;&gt;0</formula>
    </cfRule>
  </conditionalFormatting>
  <conditionalFormatting sqref="H23 H26 H29">
    <cfRule type="expression" priority="41" aboveAverage="0" equalAverage="0" bottom="0" percent="0" rank="0" text="" dxfId="389">
      <formula>AND(H23&lt;&gt;0,ISNUMBER(H23))</formula>
    </cfRule>
  </conditionalFormatting>
  <conditionalFormatting sqref="H24 H27 H30">
    <cfRule type="expression" priority="42" aboveAverage="0" equalAverage="0" bottom="0" percent="0" rank="0" text="" dxfId="390">
      <formula>AND(H23&lt;&gt;0,ISNUMBER(H23))</formula>
    </cfRule>
  </conditionalFormatting>
  <conditionalFormatting sqref="E24 E27 E30 U24:AF24 U27:AF27 U30:AF30">
    <cfRule type="expression" priority="43" aboveAverage="0" equalAverage="0" bottom="0" percent="0" rank="0" text="" dxfId="391">
      <formula>AND(ISNUMBER($H23),$H23&lt;&gt;0)</formula>
    </cfRule>
  </conditionalFormatting>
  <conditionalFormatting sqref="I24:S24 I27:S27 I30:S30">
    <cfRule type="expression" priority="44" aboveAverage="0" equalAverage="0" bottom="0" percent="0" rank="0" text="" dxfId="392">
      <formula>$M23=2</formula>
    </cfRule>
    <cfRule type="expression" priority="45" aboveAverage="0" equalAverage="0" bottom="0" percent="0" rank="0" text="" dxfId="393">
      <formula>AND($M23=1,$S23&lt;&gt;"")</formula>
    </cfRule>
  </conditionalFormatting>
  <conditionalFormatting sqref="I23:S23 I26:S26 I29:S29">
    <cfRule type="expression" priority="46" aboveAverage="0" equalAverage="0" bottom="0" percent="0" rank="0" text="" dxfId="394">
      <formula>$M23=2</formula>
    </cfRule>
    <cfRule type="expression" priority="47" aboveAverage="0" equalAverage="0" bottom="0" percent="0" rank="0" text="" dxfId="395">
      <formula>AND($M23=1,$S23&lt;&gt;"")</formula>
    </cfRule>
  </conditionalFormatting>
  <conditionalFormatting sqref="U15:AF15 U18:AF18 X21:AF21">
    <cfRule type="expression" priority="48" aboveAverage="0" equalAverage="0" bottom="0" percent="0" rank="0" text="" dxfId="396">
      <formula>AND(_xlfn.single(ACOMPANHAMENTO)="BM",U15&gt;ROUND(U15,4))</formula>
    </cfRule>
  </conditionalFormatting>
  <conditionalFormatting sqref="U14:AF14 U17:AF17 U20:AF20">
    <cfRule type="expression" priority="49" aboveAverage="0" equalAverage="0" bottom="0" percent="0" rank="0" text="" dxfId="397">
      <formula>U14&lt;&gt;0</formula>
    </cfRule>
  </conditionalFormatting>
  <conditionalFormatting sqref="E15 E18 E21">
    <cfRule type="expression" priority="50" aboveAverage="0" equalAverage="0" bottom="0" percent="0" rank="0" text="" dxfId="398">
      <formula>AND(_xlfn.single(ACOMPANHAMENTO)="BM",E15&gt;ROUND(E15,4))</formula>
    </cfRule>
  </conditionalFormatting>
  <conditionalFormatting sqref="E14 E17 E20">
    <cfRule type="expression" priority="51" aboveAverage="0" equalAverage="0" bottom="0" percent="0" rank="0" text="" dxfId="399">
      <formula>E14&lt;&gt;0</formula>
    </cfRule>
  </conditionalFormatting>
  <conditionalFormatting sqref="H14 H17 H20">
    <cfRule type="expression" priority="52" aboveAverage="0" equalAverage="0" bottom="0" percent="0" rank="0" text="" dxfId="400">
      <formula>AND(H14&lt;&gt;0,ISNUMBER(H14))</formula>
    </cfRule>
  </conditionalFormatting>
  <conditionalFormatting sqref="H15 H18 H21">
    <cfRule type="expression" priority="53" aboveAverage="0" equalAverage="0" bottom="0" percent="0" rank="0" text="" dxfId="401">
      <formula>AND(H14&lt;&gt;0,ISNUMBER(H14))</formula>
    </cfRule>
  </conditionalFormatting>
  <conditionalFormatting sqref="E15 E18 E21 U15:AF15 U18:AF18 X21:AF21">
    <cfRule type="expression" priority="54" aboveAverage="0" equalAverage="0" bottom="0" percent="0" rank="0" text="" dxfId="402">
      <formula>AND(ISNUMBER($H14),$H14&lt;&gt;0)</formula>
    </cfRule>
  </conditionalFormatting>
  <conditionalFormatting sqref="I15:S15 I18:S18 I21:S21">
    <cfRule type="expression" priority="55" aboveAverage="0" equalAverage="0" bottom="0" percent="0" rank="0" text="" dxfId="403">
      <formula>$M14=2</formula>
    </cfRule>
    <cfRule type="expression" priority="56" aboveAverage="0" equalAverage="0" bottom="0" percent="0" rank="0" text="" dxfId="404">
      <formula>AND($M14=1,$S14&lt;&gt;"")</formula>
    </cfRule>
  </conditionalFormatting>
  <conditionalFormatting sqref="I14:S14 I17:S17 I20:S20">
    <cfRule type="expression" priority="57" aboveAverage="0" equalAverage="0" bottom="0" percent="0" rank="0" text="" dxfId="405">
      <formula>$M14=2</formula>
    </cfRule>
    <cfRule type="expression" priority="58" aboveAverage="0" equalAverage="0" bottom="0" percent="0" rank="0" text="" dxfId="406">
      <formula>AND($M14=1,$S14&lt;&gt;"")</formula>
    </cfRule>
  </conditionalFormatting>
  <conditionalFormatting sqref="U2:AF2">
    <cfRule type="expression" priority="59" aboveAverage="0" equalAverage="0" bottom="0" percent="0" rank="0" text="" dxfId="407">
      <formula>AND(_xlfn.single(ACOMPANHAMENTO)="BM",U2&gt;ROUND(U2,4))</formula>
    </cfRule>
  </conditionalFormatting>
  <conditionalFormatting sqref="U1:AF1">
    <cfRule type="expression" priority="60" aboveAverage="0" equalAverage="0" bottom="0" percent="0" rank="0" text="" dxfId="408">
      <formula>U1&lt;&gt;0</formula>
    </cfRule>
  </conditionalFormatting>
  <conditionalFormatting sqref="E55">
    <cfRule type="expression" priority="61" aboveAverage="0" equalAverage="0" bottom="0" percent="0" rank="0" text="" dxfId="409">
      <formula>D$50=1</formula>
    </cfRule>
  </conditionalFormatting>
  <conditionalFormatting sqref="E2">
    <cfRule type="expression" priority="62" aboveAverage="0" equalAverage="0" bottom="0" percent="0" rank="0" text="" dxfId="410">
      <formula>AND(_xlfn.single(ACOMPANHAMENTO)="BM",E2&gt;ROUND(E2,4))</formula>
    </cfRule>
  </conditionalFormatting>
  <conditionalFormatting sqref="E1">
    <cfRule type="expression" priority="63" aboveAverage="0" equalAverage="0" bottom="0" percent="0" rank="0" text="" dxfId="411">
      <formula>E1&lt;&gt;0</formula>
    </cfRule>
  </conditionalFormatting>
  <conditionalFormatting sqref="E55">
    <cfRule type="expression" priority="64" aboveAverage="0" equalAverage="0" bottom="0" percent="0" rank="0" text="" dxfId="412">
      <formula>D$50=1</formula>
    </cfRule>
  </conditionalFormatting>
  <conditionalFormatting sqref="H55:J55">
    <cfRule type="expression" priority="65" aboveAverage="0" equalAverage="0" bottom="0" percent="0" rank="0" text="" dxfId="413">
      <formula>$H$54=""</formula>
    </cfRule>
  </conditionalFormatting>
  <conditionalFormatting sqref="H1">
    <cfRule type="expression" priority="66" aboveAverage="0" equalAverage="0" bottom="0" percent="0" rank="0" text="" dxfId="414">
      <formula>AND(H1&lt;&gt;0,ISNUMBER(H1))</formula>
    </cfRule>
  </conditionalFormatting>
  <conditionalFormatting sqref="E55 U55:AF55">
    <cfRule type="expression" priority="67" aboveAverage="0" equalAverage="0" bottom="0" percent="0" rank="0" text="" dxfId="415">
      <formula>ROUND(E55,4)&gt;ROUND(E50,4)</formula>
    </cfRule>
  </conditionalFormatting>
  <conditionalFormatting sqref="H2">
    <cfRule type="expression" priority="68" aboveAverage="0" equalAverage="0" bottom="0" percent="0" rank="0" text="" dxfId="416">
      <formula>AND(H1&lt;&gt;0,ISNUMBER(H1))</formula>
    </cfRule>
  </conditionalFormatting>
  <conditionalFormatting sqref="Z7:AE8">
    <cfRule type="expression" priority="69" aboveAverage="0" equalAverage="0" bottom="0" percent="0" rank="0" text="" dxfId="417">
      <formula>QCI.ExisteManual</formula>
    </cfRule>
  </conditionalFormatting>
  <conditionalFormatting sqref="U12:U13">
    <cfRule type="expression" priority="70" aboveAverage="0" equalAverage="0" bottom="0" percent="0" rank="0" text="" dxfId="418">
      <formula>NOT(ISNUMBER(T$12))</formula>
    </cfRule>
  </conditionalFormatting>
  <conditionalFormatting sqref="E2 U2:AF2">
    <cfRule type="expression" priority="71" aboveAverage="0" equalAverage="0" bottom="0" percent="0" rank="0" text="" dxfId="419">
      <formula>AND(ISNUMBER($H1),$H1&lt;&gt;0)</formula>
    </cfRule>
  </conditionalFormatting>
  <conditionalFormatting sqref="I2:S2">
    <cfRule type="expression" priority="72" aboveAverage="0" equalAverage="0" bottom="0" percent="0" rank="0" text="" dxfId="420">
      <formula>$M1=2</formula>
    </cfRule>
    <cfRule type="expression" priority="73" aboveAverage="0" equalAverage="0" bottom="0" percent="0" rank="0" text="" dxfId="421">
      <formula>AND($M1=1,$S1&lt;&gt;"")</formula>
    </cfRule>
  </conditionalFormatting>
  <conditionalFormatting sqref="I1:S1">
    <cfRule type="expression" priority="74" aboveAverage="0" equalAverage="0" bottom="0" percent="0" rank="0" text="" dxfId="422">
      <formula>$M1=2</formula>
    </cfRule>
    <cfRule type="expression" priority="75" aboveAverage="0" equalAverage="0" bottom="0" percent="0" rank="0" text="" dxfId="423">
      <formula>AND($M1=1,$S1&lt;&gt;"")</formula>
    </cfRule>
  </conditionalFormatting>
  <conditionalFormatting sqref="E45 E47 E49:E50 E52 E54 U47:AF47 U49:AF50 U52:AF52 U54:AF54 U45:AF45">
    <cfRule type="expression" priority="76" aboveAverage="0" equalAverage="0" bottom="0" percent="0" rank="0" text="" dxfId="424">
      <formula>D$50=1</formula>
    </cfRule>
  </conditionalFormatting>
  <conditionalFormatting sqref="E46 E48 E51 E53 E55 U48:AF48 U51:AF51 U53:AF53 U55:AF55 U46:AF46">
    <cfRule type="expression" priority="77" aboveAverage="0" equalAverage="0" bottom="0" percent="0" rank="0" text="" dxfId="425">
      <formula>D$50=1</formula>
    </cfRule>
  </conditionalFormatting>
  <conditionalFormatting sqref="AF7:AF8">
    <cfRule type="expression" priority="78" aboveAverage="0" equalAverage="0" bottom="0" percent="0" rank="0" text="" dxfId="426">
      <formula>OR(TIPOORCAMENTO&lt;&gt;"Licitado",QCI.ExisteManual)</formula>
    </cfRule>
  </conditionalFormatting>
  <dataValidations count="6">
    <dataValidation allowBlank="true" errorStyle="stop" operator="greaterThan" showDropDown="false" showErrorMessage="true" showInputMessage="false" sqref="U12" type="whole">
      <formula1>0</formula1>
      <formula2>0</formula2>
    </dataValidation>
    <dataValidation allowBlank="true" error="Selecione o nível (2, 3 ou 4) do agrupador a exibir no cronograma." errorStyle="stop" errorTitle="Obrigatório:" operator="between" showDropDown="false" showErrorMessage="true" showInputMessage="false" sqref="H10" type="list">
      <formula1>"2,3,4"</formula1>
      <formula2>0</formula2>
    </dataValidation>
    <dataValidation allowBlank="true" errorStyle="stop" operator="between" prompt="Preencha na célula de baixo. Se o acompanhamento for PLE, preencha no botão PREENCHIMENTO POR EVENTOS, acima." showDropDown="false" showErrorMessage="true" showInputMessage="true" sqref="E1 U1:AF1 E14 U14:AF14 E17 U17:AF17 E20 U20:AF20 E23 U23:AF23 E26 U26:AF26 E29 U29:AF29 E32 U32:AF32 E35 U35:AF35 E38 U38:AF38 E41 U41:AF41" type="none">
      <formula1>0</formula1>
      <formula2>0</formula2>
    </dataValidation>
    <dataValidation allowBlank="true" error="Porcentagem Acumulada &gt; 100%." errorStyle="stop" operator="between" showDropDown="false" showErrorMessage="true" showInputMessage="false" sqref="E2 U2:AG2 E15 U15:AG15 E18 U18:AG18 E21 U21:AG21 E24 U24:AG24 E27 U27:AG27 E30 U30:AG30 E33 U33:AG33 E36 U36:AG36 E39 U39:AG39 E42 U42:AG42" type="decimal">
      <formula1>0</formula1>
      <formula2>CRONO.MaxParc</formula2>
    </dataValidation>
    <dataValidation allowBlank="true" error="Digite somente datas." errorStyle="stop" errorTitle="Erro" operator="greaterThan" showDropDown="false" showErrorMessage="true" showInputMessage="true" sqref="U13" type="date">
      <formula1>36526</formula1>
      <formula2>0</formula2>
    </dataValidation>
    <dataValidation allowBlank="true" error="Selecione uma opção da lista." errorStyle="stop" errorTitle="Atenção" operator="between" showDropDown="false" showErrorMessage="true" showInputMessage="false" sqref="H55:J55" type="list">
      <formula1>$A$13:$A$44</formula1>
      <formula2>0</formula2>
    </dataValidation>
  </dataValidations>
  <printOptions headings="false" gridLines="false" gridLinesSet="true" horizontalCentered="false" verticalCentered="false"/>
  <pageMargins left="0.7875" right="0.7875" top="0.786805555555556" bottom="0.786805555555556" header="0.590277777777778" footer="0.590277777777778"/>
  <pageSetup paperSize="9" scale="66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&amp;C&amp;14I</oddHeader>
    <oddFooter>&amp;LPMv3.10&amp;R&amp;P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1997-01-10T22:22:50Z</dcterms:created>
  <dc:creator>CAIXA - GN Padronização e normas técnicas</dc:creator>
  <dc:description/>
  <dc:language>pt-BR</dc:language>
  <cp:lastModifiedBy/>
  <cp:lastPrinted>2025-11-06T13:39:50Z</cp:lastPrinted>
  <dcterms:modified xsi:type="dcterms:W3CDTF">2026-03-06T14:47:08Z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e7aacd-7cc4-4c31-9e6f-7ef306428f09_ActionId">
    <vt:lpwstr>a35afa61-0e86-4f3f-84ac-6edb60dde1d6</vt:lpwstr>
  </property>
  <property fmtid="{D5CDD505-2E9C-101B-9397-08002B2CF9AE}" pid="3" name="MSIP_Label_fde7aacd-7cc4-4c31-9e6f-7ef306428f09_ContentBits">
    <vt:lpwstr>1</vt:lpwstr>
  </property>
  <property fmtid="{D5CDD505-2E9C-101B-9397-08002B2CF9AE}" pid="4" name="MSIP_Label_fde7aacd-7cc4-4c31-9e6f-7ef306428f09_Enabled">
    <vt:lpwstr>true</vt:lpwstr>
  </property>
  <property fmtid="{D5CDD505-2E9C-101B-9397-08002B2CF9AE}" pid="5" name="MSIP_Label_fde7aacd-7cc4-4c31-9e6f-7ef306428f09_Method">
    <vt:lpwstr>Privileged</vt:lpwstr>
  </property>
  <property fmtid="{D5CDD505-2E9C-101B-9397-08002B2CF9AE}" pid="6" name="MSIP_Label_fde7aacd-7cc4-4c31-9e6f-7ef306428f09_Name">
    <vt:lpwstr>_PUBLICO</vt:lpwstr>
  </property>
  <property fmtid="{D5CDD505-2E9C-101B-9397-08002B2CF9AE}" pid="7" name="MSIP_Label_fde7aacd-7cc4-4c31-9e6f-7ef306428f09_SetDate">
    <vt:lpwstr>2023-11-21T19:16:23Z</vt:lpwstr>
  </property>
  <property fmtid="{D5CDD505-2E9C-101B-9397-08002B2CF9AE}" pid="8" name="MSIP_Label_fde7aacd-7cc4-4c31-9e6f-7ef306428f09_SiteId">
    <vt:lpwstr>ab9bba98-684a-43fb-add8-9c2bebede229</vt:lpwstr>
  </property>
</Properties>
</file>