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F:\NITO\"/>
    </mc:Choice>
  </mc:AlternateContent>
  <xr:revisionPtr revIDLastSave="0" documentId="8_{59F1F735-4367-406F-9249-041026FEA5C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REO" sheetId="1" r:id="rId1"/>
    <sheet name="RGF" sheetId="2" r:id="rId2"/>
    <sheet name="BalOrç" sheetId="3" r:id="rId3"/>
    <sheet name="Funç" sheetId="4" r:id="rId4"/>
    <sheet name="Result" sheetId="5" r:id="rId5"/>
    <sheet name="FAPS" sheetId="6" r:id="rId6"/>
    <sheet name="proj_Atuarial" sheetId="30" r:id="rId7"/>
    <sheet name="Restos" sheetId="7" r:id="rId8"/>
    <sheet name="MDE" sheetId="8" r:id="rId9"/>
    <sheet name="Saúde" sheetId="9" r:id="rId10"/>
    <sheet name="Alienação" sheetId="11" r:id="rId11"/>
    <sheet name="DDCeRP" sheetId="37" r:id="rId12"/>
    <sheet name="RCL" sheetId="14" r:id="rId13"/>
    <sheet name="DCLP" sheetId="15" r:id="rId14"/>
    <sheet name="DCLP_RCL" sheetId="16" r:id="rId15"/>
    <sheet name="Cronogra" sheetId="18" r:id="rId16"/>
    <sheet name="Cruz" sheetId="19" r:id="rId17"/>
    <sheet name="Exec_Orç" sheetId="20" r:id="rId18"/>
    <sheet name="Míni" sheetId="21" r:id="rId19"/>
    <sheet name="Emp" sheetId="23" r:id="rId20"/>
    <sheet name="Liquid" sheetId="24" r:id="rId21"/>
    <sheet name="Pgtos" sheetId="25" r:id="rId2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7" i="19" l="1"/>
  <c r="J22" i="21"/>
  <c r="K32" i="21"/>
  <c r="J34" i="21"/>
  <c r="J24" i="21"/>
  <c r="I34" i="21"/>
  <c r="D33" i="21"/>
  <c r="B33" i="21"/>
  <c r="C33" i="21"/>
  <c r="I19" i="21"/>
  <c r="D18" i="21"/>
  <c r="D17" i="21"/>
  <c r="D16" i="21"/>
  <c r="D15" i="21"/>
  <c r="D12" i="21"/>
  <c r="L14" i="21"/>
  <c r="L13" i="21"/>
  <c r="L11" i="21"/>
  <c r="L10" i="21"/>
  <c r="L9" i="21"/>
  <c r="L8" i="21"/>
  <c r="J14" i="21"/>
  <c r="H14" i="21"/>
  <c r="H13" i="21"/>
  <c r="H11" i="21"/>
  <c r="H10" i="21"/>
  <c r="H9" i="21"/>
  <c r="H8" i="21"/>
  <c r="F14" i="21"/>
  <c r="F13" i="21"/>
  <c r="F11" i="21"/>
  <c r="F10" i="21"/>
  <c r="F9" i="21"/>
  <c r="F8" i="21"/>
  <c r="D19" i="21"/>
  <c r="D11" i="21"/>
  <c r="D10" i="21"/>
  <c r="D9" i="21"/>
  <c r="D8" i="21"/>
  <c r="C8" i="21"/>
  <c r="K25" i="20"/>
  <c r="K24" i="20"/>
  <c r="K23" i="20"/>
  <c r="M26" i="20"/>
  <c r="K28" i="20"/>
  <c r="K29" i="20"/>
  <c r="K26" i="20"/>
  <c r="L26" i="20"/>
  <c r="L20" i="20"/>
  <c r="I20" i="20"/>
  <c r="K20" i="20"/>
  <c r="N15" i="20"/>
  <c r="K15" i="20"/>
  <c r="N14" i="20"/>
  <c r="I12" i="20"/>
  <c r="N11" i="20"/>
  <c r="N10" i="20"/>
  <c r="N9" i="20"/>
  <c r="K9" i="20"/>
  <c r="N8" i="20"/>
  <c r="K8" i="20"/>
  <c r="N7" i="20"/>
  <c r="K7" i="20"/>
  <c r="N6" i="20"/>
  <c r="K6" i="20"/>
  <c r="N5" i="20"/>
  <c r="G20" i="20"/>
  <c r="F20" i="20"/>
  <c r="E20" i="20"/>
  <c r="D20" i="20"/>
  <c r="H26" i="19"/>
  <c r="H25" i="19"/>
  <c r="H16" i="19"/>
  <c r="F27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12" i="19"/>
  <c r="F11" i="19"/>
  <c r="AE66" i="18"/>
  <c r="X63" i="18"/>
  <c r="X61" i="18"/>
  <c r="X59" i="18"/>
  <c r="X58" i="18"/>
  <c r="X57" i="18"/>
  <c r="W65" i="18"/>
  <c r="W61" i="18"/>
  <c r="W59" i="18"/>
  <c r="W57" i="18"/>
  <c r="H54" i="18"/>
  <c r="H46" i="18"/>
  <c r="W39" i="18"/>
  <c r="W25" i="18"/>
  <c r="W24" i="18"/>
  <c r="H45" i="18"/>
  <c r="D54" i="18"/>
  <c r="D46" i="18"/>
  <c r="D45" i="18"/>
  <c r="C36" i="2"/>
  <c r="C14" i="2"/>
  <c r="I49" i="1"/>
  <c r="I48" i="1"/>
  <c r="C4" i="16"/>
  <c r="D30" i="14"/>
  <c r="D6" i="14"/>
  <c r="D5" i="14"/>
  <c r="D17" i="15"/>
  <c r="D16" i="15"/>
  <c r="D8" i="15"/>
  <c r="D14" i="15"/>
  <c r="D15" i="15"/>
  <c r="D13" i="15"/>
  <c r="D12" i="15"/>
  <c r="D11" i="15"/>
  <c r="D7" i="15"/>
  <c r="E7" i="15"/>
  <c r="F7" i="15"/>
  <c r="G7" i="15"/>
  <c r="H7" i="15"/>
  <c r="J7" i="15"/>
  <c r="K7" i="15"/>
  <c r="L7" i="15"/>
  <c r="M7" i="15"/>
  <c r="N7" i="15"/>
  <c r="O7" i="15"/>
  <c r="E8" i="15"/>
  <c r="F8" i="15"/>
  <c r="G8" i="15"/>
  <c r="H8" i="15"/>
  <c r="J8" i="15"/>
  <c r="K8" i="15"/>
  <c r="L8" i="15"/>
  <c r="M8" i="15"/>
  <c r="N8" i="15"/>
  <c r="E11" i="15"/>
  <c r="F11" i="15"/>
  <c r="G11" i="15"/>
  <c r="H11" i="15"/>
  <c r="J11" i="15"/>
  <c r="K11" i="15"/>
  <c r="L11" i="15"/>
  <c r="M11" i="15"/>
  <c r="N11" i="15"/>
  <c r="E12" i="15"/>
  <c r="F12" i="15"/>
  <c r="G12" i="15"/>
  <c r="H12" i="15"/>
  <c r="J12" i="15"/>
  <c r="K12" i="15"/>
  <c r="L12" i="15"/>
  <c r="M12" i="15"/>
  <c r="N12" i="15"/>
  <c r="O12" i="15"/>
  <c r="E13" i="15"/>
  <c r="F13" i="15"/>
  <c r="G13" i="15"/>
  <c r="H13" i="15"/>
  <c r="J13" i="15"/>
  <c r="K13" i="15"/>
  <c r="L13" i="15"/>
  <c r="M13" i="15"/>
  <c r="N13" i="15"/>
  <c r="E14" i="15"/>
  <c r="F14" i="15"/>
  <c r="G14" i="15"/>
  <c r="H14" i="15"/>
  <c r="J14" i="15"/>
  <c r="K14" i="15"/>
  <c r="L14" i="15"/>
  <c r="M14" i="15"/>
  <c r="N14" i="15"/>
  <c r="O14" i="15"/>
  <c r="E15" i="15"/>
  <c r="F15" i="15"/>
  <c r="G15" i="15"/>
  <c r="H15" i="15"/>
  <c r="I15" i="15"/>
  <c r="J15" i="15"/>
  <c r="K15" i="15"/>
  <c r="L15" i="15"/>
  <c r="M15" i="15"/>
  <c r="N15" i="15"/>
  <c r="O15" i="15"/>
  <c r="E16" i="15"/>
  <c r="F16" i="15"/>
  <c r="G16" i="15"/>
  <c r="H16" i="15"/>
  <c r="I16" i="15"/>
  <c r="J16" i="15"/>
  <c r="K16" i="15"/>
  <c r="L16" i="15"/>
  <c r="M16" i="15"/>
  <c r="N16" i="15"/>
  <c r="O16" i="15"/>
  <c r="E17" i="15"/>
  <c r="F17" i="15"/>
  <c r="G17" i="15"/>
  <c r="H17" i="15"/>
  <c r="J17" i="15"/>
  <c r="K17" i="15"/>
  <c r="L17" i="15"/>
  <c r="M17" i="15"/>
  <c r="N17" i="15"/>
  <c r="O17" i="15"/>
  <c r="E21" i="15"/>
  <c r="F21" i="15"/>
  <c r="G21" i="15"/>
  <c r="H21" i="15"/>
  <c r="I21" i="15"/>
  <c r="J21" i="15"/>
  <c r="K21" i="15"/>
  <c r="L21" i="15"/>
  <c r="M21" i="15"/>
  <c r="N21" i="15"/>
  <c r="O21" i="15"/>
  <c r="E24" i="15"/>
  <c r="F24" i="15"/>
  <c r="G24" i="15"/>
  <c r="H24" i="15"/>
  <c r="I24" i="15"/>
  <c r="J24" i="15"/>
  <c r="K24" i="15"/>
  <c r="L24" i="15"/>
  <c r="M24" i="15"/>
  <c r="N24" i="15"/>
  <c r="O24" i="15"/>
  <c r="D12" i="14"/>
  <c r="D24" i="14"/>
  <c r="D23" i="14"/>
  <c r="D15" i="14"/>
  <c r="D14" i="14"/>
  <c r="I10" i="15" l="1"/>
  <c r="O10" i="15"/>
  <c r="N10" i="15"/>
  <c r="M10" i="15"/>
  <c r="L10" i="15"/>
  <c r="K10" i="15"/>
  <c r="J10" i="15"/>
  <c r="H10" i="15"/>
  <c r="G10" i="15"/>
  <c r="F10" i="15"/>
  <c r="E10" i="15"/>
  <c r="D18" i="14"/>
  <c r="D19" i="14"/>
  <c r="D11" i="14"/>
  <c r="D13" i="14"/>
  <c r="D9" i="14"/>
  <c r="E30" i="14"/>
  <c r="F30" i="14"/>
  <c r="G30" i="14"/>
  <c r="H30" i="14"/>
  <c r="I30" i="14"/>
  <c r="J30" i="14"/>
  <c r="K30" i="14"/>
  <c r="L30" i="14"/>
  <c r="M30" i="14"/>
  <c r="N30" i="14"/>
  <c r="O30" i="14"/>
  <c r="E9" i="14"/>
  <c r="F9" i="14"/>
  <c r="G9" i="14"/>
  <c r="H9" i="14"/>
  <c r="I9" i="14"/>
  <c r="J9" i="14"/>
  <c r="K9" i="14"/>
  <c r="L9" i="14"/>
  <c r="M9" i="14"/>
  <c r="N9" i="14"/>
  <c r="O9" i="14"/>
  <c r="O10" i="14"/>
  <c r="E11" i="14"/>
  <c r="F11" i="14"/>
  <c r="G11" i="14"/>
  <c r="H11" i="14"/>
  <c r="I11" i="14"/>
  <c r="J11" i="14"/>
  <c r="K11" i="14"/>
  <c r="L11" i="14"/>
  <c r="M11" i="14"/>
  <c r="N11" i="14"/>
  <c r="O11" i="14"/>
  <c r="J12" i="14"/>
  <c r="K12" i="14"/>
  <c r="L12" i="14"/>
  <c r="M12" i="14"/>
  <c r="N12" i="14"/>
  <c r="O12" i="14"/>
  <c r="E14" i="14"/>
  <c r="F14" i="14"/>
  <c r="G14" i="14"/>
  <c r="H14" i="14"/>
  <c r="I14" i="14"/>
  <c r="J14" i="14"/>
  <c r="K14" i="14"/>
  <c r="L14" i="14"/>
  <c r="M14" i="14"/>
  <c r="N14" i="14"/>
  <c r="O14" i="14"/>
  <c r="E15" i="14"/>
  <c r="G15" i="14"/>
  <c r="H15" i="14"/>
  <c r="L15" i="14"/>
  <c r="M15" i="14"/>
  <c r="N15" i="14"/>
  <c r="O15" i="14"/>
  <c r="E18" i="14"/>
  <c r="F18" i="14"/>
  <c r="G18" i="14"/>
  <c r="H18" i="14"/>
  <c r="I18" i="14"/>
  <c r="J18" i="14"/>
  <c r="K18" i="14"/>
  <c r="L18" i="14"/>
  <c r="M18" i="14"/>
  <c r="N18" i="14"/>
  <c r="O18" i="14"/>
  <c r="E19" i="14"/>
  <c r="F19" i="14"/>
  <c r="G19" i="14"/>
  <c r="H19" i="14"/>
  <c r="I19" i="14"/>
  <c r="J19" i="14"/>
  <c r="K19" i="14"/>
  <c r="L19" i="14"/>
  <c r="M19" i="14"/>
  <c r="N19" i="14"/>
  <c r="O19" i="14"/>
  <c r="E23" i="14"/>
  <c r="E20" i="14" s="1"/>
  <c r="F23" i="14"/>
  <c r="G23" i="14"/>
  <c r="H23" i="14"/>
  <c r="I23" i="14"/>
  <c r="J23" i="14"/>
  <c r="K23" i="14"/>
  <c r="L23" i="14"/>
  <c r="M23" i="14"/>
  <c r="N23" i="14"/>
  <c r="O23" i="14"/>
  <c r="F24" i="14"/>
  <c r="G24" i="14"/>
  <c r="H24" i="14"/>
  <c r="I24" i="14"/>
  <c r="J24" i="14"/>
  <c r="K24" i="14"/>
  <c r="L24" i="14"/>
  <c r="M24" i="14"/>
  <c r="N24" i="14"/>
  <c r="O24" i="14"/>
  <c r="E5" i="14"/>
  <c r="G5" i="14"/>
  <c r="H5" i="14"/>
  <c r="I5" i="14"/>
  <c r="J5" i="14"/>
  <c r="K5" i="14"/>
  <c r="L5" i="14"/>
  <c r="M5" i="14"/>
  <c r="N5" i="14"/>
  <c r="O5" i="14"/>
  <c r="E6" i="14"/>
  <c r="F6" i="14"/>
  <c r="G6" i="14"/>
  <c r="H6" i="14"/>
  <c r="I6" i="14"/>
  <c r="J6" i="14"/>
  <c r="K6" i="14"/>
  <c r="L6" i="14"/>
  <c r="M6" i="14"/>
  <c r="N6" i="14"/>
  <c r="O6" i="14"/>
  <c r="O20" i="14" l="1"/>
  <c r="N20" i="14"/>
  <c r="M20" i="14"/>
  <c r="L20" i="14"/>
  <c r="K20" i="14"/>
  <c r="J20" i="14"/>
  <c r="I20" i="14"/>
  <c r="H20" i="14"/>
  <c r="G20" i="14"/>
  <c r="F20" i="14"/>
  <c r="O17" i="14"/>
  <c r="N17" i="14"/>
  <c r="M17" i="14"/>
  <c r="L17" i="14"/>
  <c r="K17" i="14"/>
  <c r="J17" i="14"/>
  <c r="I17" i="14"/>
  <c r="H17" i="14"/>
  <c r="G17" i="14"/>
  <c r="F17" i="14"/>
  <c r="E17" i="14"/>
  <c r="F30" i="20"/>
  <c r="F29" i="20"/>
  <c r="F23" i="20"/>
  <c r="L29" i="20" l="1"/>
  <c r="L30" i="20"/>
  <c r="I4" i="20"/>
  <c r="K4" i="20"/>
  <c r="I17" i="20"/>
  <c r="I12" i="21"/>
  <c r="J12" i="21" s="1"/>
  <c r="I15" i="21"/>
  <c r="J15" i="21" s="1"/>
  <c r="I18" i="21"/>
  <c r="J18" i="21" s="1"/>
  <c r="I17" i="21"/>
  <c r="J17" i="21" s="1"/>
  <c r="I16" i="21"/>
  <c r="G56" i="1"/>
  <c r="G53" i="1"/>
  <c r="F56" i="1"/>
  <c r="F53" i="1"/>
  <c r="F59" i="1" s="1"/>
  <c r="U61" i="18"/>
  <c r="U59" i="18"/>
  <c r="U57" i="18"/>
  <c r="V63" i="18"/>
  <c r="V62" i="18"/>
  <c r="V61" i="18"/>
  <c r="V59" i="18"/>
  <c r="V58" i="18"/>
  <c r="U39" i="18"/>
  <c r="U38" i="18"/>
  <c r="U36" i="18"/>
  <c r="U35" i="18"/>
  <c r="U34" i="18"/>
  <c r="U33" i="18"/>
  <c r="U32" i="18"/>
  <c r="U31" i="18"/>
  <c r="U30" i="18"/>
  <c r="U29" i="18"/>
  <c r="U28" i="18"/>
  <c r="U27" i="18"/>
  <c r="U26" i="18"/>
  <c r="U25" i="18"/>
  <c r="U24" i="18"/>
  <c r="H43" i="18"/>
  <c r="D44" i="18"/>
  <c r="D43" i="18"/>
  <c r="F90" i="18"/>
  <c r="E90" i="18"/>
  <c r="N36" i="14"/>
  <c r="N35" i="14"/>
  <c r="J16" i="21" l="1"/>
  <c r="O8" i="14"/>
  <c r="O7" i="14" s="1"/>
  <c r="O25" i="14" s="1"/>
  <c r="O27" i="14" s="1"/>
  <c r="N8" i="14"/>
  <c r="N7" i="14" s="1"/>
  <c r="N25" i="14" s="1"/>
  <c r="N27" i="14" s="1"/>
  <c r="M8" i="14"/>
  <c r="M7" i="14" s="1"/>
  <c r="M25" i="14" s="1"/>
  <c r="M27" i="14" s="1"/>
  <c r="L8" i="14"/>
  <c r="L7" i="14" s="1"/>
  <c r="L25" i="14" s="1"/>
  <c r="L27" i="14" s="1"/>
  <c r="K8" i="14"/>
  <c r="K7" i="14" s="1"/>
  <c r="K25" i="14" s="1"/>
  <c r="K27" i="14" s="1"/>
  <c r="J8" i="14"/>
  <c r="J7" i="14" s="1"/>
  <c r="J25" i="14" s="1"/>
  <c r="J27" i="14" s="1"/>
  <c r="I8" i="14"/>
  <c r="I7" i="14" s="1"/>
  <c r="I25" i="14" s="1"/>
  <c r="I27" i="14" s="1"/>
  <c r="H8" i="14"/>
  <c r="H7" i="14" s="1"/>
  <c r="H25" i="14" s="1"/>
  <c r="H27" i="14" s="1"/>
  <c r="G8" i="14"/>
  <c r="G7" i="14" s="1"/>
  <c r="G25" i="14" s="1"/>
  <c r="G27" i="14" s="1"/>
  <c r="F8" i="14"/>
  <c r="F7" i="14" s="1"/>
  <c r="F25" i="14" s="1"/>
  <c r="F27" i="14" s="1"/>
  <c r="E8" i="14"/>
  <c r="E7" i="14" s="1"/>
  <c r="E25" i="14" s="1"/>
  <c r="E27" i="14" s="1"/>
  <c r="D20" i="21"/>
  <c r="L57" i="18"/>
  <c r="L58" i="18"/>
  <c r="J58" i="18"/>
  <c r="J57" i="18"/>
  <c r="F27" i="20"/>
  <c r="K30" i="20"/>
  <c r="J30" i="20" s="1"/>
  <c r="D90" i="18" l="1"/>
  <c r="L59" i="18"/>
  <c r="L60" i="18" s="1"/>
  <c r="A88" i="18"/>
  <c r="J36" i="18"/>
  <c r="L25" i="18"/>
  <c r="L26" i="18"/>
  <c r="L27" i="18"/>
  <c r="L28" i="18"/>
  <c r="L29" i="18"/>
  <c r="L30" i="18"/>
  <c r="L31" i="18"/>
  <c r="L32" i="18"/>
  <c r="L33" i="18"/>
  <c r="L24" i="18"/>
  <c r="L11" i="18"/>
  <c r="L8" i="18"/>
  <c r="L9" i="18"/>
  <c r="L10" i="18"/>
  <c r="L12" i="18"/>
  <c r="L13" i="18"/>
  <c r="L14" i="18"/>
  <c r="L15" i="18"/>
  <c r="L16" i="18"/>
  <c r="L7" i="18"/>
  <c r="L6" i="18"/>
  <c r="L5" i="18"/>
  <c r="D42" i="18"/>
  <c r="D41" i="18"/>
  <c r="J20" i="20"/>
  <c r="H20" i="20"/>
  <c r="N18" i="20"/>
  <c r="L18" i="20"/>
  <c r="I14" i="20"/>
  <c r="L14" i="20"/>
  <c r="H14" i="20"/>
  <c r="H13" i="20"/>
  <c r="H12" i="20"/>
  <c r="I11" i="20"/>
  <c r="H11" i="20"/>
  <c r="I10" i="20"/>
  <c r="H10" i="20"/>
  <c r="I9" i="20"/>
  <c r="H9" i="20"/>
  <c r="L4" i="20"/>
  <c r="H4" i="20"/>
  <c r="A89" i="18"/>
  <c r="E89" i="18"/>
  <c r="F89" i="18"/>
  <c r="G89" i="18"/>
  <c r="H89" i="18"/>
  <c r="I89" i="18"/>
  <c r="J89" i="18"/>
  <c r="K89" i="18"/>
  <c r="L89" i="18"/>
  <c r="M89" i="18"/>
  <c r="N89" i="18"/>
  <c r="O89" i="18"/>
  <c r="D89" i="18"/>
  <c r="B89" i="18"/>
  <c r="C89" i="18" s="1"/>
  <c r="AE27" i="18"/>
  <c r="AE28" i="18"/>
  <c r="AE34" i="18"/>
  <c r="AE35" i="18"/>
  <c r="AE36" i="18"/>
  <c r="AE37" i="18"/>
  <c r="H90" i="18" l="1"/>
  <c r="G90" i="18"/>
  <c r="J60" i="18"/>
  <c r="L61" i="18" s="1"/>
  <c r="C90" i="18"/>
  <c r="B90" i="18"/>
  <c r="T29" i="18"/>
  <c r="AE29" i="18" s="1"/>
  <c r="T30" i="18"/>
  <c r="AE30" i="18" s="1"/>
  <c r="T31" i="18"/>
  <c r="AE31" i="18" s="1"/>
  <c r="T32" i="18"/>
  <c r="AE32" i="18" s="1"/>
  <c r="T33" i="18"/>
  <c r="AE33" i="18" s="1"/>
  <c r="T39" i="18"/>
  <c r="AE39" i="18" s="1"/>
  <c r="T38" i="18"/>
  <c r="AE38" i="18" s="1"/>
  <c r="T26" i="18"/>
  <c r="AE26" i="18" s="1"/>
  <c r="T25" i="18"/>
  <c r="AE25" i="18" s="1"/>
  <c r="T24" i="18"/>
  <c r="AE24" i="18" s="1"/>
  <c r="T4" i="18"/>
  <c r="U4" i="18"/>
  <c r="V4" i="18"/>
  <c r="W4" i="18"/>
  <c r="X4" i="18"/>
  <c r="Y4" i="18"/>
  <c r="Z4" i="18"/>
  <c r="AA4" i="18"/>
  <c r="AB4" i="18"/>
  <c r="AC4" i="18"/>
  <c r="AD4" i="18"/>
  <c r="S4" i="18"/>
  <c r="L23" i="18"/>
  <c r="L22" i="18"/>
  <c r="H42" i="18"/>
  <c r="H41" i="18" s="1"/>
  <c r="J33" i="18"/>
  <c r="J32" i="18"/>
  <c r="J31" i="18"/>
  <c r="J30" i="18"/>
  <c r="J29" i="18"/>
  <c r="J28" i="18"/>
  <c r="J26" i="18"/>
  <c r="H32" i="18"/>
  <c r="H31" i="18"/>
  <c r="H30" i="18"/>
  <c r="H27" i="18"/>
  <c r="H26" i="18"/>
  <c r="H24" i="18"/>
  <c r="H22" i="18"/>
  <c r="F33" i="18"/>
  <c r="F31" i="18"/>
  <c r="F30" i="18"/>
  <c r="F29" i="18"/>
  <c r="F27" i="18"/>
  <c r="F26" i="18"/>
  <c r="F23" i="18"/>
  <c r="F22" i="18"/>
  <c r="D33" i="18"/>
  <c r="D30" i="18"/>
  <c r="D28" i="18"/>
  <c r="D25" i="18"/>
  <c r="B32" i="18"/>
  <c r="B30" i="18"/>
  <c r="B29" i="18"/>
  <c r="B27" i="18"/>
  <c r="B26" i="18"/>
  <c r="B25" i="18"/>
  <c r="B23" i="18"/>
  <c r="B22" i="18"/>
  <c r="J16" i="18"/>
  <c r="J15" i="18"/>
  <c r="J14" i="18"/>
  <c r="J13" i="18"/>
  <c r="J12" i="18"/>
  <c r="J8" i="18"/>
  <c r="J7" i="18"/>
  <c r="J6" i="18"/>
  <c r="H16" i="18"/>
  <c r="H15" i="18"/>
  <c r="H14" i="18"/>
  <c r="F16" i="18"/>
  <c r="F15" i="18"/>
  <c r="F14" i="18"/>
  <c r="F13" i="18"/>
  <c r="F12" i="18"/>
  <c r="F11" i="18"/>
  <c r="F10" i="18"/>
  <c r="F9" i="18"/>
  <c r="F7" i="18"/>
  <c r="F6" i="18"/>
  <c r="F5" i="18"/>
  <c r="D16" i="18"/>
  <c r="D13" i="18"/>
  <c r="D12" i="18"/>
  <c r="D11" i="18"/>
  <c r="D8" i="18"/>
  <c r="D7" i="18"/>
  <c r="B15" i="18"/>
  <c r="B13" i="18"/>
  <c r="B12" i="18"/>
  <c r="B11" i="18"/>
  <c r="B10" i="18"/>
  <c r="B9" i="18"/>
  <c r="B8" i="18"/>
  <c r="B6" i="18"/>
  <c r="E4" i="15" l="1"/>
  <c r="F4" i="15"/>
  <c r="G4" i="15"/>
  <c r="H4" i="15"/>
  <c r="I4" i="15"/>
  <c r="J4" i="15"/>
  <c r="K4" i="15"/>
  <c r="L4" i="15"/>
  <c r="M4" i="15"/>
  <c r="N4" i="15"/>
  <c r="O4" i="15"/>
  <c r="C20" i="21"/>
  <c r="E27" i="15"/>
  <c r="F27" i="15"/>
  <c r="G27" i="15"/>
  <c r="H27" i="15"/>
  <c r="I27" i="15"/>
  <c r="J27" i="15"/>
  <c r="K27" i="15"/>
  <c r="L27" i="15"/>
  <c r="M27" i="15"/>
  <c r="N27" i="15"/>
  <c r="O27" i="15"/>
  <c r="I34" i="20"/>
  <c r="L6" i="20"/>
  <c r="L7" i="20"/>
  <c r="L8" i="20"/>
  <c r="L9" i="20"/>
  <c r="L10" i="20"/>
  <c r="L11" i="20"/>
  <c r="L12" i="20"/>
  <c r="N12" i="20" s="1"/>
  <c r="L13" i="20"/>
  <c r="N13" i="20" s="1"/>
  <c r="L15" i="20"/>
  <c r="L16" i="20"/>
  <c r="N16" i="20" s="1"/>
  <c r="L17" i="20"/>
  <c r="N17" i="20" s="1"/>
  <c r="L5" i="20"/>
  <c r="E59" i="1"/>
  <c r="L19" i="20" l="1"/>
  <c r="C17" i="15"/>
  <c r="C31" i="21"/>
  <c r="I14" i="21"/>
  <c r="H55" i="18"/>
  <c r="M109" i="18"/>
  <c r="L110" i="18"/>
  <c r="L111" i="18" s="1"/>
  <c r="C15" i="14" l="1"/>
  <c r="C5" i="14"/>
  <c r="D4" i="14"/>
  <c r="C25" i="15"/>
  <c r="E6" i="15"/>
  <c r="E18" i="15" s="1"/>
  <c r="I6" i="15"/>
  <c r="I18" i="15" s="1"/>
  <c r="K6" i="15"/>
  <c r="K18" i="15" s="1"/>
  <c r="L6" i="15"/>
  <c r="L18" i="15" s="1"/>
  <c r="N6" i="15"/>
  <c r="N18" i="15" s="1"/>
  <c r="I4" i="14"/>
  <c r="L4" i="14"/>
  <c r="L29" i="14" l="1"/>
  <c r="I29" i="14"/>
  <c r="O6" i="15"/>
  <c r="O18" i="15" s="1"/>
  <c r="M6" i="15"/>
  <c r="M18" i="15" s="1"/>
  <c r="J6" i="15"/>
  <c r="J18" i="15" s="1"/>
  <c r="H6" i="15"/>
  <c r="H18" i="15" s="1"/>
  <c r="G6" i="15"/>
  <c r="G18" i="15" s="1"/>
  <c r="F6" i="15"/>
  <c r="F18" i="15" s="1"/>
  <c r="O4" i="14"/>
  <c r="N4" i="14"/>
  <c r="M4" i="14"/>
  <c r="K4" i="14"/>
  <c r="J4" i="14"/>
  <c r="H4" i="14"/>
  <c r="G4" i="14"/>
  <c r="F4" i="14"/>
  <c r="E4" i="14"/>
  <c r="D20" i="14"/>
  <c r="D17" i="14"/>
  <c r="C13" i="14"/>
  <c r="C26" i="14"/>
  <c r="H110" i="18"/>
  <c r="H111" i="18" s="1"/>
  <c r="E29" i="14" l="1"/>
  <c r="F29" i="14"/>
  <c r="G29" i="14"/>
  <c r="H29" i="14"/>
  <c r="J29" i="14"/>
  <c r="K29" i="14"/>
  <c r="M29" i="14"/>
  <c r="N29" i="14"/>
  <c r="O29" i="14"/>
  <c r="A6" i="2" l="1"/>
  <c r="G59" i="1"/>
  <c r="G77" i="1" l="1"/>
  <c r="F77" i="1"/>
  <c r="E77" i="1"/>
  <c r="D77" i="1"/>
  <c r="F110" i="18" l="1"/>
  <c r="F111" i="18" s="1"/>
  <c r="G110" i="18"/>
  <c r="G111" i="18" s="1"/>
  <c r="I110" i="18"/>
  <c r="J110" i="18"/>
  <c r="J111" i="18" s="1"/>
  <c r="K110" i="18"/>
  <c r="K111" i="18" s="1"/>
  <c r="M110" i="18"/>
  <c r="M111" i="18" s="1"/>
  <c r="N110" i="18"/>
  <c r="N111" i="18" s="1"/>
  <c r="O110" i="18"/>
  <c r="O111" i="18" s="1"/>
  <c r="E110" i="18"/>
  <c r="E111" i="18" s="1"/>
  <c r="C16" i="14" l="1"/>
  <c r="J19" i="20" l="1"/>
  <c r="D110" i="18" l="1"/>
  <c r="D111" i="18"/>
  <c r="B110" i="18"/>
  <c r="B111" i="18" s="1"/>
  <c r="L113" i="18"/>
  <c r="L115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L128" i="18"/>
  <c r="L129" i="18"/>
  <c r="B130" i="18"/>
  <c r="D130" i="18"/>
  <c r="E130" i="18"/>
  <c r="F130" i="18"/>
  <c r="G130" i="18"/>
  <c r="H130" i="18"/>
  <c r="J130" i="18"/>
  <c r="K130" i="18"/>
  <c r="L130" i="18"/>
  <c r="M130" i="18"/>
  <c r="N130" i="18"/>
  <c r="O130" i="18"/>
  <c r="B131" i="18"/>
  <c r="D131" i="18"/>
  <c r="E131" i="18"/>
  <c r="F131" i="18"/>
  <c r="G131" i="18"/>
  <c r="H131" i="18"/>
  <c r="J131" i="18"/>
  <c r="K131" i="18"/>
  <c r="L131" i="18"/>
  <c r="M131" i="18"/>
  <c r="N131" i="18"/>
  <c r="O131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1" i="18"/>
  <c r="B151" i="18"/>
  <c r="C151" i="18"/>
  <c r="D151" i="18"/>
  <c r="E151" i="18"/>
  <c r="F151" i="18"/>
  <c r="G151" i="18"/>
  <c r="H151" i="18"/>
  <c r="J151" i="18"/>
  <c r="K151" i="18"/>
  <c r="L151" i="18"/>
  <c r="M151" i="18"/>
  <c r="N151" i="18"/>
  <c r="O151" i="18"/>
  <c r="B152" i="18"/>
  <c r="D152" i="18"/>
  <c r="E152" i="18"/>
  <c r="F152" i="18"/>
  <c r="G152" i="18"/>
  <c r="H152" i="18"/>
  <c r="J152" i="18"/>
  <c r="K152" i="18"/>
  <c r="L152" i="18"/>
  <c r="M152" i="18"/>
  <c r="N152" i="18"/>
  <c r="O152" i="18"/>
  <c r="A174" i="18"/>
  <c r="B174" i="18"/>
  <c r="C174" i="18"/>
  <c r="D174" i="18"/>
  <c r="E174" i="18"/>
  <c r="F174" i="18"/>
  <c r="G174" i="18"/>
  <c r="H174" i="18"/>
  <c r="J174" i="18"/>
  <c r="K174" i="18"/>
  <c r="L174" i="18"/>
  <c r="M174" i="18"/>
  <c r="N174" i="18"/>
  <c r="O174" i="18"/>
  <c r="B175" i="18"/>
  <c r="D175" i="18"/>
  <c r="E175" i="18"/>
  <c r="F175" i="18"/>
  <c r="G175" i="18"/>
  <c r="H175" i="18"/>
  <c r="J175" i="18"/>
  <c r="K175" i="18"/>
  <c r="L175" i="18"/>
  <c r="M175" i="18"/>
  <c r="N175" i="18"/>
  <c r="O175" i="18"/>
  <c r="J32" i="21"/>
  <c r="C10" i="14" l="1"/>
  <c r="D8" i="14"/>
  <c r="D7" i="14"/>
  <c r="C16" i="15"/>
  <c r="D25" i="14" l="1"/>
  <c r="D27" i="14" s="1"/>
  <c r="D29" i="14" s="1"/>
  <c r="C7" i="15"/>
  <c r="C8" i="15"/>
  <c r="C21" i="14"/>
  <c r="S75" i="18" l="1"/>
  <c r="W75" i="18"/>
  <c r="G24" i="21" l="1"/>
  <c r="C32" i="21"/>
  <c r="K14" i="21"/>
  <c r="K37" i="21" l="1"/>
  <c r="J36" i="21"/>
  <c r="E34" i="21" s="1"/>
  <c r="L34" i="21"/>
  <c r="L33" i="21"/>
  <c r="I32" i="21"/>
  <c r="G22" i="21" s="1"/>
  <c r="D32" i="21"/>
  <c r="B32" i="21"/>
  <c r="E32" i="21" s="1"/>
  <c r="D31" i="21"/>
  <c r="B31" i="21"/>
  <c r="E31" i="21" s="1"/>
  <c r="K26" i="21"/>
  <c r="G26" i="21"/>
  <c r="J25" i="21"/>
  <c r="L25" i="21" s="1"/>
  <c r="G25" i="21"/>
  <c r="L24" i="21"/>
  <c r="L23" i="21"/>
  <c r="G14" i="21"/>
  <c r="E14" i="21"/>
  <c r="K11" i="21"/>
  <c r="G11" i="21"/>
  <c r="E11" i="21"/>
  <c r="K10" i="21"/>
  <c r="G10" i="21"/>
  <c r="E10" i="21"/>
  <c r="K9" i="21"/>
  <c r="G9" i="21"/>
  <c r="E9" i="21"/>
  <c r="K8" i="21"/>
  <c r="G8" i="21"/>
  <c r="E8" i="21"/>
  <c r="K36" i="20"/>
  <c r="J36" i="20"/>
  <c r="I36" i="20"/>
  <c r="F36" i="20"/>
  <c r="K35" i="20"/>
  <c r="J35" i="20"/>
  <c r="I35" i="20"/>
  <c r="F35" i="20"/>
  <c r="K34" i="20"/>
  <c r="K37" i="20" s="1"/>
  <c r="F34" i="20"/>
  <c r="F37" i="20" s="1"/>
  <c r="K19" i="20"/>
  <c r="F19" i="20"/>
  <c r="J36" i="19"/>
  <c r="C18" i="20"/>
  <c r="C36" i="20"/>
  <c r="C17" i="20"/>
  <c r="C35" i="20"/>
  <c r="C16" i="20"/>
  <c r="C15" i="20"/>
  <c r="C14" i="20"/>
  <c r="C13" i="20"/>
  <c r="C12" i="20"/>
  <c r="C11" i="20"/>
  <c r="C10" i="20"/>
  <c r="C9" i="20"/>
  <c r="C8" i="20"/>
  <c r="C7" i="20"/>
  <c r="C6" i="20"/>
  <c r="C5" i="20"/>
  <c r="AD121" i="18"/>
  <c r="AC121" i="18"/>
  <c r="AB121" i="18"/>
  <c r="Z121" i="18"/>
  <c r="Y121" i="18"/>
  <c r="V121" i="18"/>
  <c r="AE97" i="18"/>
  <c r="AD97" i="18"/>
  <c r="AC97" i="18"/>
  <c r="AB97" i="18"/>
  <c r="AA97" i="18"/>
  <c r="Z97" i="18"/>
  <c r="Y97" i="18"/>
  <c r="X97" i="18"/>
  <c r="W97" i="18"/>
  <c r="V97" i="18"/>
  <c r="U97" i="18"/>
  <c r="T97" i="18"/>
  <c r="S97" i="18"/>
  <c r="AD92" i="18"/>
  <c r="AC92" i="18"/>
  <c r="AB92" i="18"/>
  <c r="Z92" i="18"/>
  <c r="Y92" i="18"/>
  <c r="R92" i="18"/>
  <c r="Q92" i="18"/>
  <c r="R84" i="18"/>
  <c r="Q84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AE63" i="18"/>
  <c r="AE62" i="18"/>
  <c r="AA60" i="18"/>
  <c r="AE61" i="18"/>
  <c r="AE60" i="18"/>
  <c r="AD60" i="18"/>
  <c r="AC60" i="18"/>
  <c r="AB60" i="18"/>
  <c r="Z60" i="18"/>
  <c r="Y60" i="18"/>
  <c r="X60" i="18"/>
  <c r="W60" i="18"/>
  <c r="V60" i="18"/>
  <c r="U60" i="18"/>
  <c r="T60" i="18"/>
  <c r="S60" i="18"/>
  <c r="AE59" i="18"/>
  <c r="AE58" i="18"/>
  <c r="AE57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S74" i="18" s="1"/>
  <c r="D53" i="18"/>
  <c r="L52" i="18"/>
  <c r="C52" i="18"/>
  <c r="L51" i="18"/>
  <c r="C51" i="18"/>
  <c r="L50" i="18"/>
  <c r="C50" i="18"/>
  <c r="C49" i="18"/>
  <c r="L48" i="18"/>
  <c r="C48" i="18"/>
  <c r="L47" i="18"/>
  <c r="C47" i="18"/>
  <c r="C46" i="18"/>
  <c r="C45" i="18"/>
  <c r="L44" i="18"/>
  <c r="C44" i="18"/>
  <c r="C43" i="18"/>
  <c r="L42" i="18"/>
  <c r="C42" i="18"/>
  <c r="C41" i="18"/>
  <c r="C53" i="18" s="1"/>
  <c r="AD40" i="18"/>
  <c r="AC40" i="18"/>
  <c r="AC90" i="18" s="1"/>
  <c r="AB40" i="18"/>
  <c r="AB41" i="18" s="1"/>
  <c r="Z40" i="18"/>
  <c r="Y40" i="18"/>
  <c r="AA92" i="18"/>
  <c r="X92" i="18"/>
  <c r="W92" i="18"/>
  <c r="V92" i="18"/>
  <c r="U92" i="18"/>
  <c r="T92" i="18"/>
  <c r="AA121" i="18"/>
  <c r="X121" i="18"/>
  <c r="W121" i="18"/>
  <c r="U121" i="18"/>
  <c r="T121" i="18"/>
  <c r="W40" i="18"/>
  <c r="W41" i="18" s="1"/>
  <c r="AA40" i="18"/>
  <c r="X40" i="18"/>
  <c r="X41" i="18" s="1"/>
  <c r="V40" i="18"/>
  <c r="U40" i="18"/>
  <c r="T40" i="18"/>
  <c r="O21" i="18"/>
  <c r="N21" i="18"/>
  <c r="L21" i="18"/>
  <c r="J21" i="18"/>
  <c r="H21" i="18"/>
  <c r="F21" i="18"/>
  <c r="D21" i="18"/>
  <c r="B21" i="18"/>
  <c r="D27" i="15"/>
  <c r="C26" i="15"/>
  <c r="C27" i="15"/>
  <c r="D24" i="15"/>
  <c r="C23" i="15"/>
  <c r="C22" i="15"/>
  <c r="C24" i="15" s="1"/>
  <c r="D21" i="15"/>
  <c r="C20" i="15"/>
  <c r="C19" i="15"/>
  <c r="C21" i="15" s="1"/>
  <c r="C15" i="15"/>
  <c r="C14" i="15"/>
  <c r="C13" i="15"/>
  <c r="C12" i="15"/>
  <c r="C11" i="15"/>
  <c r="D10" i="15"/>
  <c r="C10" i="15"/>
  <c r="C9" i="15"/>
  <c r="D6" i="15"/>
  <c r="D18" i="15" s="1"/>
  <c r="D28" i="15" s="1"/>
  <c r="D4" i="16" s="1"/>
  <c r="C6" i="15"/>
  <c r="C18" i="15" s="1"/>
  <c r="C28" i="15" s="1"/>
  <c r="O2" i="16"/>
  <c r="N2" i="16"/>
  <c r="M2" i="16"/>
  <c r="L2" i="16"/>
  <c r="K2" i="16"/>
  <c r="J2" i="16"/>
  <c r="I2" i="16"/>
  <c r="H2" i="16"/>
  <c r="G2" i="16"/>
  <c r="F2" i="16"/>
  <c r="E2" i="16"/>
  <c r="D4" i="15"/>
  <c r="D2" i="16" s="1"/>
  <c r="C28" i="14"/>
  <c r="C24" i="14"/>
  <c r="C23" i="14"/>
  <c r="C22" i="14"/>
  <c r="C20" i="14"/>
  <c r="C19" i="14"/>
  <c r="C18" i="14"/>
  <c r="C17" i="14"/>
  <c r="C14" i="14"/>
  <c r="C12" i="14"/>
  <c r="C11" i="14"/>
  <c r="C9" i="14"/>
  <c r="C8" i="14" s="1"/>
  <c r="C7" i="14"/>
  <c r="C6" i="14"/>
  <c r="C4" i="14"/>
  <c r="C25" i="14"/>
  <c r="M30" i="20" l="1"/>
  <c r="C27" i="14"/>
  <c r="E9" i="2"/>
  <c r="F28" i="15"/>
  <c r="F4" i="16" s="1"/>
  <c r="L28" i="15"/>
  <c r="L4" i="16" s="1"/>
  <c r="AC75" i="18"/>
  <c r="U75" i="18"/>
  <c r="X75" i="18"/>
  <c r="Y75" i="18"/>
  <c r="Z75" i="18"/>
  <c r="AA75" i="18"/>
  <c r="AD75" i="18"/>
  <c r="V75" i="18"/>
  <c r="I28" i="15"/>
  <c r="I4" i="16" s="1"/>
  <c r="O28" i="15"/>
  <c r="O4" i="16" s="1"/>
  <c r="N28" i="15"/>
  <c r="N4" i="16" s="1"/>
  <c r="M28" i="15"/>
  <c r="M4" i="16" s="1"/>
  <c r="K28" i="15"/>
  <c r="K4" i="16" s="1"/>
  <c r="J28" i="15"/>
  <c r="J4" i="16" s="1"/>
  <c r="H28" i="15"/>
  <c r="H4" i="16" s="1"/>
  <c r="G28" i="15"/>
  <c r="G4" i="16" s="1"/>
  <c r="E28" i="15"/>
  <c r="E4" i="16" s="1"/>
  <c r="I5" i="16"/>
  <c r="K5" i="16"/>
  <c r="L5" i="16"/>
  <c r="I6" i="16"/>
  <c r="K6" i="16"/>
  <c r="AE4" i="18"/>
  <c r="J17" i="18"/>
  <c r="N5" i="18"/>
  <c r="K5" i="18"/>
  <c r="F41" i="18"/>
  <c r="B17" i="18"/>
  <c r="C6" i="18"/>
  <c r="D17" i="18"/>
  <c r="E6" i="18"/>
  <c r="F17" i="18"/>
  <c r="N6" i="18"/>
  <c r="G6" i="18"/>
  <c r="O6" i="18"/>
  <c r="K6" i="18"/>
  <c r="F42" i="18"/>
  <c r="H17" i="18"/>
  <c r="I7" i="18"/>
  <c r="K7" i="18"/>
  <c r="E8" i="18"/>
  <c r="N8" i="18"/>
  <c r="G8" i="18"/>
  <c r="O8" i="18"/>
  <c r="I8" i="18"/>
  <c r="C9" i="18"/>
  <c r="E9" i="18"/>
  <c r="N9" i="18"/>
  <c r="G9" i="18"/>
  <c r="O9" i="18"/>
  <c r="K9" i="18"/>
  <c r="C10" i="18"/>
  <c r="E10" i="18"/>
  <c r="N10" i="18"/>
  <c r="G10" i="18"/>
  <c r="O10" i="18"/>
  <c r="K10" i="18"/>
  <c r="G11" i="18"/>
  <c r="I11" i="18"/>
  <c r="K11" i="18"/>
  <c r="G12" i="18"/>
  <c r="I12" i="18"/>
  <c r="K12" i="18"/>
  <c r="C13" i="18"/>
  <c r="E13" i="18"/>
  <c r="N13" i="18"/>
  <c r="G13" i="18"/>
  <c r="O13" i="18"/>
  <c r="I13" i="18"/>
  <c r="K13" i="18"/>
  <c r="C14" i="18"/>
  <c r="E14" i="18"/>
  <c r="N14" i="18"/>
  <c r="O14" i="18" s="1"/>
  <c r="K14" i="18"/>
  <c r="G15" i="18"/>
  <c r="K15" i="18"/>
  <c r="E16" i="18"/>
  <c r="N16" i="18"/>
  <c r="O16" i="18" s="1"/>
  <c r="I16" i="18"/>
  <c r="K16" i="18"/>
  <c r="F34" i="18"/>
  <c r="N22" i="18"/>
  <c r="G22" i="18"/>
  <c r="J34" i="18"/>
  <c r="O22" i="18"/>
  <c r="K22" i="18"/>
  <c r="B34" i="18"/>
  <c r="C23" i="18"/>
  <c r="N23" i="18"/>
  <c r="G23" i="18"/>
  <c r="O23" i="18"/>
  <c r="K23" i="18"/>
  <c r="J42" i="18"/>
  <c r="D34" i="18"/>
  <c r="E24" i="18"/>
  <c r="S40" i="18"/>
  <c r="S41" i="18" s="1"/>
  <c r="T90" i="18"/>
  <c r="T41" i="18"/>
  <c r="U90" i="18"/>
  <c r="U41" i="18"/>
  <c r="V90" i="18"/>
  <c r="V41" i="18"/>
  <c r="X90" i="18"/>
  <c r="AA90" i="18"/>
  <c r="AA41" i="18"/>
  <c r="G25" i="18"/>
  <c r="H34" i="18"/>
  <c r="I25" i="18"/>
  <c r="G12" i="19"/>
  <c r="E5" i="20" s="1"/>
  <c r="G5" i="20" s="1"/>
  <c r="W90" i="18"/>
  <c r="E26" i="18"/>
  <c r="N26" i="18"/>
  <c r="G26" i="18"/>
  <c r="O26" i="18"/>
  <c r="K26" i="18"/>
  <c r="G13" i="19"/>
  <c r="E6" i="20" s="1"/>
  <c r="G6" i="20" s="1"/>
  <c r="G27" i="18"/>
  <c r="K27" i="18"/>
  <c r="G14" i="19"/>
  <c r="E7" i="20" s="1"/>
  <c r="G7" i="20" s="1"/>
  <c r="C28" i="18"/>
  <c r="I28" i="18"/>
  <c r="G15" i="19"/>
  <c r="E8" i="20" s="1"/>
  <c r="G8" i="20" s="1"/>
  <c r="C29" i="18"/>
  <c r="G29" i="18"/>
  <c r="K29" i="18"/>
  <c r="G16" i="19"/>
  <c r="E9" i="20" s="1"/>
  <c r="G9" i="20" s="1"/>
  <c r="E30" i="18"/>
  <c r="N30" i="18"/>
  <c r="G30" i="18"/>
  <c r="O30" i="18"/>
  <c r="I30" i="18"/>
  <c r="K30" i="18"/>
  <c r="G17" i="19"/>
  <c r="E10" i="20" s="1"/>
  <c r="G10" i="20" s="1"/>
  <c r="E31" i="18"/>
  <c r="N31" i="18"/>
  <c r="O31" i="18" s="1"/>
  <c r="K31" i="18"/>
  <c r="G18" i="19"/>
  <c r="E11" i="20" s="1"/>
  <c r="G11" i="20" s="1"/>
  <c r="G32" i="18"/>
  <c r="S121" i="18"/>
  <c r="T122" i="18"/>
  <c r="V127" i="18"/>
  <c r="U122" i="18"/>
  <c r="X127" i="18"/>
  <c r="W122" i="18"/>
  <c r="X122" i="18"/>
  <c r="AB127" i="18"/>
  <c r="AA122" i="18"/>
  <c r="E33" i="18"/>
  <c r="N33" i="18"/>
  <c r="O33" i="18" s="1"/>
  <c r="I33" i="18"/>
  <c r="K33" i="18"/>
  <c r="S92" i="18"/>
  <c r="T93" i="18"/>
  <c r="V102" i="18"/>
  <c r="U93" i="18"/>
  <c r="V93" i="18"/>
  <c r="X102" i="18"/>
  <c r="W93" i="18"/>
  <c r="X93" i="18"/>
  <c r="AB102" i="18"/>
  <c r="AA93" i="18"/>
  <c r="G21" i="19"/>
  <c r="E14" i="20" s="1"/>
  <c r="G14" i="20" s="1"/>
  <c r="G22" i="19"/>
  <c r="E15" i="20" s="1"/>
  <c r="G15" i="20" s="1"/>
  <c r="G23" i="19"/>
  <c r="E16" i="20" s="1"/>
  <c r="G16" i="20" s="1"/>
  <c r="G24" i="19"/>
  <c r="G25" i="19"/>
  <c r="E17" i="20" s="1"/>
  <c r="G17" i="20" s="1"/>
  <c r="G26" i="19"/>
  <c r="E18" i="20" s="1"/>
  <c r="G18" i="20" s="1"/>
  <c r="Y90" i="18"/>
  <c r="Y41" i="18"/>
  <c r="Z90" i="18"/>
  <c r="Z41" i="18"/>
  <c r="AB90" i="18"/>
  <c r="AC41" i="18"/>
  <c r="AD90" i="18"/>
  <c r="AD41" i="18"/>
  <c r="H53" i="18"/>
  <c r="L41" i="18"/>
  <c r="J41" i="18"/>
  <c r="I41" i="18"/>
  <c r="L43" i="18"/>
  <c r="J43" i="18"/>
  <c r="I43" i="18"/>
  <c r="L45" i="18"/>
  <c r="J45" i="18"/>
  <c r="I45" i="18"/>
  <c r="L46" i="18"/>
  <c r="J46" i="18"/>
  <c r="I46" i="18"/>
  <c r="L49" i="18"/>
  <c r="J49" i="18"/>
  <c r="I49" i="18"/>
  <c r="J55" i="18"/>
  <c r="S64" i="18"/>
  <c r="S65" i="18" s="1"/>
  <c r="T74" i="18"/>
  <c r="T64" i="18"/>
  <c r="T65" i="18" s="1"/>
  <c r="U74" i="18"/>
  <c r="U76" i="18" s="1"/>
  <c r="U64" i="18"/>
  <c r="U65" i="18" s="1"/>
  <c r="V74" i="18"/>
  <c r="V76" i="18" s="1"/>
  <c r="V64" i="18"/>
  <c r="V65" i="18" s="1"/>
  <c r="W74" i="18"/>
  <c r="W76" i="18" s="1"/>
  <c r="W64" i="18"/>
  <c r="X74" i="18"/>
  <c r="X76" i="18" s="1"/>
  <c r="X64" i="18"/>
  <c r="X65" i="18" s="1"/>
  <c r="Y74" i="18"/>
  <c r="Y76" i="18" s="1"/>
  <c r="Y64" i="18"/>
  <c r="Y65" i="18" s="1"/>
  <c r="Z74" i="18"/>
  <c r="Z76" i="18" s="1"/>
  <c r="Z64" i="18"/>
  <c r="Z65" i="18" s="1"/>
  <c r="AA74" i="18"/>
  <c r="AA76" i="18" s="1"/>
  <c r="AA64" i="18"/>
  <c r="AA65" i="18" s="1"/>
  <c r="AB74" i="18"/>
  <c r="AB64" i="18"/>
  <c r="AB65" i="18" s="1"/>
  <c r="AC74" i="18"/>
  <c r="AC76" i="18" s="1"/>
  <c r="AC64" i="18"/>
  <c r="AC65" i="18" s="1"/>
  <c r="AD74" i="18"/>
  <c r="AD76" i="18" s="1"/>
  <c r="AD64" i="18"/>
  <c r="AD65" i="18" s="1"/>
  <c r="AE64" i="18"/>
  <c r="AF56" i="18"/>
  <c r="AF57" i="18"/>
  <c r="AF58" i="18"/>
  <c r="AF59" i="18"/>
  <c r="AF60" i="18"/>
  <c r="AF61" i="18"/>
  <c r="AF62" i="18"/>
  <c r="AF63" i="18"/>
  <c r="Z102" i="18"/>
  <c r="Y93" i="18"/>
  <c r="Z93" i="18"/>
  <c r="AB93" i="18"/>
  <c r="AD102" i="18"/>
  <c r="AC93" i="18"/>
  <c r="AD93" i="18"/>
  <c r="V122" i="18"/>
  <c r="Z127" i="18"/>
  <c r="Y122" i="18"/>
  <c r="Z122" i="18"/>
  <c r="AB122" i="18"/>
  <c r="AD127" i="18"/>
  <c r="AC122" i="18"/>
  <c r="AD122" i="18"/>
  <c r="C4" i="20"/>
  <c r="C19" i="20" s="1"/>
  <c r="I27" i="19"/>
  <c r="I28" i="19" s="1"/>
  <c r="C34" i="20"/>
  <c r="M34" i="20" s="1"/>
  <c r="H27" i="19"/>
  <c r="H29" i="19" s="1"/>
  <c r="M35" i="20"/>
  <c r="G35" i="20"/>
  <c r="M36" i="20"/>
  <c r="G36" i="20"/>
  <c r="D34" i="20"/>
  <c r="D19" i="20"/>
  <c r="M4" i="20"/>
  <c r="M5" i="20"/>
  <c r="M6" i="20"/>
  <c r="I37" i="20"/>
  <c r="H19" i="20"/>
  <c r="M7" i="20"/>
  <c r="M8" i="20"/>
  <c r="J34" i="20"/>
  <c r="J37" i="20" s="1"/>
  <c r="I19" i="20"/>
  <c r="M12" i="20"/>
  <c r="M13" i="20"/>
  <c r="M14" i="20"/>
  <c r="M16" i="20"/>
  <c r="D35" i="20"/>
  <c r="L35" i="20"/>
  <c r="M17" i="20"/>
  <c r="D36" i="20"/>
  <c r="L36" i="20"/>
  <c r="M18" i="20"/>
  <c r="D30" i="21"/>
  <c r="B30" i="21"/>
  <c r="D29" i="21"/>
  <c r="B29" i="21"/>
  <c r="D28" i="21"/>
  <c r="B28" i="21"/>
  <c r="D21" i="21"/>
  <c r="K12" i="21"/>
  <c r="L12" i="21" s="1"/>
  <c r="G12" i="21"/>
  <c r="H12" i="21" s="1"/>
  <c r="E12" i="21"/>
  <c r="F12" i="21" s="1"/>
  <c r="K13" i="21"/>
  <c r="G13" i="21"/>
  <c r="E13" i="21"/>
  <c r="K15" i="21"/>
  <c r="L15" i="21" s="1"/>
  <c r="G15" i="21"/>
  <c r="H15" i="21" s="1"/>
  <c r="E15" i="21"/>
  <c r="F15" i="21" s="1"/>
  <c r="K16" i="21"/>
  <c r="L16" i="21" s="1"/>
  <c r="G16" i="21"/>
  <c r="H16" i="21" s="1"/>
  <c r="E16" i="21"/>
  <c r="F16" i="21" s="1"/>
  <c r="K17" i="21"/>
  <c r="L17" i="21" s="1"/>
  <c r="G17" i="21"/>
  <c r="H17" i="21" s="1"/>
  <c r="E17" i="21"/>
  <c r="F17" i="21" s="1"/>
  <c r="K18" i="21"/>
  <c r="L18" i="21" s="1"/>
  <c r="G18" i="21"/>
  <c r="H18" i="21" s="1"/>
  <c r="E18" i="21"/>
  <c r="F18" i="21" s="1"/>
  <c r="C30" i="21"/>
  <c r="C29" i="21"/>
  <c r="C28" i="21"/>
  <c r="D22" i="21"/>
  <c r="J26" i="21"/>
  <c r="J27" i="21" s="1"/>
  <c r="L22" i="21"/>
  <c r="L26" i="21" s="1"/>
  <c r="L27" i="21" s="1"/>
  <c r="K27" i="21"/>
  <c r="L32" i="21"/>
  <c r="I36" i="21"/>
  <c r="E33" i="21"/>
  <c r="K38" i="21"/>
  <c r="L38" i="20" l="1"/>
  <c r="C29" i="14"/>
  <c r="E10" i="2"/>
  <c r="E20" i="2" s="1"/>
  <c r="I20" i="21"/>
  <c r="J35" i="21" s="1"/>
  <c r="L20" i="21"/>
  <c r="AB75" i="18"/>
  <c r="AB76" i="18" s="1"/>
  <c r="T75" i="18"/>
  <c r="B4" i="14"/>
  <c r="L36" i="21"/>
  <c r="I37" i="21"/>
  <c r="I38" i="21" s="1"/>
  <c r="E20" i="21"/>
  <c r="G20" i="21"/>
  <c r="J20" i="21"/>
  <c r="K20" i="21"/>
  <c r="H20" i="21"/>
  <c r="F20" i="21"/>
  <c r="M15" i="20"/>
  <c r="M11" i="20"/>
  <c r="M10" i="20"/>
  <c r="L34" i="20"/>
  <c r="L37" i="20" s="1"/>
  <c r="M9" i="20"/>
  <c r="M19" i="20"/>
  <c r="D37" i="20"/>
  <c r="C37" i="20"/>
  <c r="M37" i="20"/>
  <c r="G34" i="20"/>
  <c r="G37" i="20" s="1"/>
  <c r="S88" i="18"/>
  <c r="C20" i="20"/>
  <c r="AF64" i="18"/>
  <c r="V88" i="18"/>
  <c r="Y88" i="18" s="1"/>
  <c r="AE67" i="18"/>
  <c r="U88" i="18" s="1"/>
  <c r="W88" i="18" s="1"/>
  <c r="Z88" i="18" s="1"/>
  <c r="AA88" i="18" s="1"/>
  <c r="AE65" i="18"/>
  <c r="S76" i="18"/>
  <c r="AE74" i="18"/>
  <c r="L53" i="18"/>
  <c r="G53" i="18"/>
  <c r="I52" i="18"/>
  <c r="I51" i="18"/>
  <c r="I50" i="18"/>
  <c r="I48" i="18"/>
  <c r="I47" i="18"/>
  <c r="I44" i="18"/>
  <c r="I42" i="18"/>
  <c r="I53" i="18" s="1"/>
  <c r="G20" i="19"/>
  <c r="E13" i="20" s="1"/>
  <c r="G13" i="20" s="1"/>
  <c r="AE92" i="18"/>
  <c r="T102" i="18"/>
  <c r="AE102" i="18" s="1"/>
  <c r="S98" i="18"/>
  <c r="J52" i="18"/>
  <c r="G19" i="19"/>
  <c r="T127" i="18"/>
  <c r="AE127" i="18" s="1"/>
  <c r="AE121" i="18"/>
  <c r="J51" i="18"/>
  <c r="N32" i="18"/>
  <c r="O32" i="18" s="1"/>
  <c r="J50" i="18"/>
  <c r="J48" i="18"/>
  <c r="N29" i="18"/>
  <c r="O29" i="18" s="1"/>
  <c r="J47" i="18"/>
  <c r="N28" i="18"/>
  <c r="O28" i="18" s="1"/>
  <c r="N27" i="18"/>
  <c r="O27" i="18" s="1"/>
  <c r="I34" i="18"/>
  <c r="I32" i="18"/>
  <c r="I31" i="18"/>
  <c r="I29" i="18"/>
  <c r="I27" i="18"/>
  <c r="I26" i="18"/>
  <c r="I24" i="18"/>
  <c r="I23" i="18"/>
  <c r="I22" i="18"/>
  <c r="J44" i="18"/>
  <c r="J53" i="18" s="1"/>
  <c r="N25" i="18"/>
  <c r="O25" i="18" s="1"/>
  <c r="G11" i="19"/>
  <c r="AE40" i="18"/>
  <c r="AF24" i="18"/>
  <c r="S90" i="18"/>
  <c r="N24" i="18"/>
  <c r="O24" i="18" s="1"/>
  <c r="L34" i="18"/>
  <c r="E34" i="18"/>
  <c r="E32" i="18"/>
  <c r="E29" i="18"/>
  <c r="E28" i="18"/>
  <c r="E27" i="18"/>
  <c r="E25" i="18"/>
  <c r="E23" i="18"/>
  <c r="E22" i="18"/>
  <c r="C34" i="18"/>
  <c r="C33" i="18"/>
  <c r="C32" i="18"/>
  <c r="C31" i="18"/>
  <c r="C30" i="18"/>
  <c r="C27" i="18"/>
  <c r="C26" i="18"/>
  <c r="C25" i="18"/>
  <c r="C24" i="18"/>
  <c r="C22" i="18"/>
  <c r="O34" i="18"/>
  <c r="K34" i="18"/>
  <c r="K32" i="18"/>
  <c r="K28" i="18"/>
  <c r="K25" i="18"/>
  <c r="K24" i="18"/>
  <c r="N34" i="18"/>
  <c r="G34" i="18"/>
  <c r="G33" i="18"/>
  <c r="G31" i="18"/>
  <c r="G28" i="18"/>
  <c r="G24" i="18"/>
  <c r="F52" i="18"/>
  <c r="F51" i="18"/>
  <c r="N15" i="18"/>
  <c r="O15" i="18" s="1"/>
  <c r="F50" i="18"/>
  <c r="F49" i="18"/>
  <c r="F48" i="18"/>
  <c r="N12" i="18"/>
  <c r="O12" i="18" s="1"/>
  <c r="F47" i="18"/>
  <c r="N11" i="18"/>
  <c r="O11" i="18" s="1"/>
  <c r="F46" i="18"/>
  <c r="F45" i="18"/>
  <c r="F44" i="18"/>
  <c r="F43" i="18"/>
  <c r="L17" i="18"/>
  <c r="L19" i="18" s="1"/>
  <c r="N7" i="18"/>
  <c r="O7" i="18" s="1"/>
  <c r="H36" i="18"/>
  <c r="H18" i="18"/>
  <c r="I17" i="18"/>
  <c r="I15" i="18"/>
  <c r="I14" i="18"/>
  <c r="I10" i="18"/>
  <c r="I9" i="18"/>
  <c r="I6" i="18"/>
  <c r="I5" i="18"/>
  <c r="F36" i="18"/>
  <c r="F18" i="18"/>
  <c r="G17" i="18"/>
  <c r="G16" i="18"/>
  <c r="G14" i="18"/>
  <c r="G7" i="18"/>
  <c r="G5" i="18"/>
  <c r="D36" i="18"/>
  <c r="D18" i="18"/>
  <c r="E17" i="18"/>
  <c r="E15" i="18"/>
  <c r="E12" i="18"/>
  <c r="E11" i="18"/>
  <c r="E7" i="18"/>
  <c r="E5" i="18"/>
  <c r="B36" i="18"/>
  <c r="C17" i="18"/>
  <c r="C16" i="18"/>
  <c r="C15" i="18"/>
  <c r="C12" i="18"/>
  <c r="C11" i="18"/>
  <c r="C8" i="18"/>
  <c r="C7" i="18"/>
  <c r="C5" i="18"/>
  <c r="F53" i="18"/>
  <c r="N17" i="18"/>
  <c r="O5" i="18"/>
  <c r="O17" i="18" s="1"/>
  <c r="J18" i="18"/>
  <c r="K17" i="18"/>
  <c r="K8" i="18"/>
  <c r="J11" i="19"/>
  <c r="H5" i="16"/>
  <c r="H6" i="16" s="1"/>
  <c r="G5" i="16"/>
  <c r="G6" i="16" s="1"/>
  <c r="F5" i="16"/>
  <c r="F6" i="16" s="1"/>
  <c r="E5" i="16"/>
  <c r="E6" i="16" s="1"/>
  <c r="D5" i="16"/>
  <c r="E12" i="20" l="1"/>
  <c r="G12" i="20" s="1"/>
  <c r="C5" i="16"/>
  <c r="E11" i="2"/>
  <c r="H35" i="19"/>
  <c r="E4" i="20"/>
  <c r="G23" i="21"/>
  <c r="G27" i="21"/>
  <c r="O5" i="16"/>
  <c r="O6" i="16" s="1"/>
  <c r="AE75" i="18"/>
  <c r="T76" i="18"/>
  <c r="N5" i="16"/>
  <c r="N6" i="16" s="1"/>
  <c r="M5" i="16"/>
  <c r="M6" i="16" s="1"/>
  <c r="J5" i="16"/>
  <c r="J6" i="16" s="1"/>
  <c r="D6" i="16"/>
  <c r="K11" i="19"/>
  <c r="O36" i="18"/>
  <c r="O18" i="18"/>
  <c r="N36" i="18"/>
  <c r="N18" i="18"/>
  <c r="L36" i="18"/>
  <c r="L18" i="18"/>
  <c r="M17" i="18"/>
  <c r="M5" i="18"/>
  <c r="M6" i="18"/>
  <c r="M16" i="18"/>
  <c r="M15" i="18"/>
  <c r="M14" i="18"/>
  <c r="M13" i="18"/>
  <c r="M12" i="18"/>
  <c r="M11" i="18"/>
  <c r="M10" i="18"/>
  <c r="M9" i="18"/>
  <c r="M8" i="18"/>
  <c r="M7" i="18"/>
  <c r="M34" i="18"/>
  <c r="M22" i="18"/>
  <c r="M23" i="18"/>
  <c r="M33" i="18"/>
  <c r="M32" i="18"/>
  <c r="M31" i="18"/>
  <c r="M30" i="18"/>
  <c r="M29" i="18"/>
  <c r="M28" i="18"/>
  <c r="M27" i="18"/>
  <c r="M26" i="18"/>
  <c r="M25" i="18"/>
  <c r="M24" i="18"/>
  <c r="S93" i="18"/>
  <c r="S122" i="18"/>
  <c r="AE90" i="18"/>
  <c r="AE41" i="18"/>
  <c r="AF40" i="18"/>
  <c r="AF25" i="18"/>
  <c r="AF26" i="18"/>
  <c r="AF27" i="18"/>
  <c r="AF28" i="18"/>
  <c r="AF29" i="18"/>
  <c r="AF30" i="18"/>
  <c r="AF31" i="18"/>
  <c r="AF34" i="18"/>
  <c r="AF35" i="18"/>
  <c r="AF36" i="18"/>
  <c r="AF37" i="18"/>
  <c r="AF38" i="18"/>
  <c r="AF39" i="18"/>
  <c r="AF33" i="18"/>
  <c r="AF32" i="18"/>
  <c r="G27" i="19"/>
  <c r="H34" i="19" s="1"/>
  <c r="L11" i="19"/>
  <c r="C35" i="19"/>
  <c r="AE124" i="18"/>
  <c r="AE122" i="18"/>
  <c r="T124" i="18"/>
  <c r="U124" i="18"/>
  <c r="W124" i="18"/>
  <c r="X124" i="18"/>
  <c r="AA124" i="18"/>
  <c r="V124" i="18"/>
  <c r="Y124" i="18"/>
  <c r="Z124" i="18"/>
  <c r="AB124" i="18"/>
  <c r="AC124" i="18"/>
  <c r="AD124" i="18"/>
  <c r="S124" i="18"/>
  <c r="L19" i="19"/>
  <c r="AE93" i="18"/>
  <c r="T98" i="18"/>
  <c r="U98" i="18"/>
  <c r="V98" i="18"/>
  <c r="W98" i="18"/>
  <c r="X98" i="18"/>
  <c r="AA98" i="18"/>
  <c r="Y98" i="18"/>
  <c r="Z98" i="18"/>
  <c r="AB98" i="18"/>
  <c r="AC98" i="18"/>
  <c r="AD98" i="18"/>
  <c r="L20" i="19"/>
  <c r="E35" i="20"/>
  <c r="H35" i="20" s="1"/>
  <c r="E36" i="20"/>
  <c r="H36" i="20" s="1"/>
  <c r="AE76" i="18"/>
  <c r="T88" i="18"/>
  <c r="C29" i="2" l="1"/>
  <c r="C17" i="2"/>
  <c r="C16" i="2"/>
  <c r="C15" i="2"/>
  <c r="E14" i="2"/>
  <c r="E30" i="2"/>
  <c r="U14" i="18"/>
  <c r="U19" i="18"/>
  <c r="U18" i="18"/>
  <c r="U17" i="18"/>
  <c r="U16" i="18"/>
  <c r="U15" i="18"/>
  <c r="U13" i="18"/>
  <c r="U12" i="18"/>
  <c r="U11" i="18"/>
  <c r="U10" i="18"/>
  <c r="U9" i="18"/>
  <c r="U8" i="18"/>
  <c r="U7" i="18"/>
  <c r="U6" i="18"/>
  <c r="U5" i="18"/>
  <c r="V14" i="18"/>
  <c r="V19" i="18"/>
  <c r="V18" i="18"/>
  <c r="V17" i="18"/>
  <c r="V16" i="18"/>
  <c r="V15" i="18"/>
  <c r="V13" i="18"/>
  <c r="V12" i="18"/>
  <c r="V11" i="18"/>
  <c r="V10" i="18"/>
  <c r="V9" i="18"/>
  <c r="V8" i="18"/>
  <c r="V7" i="18"/>
  <c r="V6" i="18"/>
  <c r="V5" i="18"/>
  <c r="W14" i="18"/>
  <c r="W19" i="18"/>
  <c r="W18" i="18"/>
  <c r="W17" i="18"/>
  <c r="W16" i="18"/>
  <c r="W15" i="18"/>
  <c r="W13" i="18"/>
  <c r="W12" i="18"/>
  <c r="W11" i="18"/>
  <c r="W10" i="18"/>
  <c r="W9" i="18"/>
  <c r="W8" i="18"/>
  <c r="W7" i="18"/>
  <c r="W6" i="18"/>
  <c r="W5" i="18"/>
  <c r="X14" i="18"/>
  <c r="X19" i="18"/>
  <c r="X18" i="18"/>
  <c r="X17" i="18"/>
  <c r="X16" i="18"/>
  <c r="X15" i="18"/>
  <c r="X13" i="18"/>
  <c r="X12" i="18"/>
  <c r="X11" i="18"/>
  <c r="X10" i="18"/>
  <c r="X9" i="18"/>
  <c r="X8" i="18"/>
  <c r="X7" i="18"/>
  <c r="X6" i="18"/>
  <c r="X5" i="18"/>
  <c r="Y14" i="18"/>
  <c r="Y19" i="18"/>
  <c r="Y18" i="18"/>
  <c r="Y17" i="18"/>
  <c r="Y16" i="18"/>
  <c r="Y15" i="18"/>
  <c r="Y13" i="18"/>
  <c r="Y12" i="18"/>
  <c r="Y11" i="18"/>
  <c r="Y10" i="18"/>
  <c r="Y9" i="18"/>
  <c r="Y8" i="18"/>
  <c r="Y7" i="18"/>
  <c r="Y6" i="18"/>
  <c r="Y5" i="18"/>
  <c r="Z19" i="18"/>
  <c r="Z18" i="18"/>
  <c r="Z17" i="18"/>
  <c r="Z16" i="18"/>
  <c r="Z15" i="18"/>
  <c r="Z14" i="18"/>
  <c r="Z13" i="18"/>
  <c r="Z12" i="18"/>
  <c r="Z11" i="18"/>
  <c r="Z10" i="18"/>
  <c r="Z9" i="18"/>
  <c r="Z8" i="18"/>
  <c r="Z7" i="18"/>
  <c r="Z6" i="18"/>
  <c r="Z5" i="18"/>
  <c r="AA19" i="18"/>
  <c r="AA18" i="18"/>
  <c r="AA17" i="18"/>
  <c r="AA16" i="18"/>
  <c r="AA15" i="18"/>
  <c r="AA14" i="18"/>
  <c r="AA13" i="18"/>
  <c r="AA12" i="18"/>
  <c r="AA11" i="18"/>
  <c r="AA10" i="18"/>
  <c r="AA9" i="18"/>
  <c r="AA8" i="18"/>
  <c r="AA7" i="18"/>
  <c r="AA6" i="18"/>
  <c r="AA5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C19" i="18"/>
  <c r="AC18" i="18"/>
  <c r="AC17" i="18"/>
  <c r="AC16" i="18"/>
  <c r="AC15" i="18"/>
  <c r="AC14" i="18"/>
  <c r="AC13" i="18"/>
  <c r="AC12" i="18"/>
  <c r="AC11" i="18"/>
  <c r="AC10" i="18"/>
  <c r="AC9" i="18"/>
  <c r="AC8" i="18"/>
  <c r="AC7" i="18"/>
  <c r="AC6" i="18"/>
  <c r="AC5" i="18"/>
  <c r="AD19" i="18"/>
  <c r="AD18" i="18"/>
  <c r="AD17" i="18"/>
  <c r="AD16" i="18"/>
  <c r="AD15" i="18"/>
  <c r="AD14" i="18"/>
  <c r="AD13" i="18"/>
  <c r="AD12" i="18"/>
  <c r="AD11" i="18"/>
  <c r="AD10" i="18"/>
  <c r="AD9" i="18"/>
  <c r="AD8" i="18"/>
  <c r="AD7" i="18"/>
  <c r="AD6" i="18"/>
  <c r="AD5" i="18"/>
  <c r="T14" i="18"/>
  <c r="T19" i="18"/>
  <c r="T18" i="18"/>
  <c r="T17" i="18"/>
  <c r="T16" i="18"/>
  <c r="T15" i="18"/>
  <c r="T13" i="18"/>
  <c r="T12" i="18"/>
  <c r="T11" i="18"/>
  <c r="T10" i="18"/>
  <c r="T9" i="18"/>
  <c r="T8" i="18"/>
  <c r="T7" i="18"/>
  <c r="T6" i="18"/>
  <c r="T5" i="18"/>
  <c r="S14" i="18"/>
  <c r="AE14" i="18" s="1"/>
  <c r="S19" i="18"/>
  <c r="S18" i="18"/>
  <c r="S17" i="18"/>
  <c r="S16" i="18"/>
  <c r="S15" i="18"/>
  <c r="S13" i="18"/>
  <c r="S12" i="18"/>
  <c r="S11" i="18"/>
  <c r="S10" i="18"/>
  <c r="S9" i="18"/>
  <c r="S8" i="18"/>
  <c r="S7" i="18"/>
  <c r="S6" i="18"/>
  <c r="S5" i="18"/>
  <c r="E19" i="20"/>
  <c r="G4" i="20"/>
  <c r="G29" i="21"/>
  <c r="H29" i="21" s="1"/>
  <c r="G28" i="21"/>
  <c r="L35" i="21"/>
  <c r="L37" i="21" s="1"/>
  <c r="L38" i="21" s="1"/>
  <c r="J37" i="21"/>
  <c r="J38" i="21" s="1"/>
  <c r="G29" i="19"/>
  <c r="C34" i="19"/>
  <c r="L26" i="19"/>
  <c r="L25" i="19"/>
  <c r="L24" i="19"/>
  <c r="L23" i="19"/>
  <c r="L22" i="19"/>
  <c r="L21" i="19"/>
  <c r="L18" i="19"/>
  <c r="L17" i="19"/>
  <c r="L16" i="19"/>
  <c r="L15" i="19"/>
  <c r="L14" i="19"/>
  <c r="L13" i="19"/>
  <c r="L12" i="19"/>
  <c r="L27" i="19" s="1"/>
  <c r="E34" i="20"/>
  <c r="G19" i="20"/>
  <c r="U84" i="18"/>
  <c r="U20" i="18"/>
  <c r="V84" i="18"/>
  <c r="V20" i="18"/>
  <c r="W84" i="18"/>
  <c r="W20" i="18"/>
  <c r="X84" i="18"/>
  <c r="X20" i="18"/>
  <c r="Y84" i="18"/>
  <c r="Y20" i="18"/>
  <c r="Z84" i="18"/>
  <c r="Z20" i="18"/>
  <c r="AA84" i="18"/>
  <c r="AA20" i="18"/>
  <c r="AB84" i="18"/>
  <c r="AB20" i="18"/>
  <c r="AC84" i="18"/>
  <c r="AC20" i="18"/>
  <c r="AD84" i="18"/>
  <c r="AD20" i="18"/>
  <c r="T84" i="18"/>
  <c r="T20" i="18"/>
  <c r="AE5" i="18" l="1"/>
  <c r="S20" i="18"/>
  <c r="J13" i="19"/>
  <c r="K13" i="19" s="1"/>
  <c r="AE6" i="18"/>
  <c r="J14" i="19"/>
  <c r="K14" i="19" s="1"/>
  <c r="AE7" i="18"/>
  <c r="J15" i="19"/>
  <c r="K15" i="19" s="1"/>
  <c r="AE8" i="18"/>
  <c r="J16" i="19"/>
  <c r="K16" i="19" s="1"/>
  <c r="AE9" i="18"/>
  <c r="J17" i="19"/>
  <c r="K17" i="19" s="1"/>
  <c r="AE10" i="18"/>
  <c r="J18" i="19"/>
  <c r="K18" i="19" s="1"/>
  <c r="AE11" i="18"/>
  <c r="J19" i="19"/>
  <c r="K19" i="19" s="1"/>
  <c r="S117" i="18"/>
  <c r="S112" i="18"/>
  <c r="AE12" i="18"/>
  <c r="J20" i="19"/>
  <c r="K20" i="19" s="1"/>
  <c r="S84" i="18"/>
  <c r="AE13" i="18"/>
  <c r="J21" i="19"/>
  <c r="K21" i="19" s="1"/>
  <c r="J22" i="19"/>
  <c r="K22" i="19" s="1"/>
  <c r="AE15" i="18"/>
  <c r="J23" i="19"/>
  <c r="K23" i="19" s="1"/>
  <c r="AE16" i="18"/>
  <c r="J24" i="19"/>
  <c r="K24" i="19" s="1"/>
  <c r="AE17" i="18"/>
  <c r="J25" i="19"/>
  <c r="K25" i="19" s="1"/>
  <c r="AE18" i="18"/>
  <c r="J26" i="19"/>
  <c r="K26" i="19" s="1"/>
  <c r="AE19" i="18"/>
  <c r="T82" i="18"/>
  <c r="T117" i="18"/>
  <c r="T112" i="18"/>
  <c r="T113" i="18" s="1"/>
  <c r="T105" i="18"/>
  <c r="T85" i="18"/>
  <c r="AD82" i="18"/>
  <c r="AD117" i="18"/>
  <c r="AD112" i="18"/>
  <c r="AD113" i="18" s="1"/>
  <c r="AD105" i="18"/>
  <c r="AD85" i="18"/>
  <c r="AC82" i="18"/>
  <c r="AD22" i="18"/>
  <c r="AC117" i="18"/>
  <c r="AC112" i="18"/>
  <c r="AC113" i="18" s="1"/>
  <c r="AC105" i="18"/>
  <c r="AC85" i="18"/>
  <c r="AB82" i="18"/>
  <c r="AB117" i="18"/>
  <c r="AB112" i="18"/>
  <c r="AB113" i="18" s="1"/>
  <c r="AB105" i="18"/>
  <c r="AB85" i="18"/>
  <c r="AA82" i="18"/>
  <c r="AB22" i="18"/>
  <c r="AA117" i="18"/>
  <c r="AA112" i="18"/>
  <c r="AA113" i="18" s="1"/>
  <c r="AA105" i="18"/>
  <c r="AA85" i="18"/>
  <c r="Z82" i="18"/>
  <c r="Z117" i="18"/>
  <c r="Z112" i="18"/>
  <c r="Z113" i="18" s="1"/>
  <c r="Z105" i="18"/>
  <c r="Z85" i="18"/>
  <c r="Y82" i="18"/>
  <c r="Z22" i="18"/>
  <c r="Y117" i="18"/>
  <c r="Y112" i="18"/>
  <c r="Y113" i="18" s="1"/>
  <c r="Y105" i="18"/>
  <c r="Y85" i="18"/>
  <c r="X82" i="18"/>
  <c r="X117" i="18"/>
  <c r="X112" i="18"/>
  <c r="X113" i="18" s="1"/>
  <c r="X105" i="18"/>
  <c r="X85" i="18"/>
  <c r="W82" i="18"/>
  <c r="X22" i="18"/>
  <c r="W117" i="18"/>
  <c r="W112" i="18"/>
  <c r="W113" i="18" s="1"/>
  <c r="W105" i="18"/>
  <c r="W85" i="18"/>
  <c r="V82" i="18"/>
  <c r="V117" i="18"/>
  <c r="V112" i="18"/>
  <c r="V113" i="18" s="1"/>
  <c r="V105" i="18"/>
  <c r="V85" i="18"/>
  <c r="U82" i="18"/>
  <c r="V22" i="18"/>
  <c r="U117" i="18"/>
  <c r="U112" i="18"/>
  <c r="U113" i="18" s="1"/>
  <c r="U105" i="18"/>
  <c r="U85" i="18"/>
  <c r="E37" i="20"/>
  <c r="H38" i="20" s="1"/>
  <c r="H34" i="20"/>
  <c r="H37" i="20" s="1"/>
  <c r="AE84" i="18" l="1"/>
  <c r="S105" i="18"/>
  <c r="AE112" i="18"/>
  <c r="AE117" i="18"/>
  <c r="S82" i="18"/>
  <c r="T22" i="18"/>
  <c r="AE22" i="18" s="1"/>
  <c r="AE20" i="18"/>
  <c r="J12" i="19"/>
  <c r="AF21" i="18" l="1"/>
  <c r="K12" i="19"/>
  <c r="J27" i="19"/>
  <c r="AE82" i="18"/>
  <c r="AE21" i="18"/>
  <c r="AF4" i="18"/>
  <c r="AE98" i="18"/>
  <c r="T21" i="18"/>
  <c r="AD21" i="18"/>
  <c r="AC21" i="18"/>
  <c r="AB21" i="18"/>
  <c r="AA21" i="18"/>
  <c r="Z21" i="18"/>
  <c r="Y21" i="18"/>
  <c r="X21" i="18"/>
  <c r="W21" i="18"/>
  <c r="V21" i="18"/>
  <c r="U21" i="18"/>
  <c r="AF19" i="18"/>
  <c r="AF18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S21" i="18"/>
  <c r="AF5" i="18"/>
  <c r="S85" i="18"/>
  <c r="S113" i="18"/>
  <c r="AE113" i="18"/>
  <c r="AE105" i="18"/>
  <c r="AE85" i="18"/>
  <c r="S51" i="18" l="1"/>
  <c r="S49" i="18"/>
  <c r="S47" i="18"/>
  <c r="S46" i="18"/>
  <c r="S45" i="18"/>
  <c r="S50" i="18"/>
  <c r="U51" i="18"/>
  <c r="U49" i="18"/>
  <c r="U47" i="18"/>
  <c r="U46" i="18"/>
  <c r="U45" i="18"/>
  <c r="U50" i="18"/>
  <c r="V51" i="18"/>
  <c r="V49" i="18"/>
  <c r="V47" i="18"/>
  <c r="V46" i="18"/>
  <c r="V45" i="18"/>
  <c r="V50" i="18"/>
  <c r="W51" i="18"/>
  <c r="W49" i="18"/>
  <c r="W47" i="18"/>
  <c r="W46" i="18"/>
  <c r="W45" i="18"/>
  <c r="W50" i="18"/>
  <c r="X51" i="18"/>
  <c r="X49" i="18"/>
  <c r="X47" i="18"/>
  <c r="X46" i="18"/>
  <c r="X45" i="18"/>
  <c r="X50" i="18"/>
  <c r="Y51" i="18"/>
  <c r="Y49" i="18"/>
  <c r="Y47" i="18"/>
  <c r="Y46" i="18"/>
  <c r="Y45" i="18"/>
  <c r="Y50" i="18"/>
  <c r="Z51" i="18"/>
  <c r="Z49" i="18"/>
  <c r="Z47" i="18"/>
  <c r="Z46" i="18"/>
  <c r="Z45" i="18"/>
  <c r="Z50" i="18"/>
  <c r="AA51" i="18"/>
  <c r="AA49" i="18"/>
  <c r="AA47" i="18"/>
  <c r="AA46" i="18"/>
  <c r="AA45" i="18"/>
  <c r="AA50" i="18"/>
  <c r="AB51" i="18"/>
  <c r="AB49" i="18"/>
  <c r="AB47" i="18"/>
  <c r="AB46" i="18"/>
  <c r="AB45" i="18"/>
  <c r="AB50" i="18"/>
  <c r="AC51" i="18"/>
  <c r="AC49" i="18"/>
  <c r="AC47" i="18"/>
  <c r="AC46" i="18"/>
  <c r="AC45" i="18"/>
  <c r="AC50" i="18"/>
  <c r="AD51" i="18"/>
  <c r="AD49" i="18"/>
  <c r="AD47" i="18"/>
  <c r="AD46" i="18"/>
  <c r="AD45" i="18"/>
  <c r="AD50" i="18"/>
  <c r="T51" i="18"/>
  <c r="T49" i="18"/>
  <c r="T47" i="18"/>
  <c r="T46" i="18"/>
  <c r="T45" i="18"/>
  <c r="T50" i="18"/>
  <c r="U48" i="18"/>
  <c r="U44" i="18"/>
  <c r="V48" i="18"/>
  <c r="V44" i="18"/>
  <c r="W48" i="18"/>
  <c r="W44" i="18"/>
  <c r="X48" i="18"/>
  <c r="X44" i="18"/>
  <c r="Y48" i="18"/>
  <c r="Y44" i="18"/>
  <c r="Z48" i="18"/>
  <c r="Z44" i="18"/>
  <c r="AA48" i="18"/>
  <c r="AA44" i="18"/>
  <c r="AB48" i="18"/>
  <c r="AB44" i="18"/>
  <c r="AC48" i="18"/>
  <c r="AC44" i="18"/>
  <c r="AD48" i="18"/>
  <c r="AD44" i="18"/>
  <c r="T48" i="18"/>
  <c r="T44" i="18"/>
  <c r="AF20" i="18"/>
  <c r="T52" i="18" l="1"/>
  <c r="T53" i="18" s="1"/>
  <c r="AD52" i="18"/>
  <c r="AD53" i="18" s="1"/>
  <c r="AC52" i="18"/>
  <c r="AC53" i="18" s="1"/>
  <c r="AB52" i="18"/>
  <c r="AB53" i="18" s="1"/>
  <c r="AA52" i="18"/>
  <c r="AA53" i="18" s="1"/>
  <c r="Z52" i="18"/>
  <c r="Z53" i="18" s="1"/>
  <c r="Y52" i="18"/>
  <c r="Y53" i="18" s="1"/>
  <c r="X52" i="18"/>
  <c r="X53" i="18" s="1"/>
  <c r="W52" i="18"/>
  <c r="W53" i="18" s="1"/>
  <c r="V52" i="18"/>
  <c r="V53" i="18" s="1"/>
  <c r="U52" i="18"/>
  <c r="U53" i="18" s="1"/>
  <c r="T54" i="18"/>
  <c r="AD54" i="18"/>
  <c r="AC54" i="18"/>
  <c r="AB54" i="18"/>
  <c r="AA54" i="18"/>
  <c r="Z54" i="18"/>
  <c r="Y54" i="18"/>
  <c r="X54" i="18"/>
  <c r="W54" i="18"/>
  <c r="V54" i="18"/>
  <c r="U54" i="18"/>
  <c r="AE45" i="18"/>
  <c r="S44" i="18"/>
  <c r="AE46" i="18"/>
  <c r="AE47" i="18"/>
  <c r="AE49" i="18"/>
  <c r="S48" i="18"/>
  <c r="S52" i="18" s="1"/>
  <c r="S53" i="18" s="1"/>
  <c r="AE50" i="18"/>
  <c r="AE51" i="18"/>
  <c r="AE48" i="18" l="1"/>
  <c r="AE44" i="18"/>
  <c r="AE52" i="18" s="1"/>
  <c r="AE53" i="18" l="1"/>
  <c r="S54" i="18"/>
  <c r="AE54" i="18" s="1"/>
  <c r="AE55" i="18" s="1"/>
  <c r="L6" i="16" l="1"/>
  <c r="C6" i="16"/>
</calcChain>
</file>

<file path=xl/sharedStrings.xml><?xml version="1.0" encoding="utf-8"?>
<sst xmlns="http://schemas.openxmlformats.org/spreadsheetml/2006/main" count="6224" uniqueCount="2914">
  <si>
    <t>Prefeitura Municipal de Cacapava do Sul - RS</t>
  </si>
  <si>
    <t>Relatório Resumido da Execução Orçamentária</t>
  </si>
  <si>
    <t>Demonstrativo Simplificado do Relatório Resumido da Execução Orçamentária</t>
  </si>
  <si>
    <t>Orçamentos Fiscal e da Seguridade Social</t>
  </si>
  <si>
    <t>RREO - Anexo 14 (LRF, Art. 48)</t>
  </si>
  <si>
    <t>Em Reais</t>
  </si>
  <si>
    <t>BALANÇO ORÇAMENTÁRIO</t>
  </si>
  <si>
    <t>2º Bimestre</t>
  </si>
  <si>
    <t>3º Bimestre</t>
  </si>
  <si>
    <t>4º Bimestre</t>
  </si>
  <si>
    <t>Até o bimestre</t>
  </si>
  <si>
    <t>RECEITAS</t>
  </si>
  <si>
    <t>Previsão Inicial</t>
  </si>
  <si>
    <t>Previsão Atualizada</t>
  </si>
  <si>
    <t>Receitas Realizadas</t>
  </si>
  <si>
    <t>Déficit Orçamentário</t>
  </si>
  <si>
    <t>Saldos de Exercícios Anteriores(Utilizados para Créditos Adicionais)</t>
  </si>
  <si>
    <t>DESPESAS</t>
  </si>
  <si>
    <t>Dotação Inicial</t>
  </si>
  <si>
    <t>Dotação Atualizada</t>
  </si>
  <si>
    <t>Despesas Empenhadas</t>
  </si>
  <si>
    <t>Despesas Liquidadas</t>
  </si>
  <si>
    <t>Despesas Pagas</t>
  </si>
  <si>
    <t>Superávit Orçamentário</t>
  </si>
  <si>
    <t>DESPESAS POR FUNÇÃO/SUBFUNÇÃO</t>
  </si>
  <si>
    <t>RCL apurada p/ Contabilidade¹</t>
  </si>
  <si>
    <t>RECEITA CORRENTE LÍQUIDA - RCL</t>
  </si>
  <si>
    <t>Receita Corrente Líquida</t>
  </si>
  <si>
    <t>Receita Corrente Líquida Ajustada para Cálculo dos Limites de Endividamento</t>
  </si>
  <si>
    <t>¹Receita Corrente Líquida Ajustada para Cálculo dos Limites da Despesa c/ Pessoal</t>
  </si>
  <si>
    <t>RECEITAS E DESPESAS DO REGIME PRÓPRIO DE PREVIDÊNCIA DOS SERVIDORES</t>
  </si>
  <si>
    <t>1º Bimestre</t>
  </si>
  <si>
    <t>Fundo em Capitalização (PLANO PREVIDENCIÁRIO)</t>
  </si>
  <si>
    <t>Receitas Previdenciárias Realizadas</t>
  </si>
  <si>
    <t>Despesas Previdenciárias Empenhadas</t>
  </si>
  <si>
    <t>Despesas Previdenciárias Liquidadas</t>
  </si>
  <si>
    <t>Despesas Previdenciárias Pagas</t>
  </si>
  <si>
    <t>Resultado Previdenciário</t>
  </si>
  <si>
    <t>Fundo em Repartição (PLANO FINANCEIRO)</t>
  </si>
  <si>
    <t>RESULTADOS PRIMÁRIO E NOMINAL</t>
  </si>
  <si>
    <t>Meta Fixada no</t>
  </si>
  <si>
    <t>Resultado Apurado</t>
  </si>
  <si>
    <t>% em Relação à Meta</t>
  </si>
  <si>
    <t>Anexo de Metas</t>
  </si>
  <si>
    <t>Até o Bimestre</t>
  </si>
  <si>
    <t>Fiscais da LDO</t>
  </si>
  <si>
    <t>(a)</t>
  </si>
  <si>
    <t>(b)</t>
  </si>
  <si>
    <t>RESTOS A PAGAR POR PODER E MINISTÉRIO PÚBLICO</t>
  </si>
  <si>
    <t>Inscrição</t>
  </si>
  <si>
    <t>Cancelamento</t>
  </si>
  <si>
    <t>Pagamento</t>
  </si>
  <si>
    <t>Saldo</t>
  </si>
  <si>
    <t>a Pagar</t>
  </si>
  <si>
    <t>RESTOS A PAGAR PROCESSADOS</t>
  </si>
  <si>
    <t>Poder Executivo</t>
  </si>
  <si>
    <t>Poder Legislativo</t>
  </si>
  <si>
    <t>RESTOS A PAGAR NÃO-PROCESSADOS</t>
  </si>
  <si>
    <t>TOTAL</t>
  </si>
  <si>
    <t>DESPESAS COM MANUTENÇÃO E DESENVOLVIMENTO DO ENSINO</t>
  </si>
  <si>
    <t>Limites Constitucionais Anuais²</t>
  </si>
  <si>
    <t>Valor Apurado</t>
  </si>
  <si>
    <t>% Mínimo a</t>
  </si>
  <si>
    <t>% Aplicado Até o</t>
  </si>
  <si>
    <t>Aplicar no Exercício</t>
  </si>
  <si>
    <t>Bimestre</t>
  </si>
  <si>
    <t>²Mínimo Anual de 25% das Receitas de Impostos na Manutenção e Desenvolvimento do Ensino</t>
  </si>
  <si>
    <t>Mínimo Anual de 70% do FUNDEB na Remuneração dos Profissionais da Educação Básica</t>
  </si>
  <si>
    <t>Percentual de 50% da Complementação da União ao FUNDEB (VAAT) na Educação Infantil</t>
  </si>
  <si>
    <t>Mínimo de 15% da Complementação da União ao FUNDEB (VAAT) em Despesas de Capital</t>
  </si>
  <si>
    <t>RECEITAS DE OPERAÇÕES DE CRÉDITO E DESPESAS DE CAPITAL</t>
  </si>
  <si>
    <t>Valor apurado até o bimestre</t>
  </si>
  <si>
    <t>Saldo Não Realizado</t>
  </si>
  <si>
    <t>Receitas de Operações de Crédito</t>
  </si>
  <si>
    <t>Despesas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</si>
  <si>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</si>
  <si>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</si>
  <si>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</si>
  <si>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</si>
  <si>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</si>
  <si>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Previdênciário</t>
  </si>
  <si>
    <t>Receitas Previdenciárias</t>
  </si>
  <si>
    <t>Despesas Previdenciárias</t>
  </si>
  <si>
    <t>Plano Financeiro</t>
  </si>
  <si>
    <t>RECEITAS DA ALIENAÇÃO DE ATIVOS E APLICAÇÃO DOS RECURSOS</t>
  </si>
  <si>
    <t>Valor apurado no Exercício</t>
  </si>
  <si>
    <t>Saldo a Realizar</t>
  </si>
  <si>
    <t>Receitas Da Alienação de Ativos</t>
  </si>
  <si>
    <t>Aplicação dos Recursos da Alienação de Ativos</t>
  </si>
  <si>
    <t>Limite Constitucional Anual</t>
  </si>
  <si>
    <t>DESPESAS COM AÇÕES E SERVIÇOS PÚBLICOS DE SAÚDE</t>
  </si>
  <si>
    <t>% Aplicado Até o Bimestre</t>
  </si>
  <si>
    <t>Aplicar no exercicio</t>
  </si>
  <si>
    <t>³Despesas com Ações e Serviços Públicos de Saúde executadas com recursos de impostos</t>
  </si>
  <si>
    <t>15%</t>
  </si>
  <si>
    <t>DESPESAS DE CARÁTER CONTINUADO DERIVADAS DE PPP</t>
  </si>
  <si>
    <t>Valor Apurado no Exercício Corrente</t>
  </si>
  <si>
    <t>Total das Despesas Consideradas para o Limite / RCL (%)</t>
  </si>
  <si>
    <t>Arlei Lopes Souza</t>
  </si>
  <si>
    <t>Prefeito Municipal</t>
  </si>
  <si>
    <t>Secret. de Município da Fazenda</t>
  </si>
  <si>
    <t>Contador - CRC/RS: 068452/O-6</t>
  </si>
  <si>
    <t>PREFEITURA MUNICIPAL DE CACAPAVA DO SUL - RS  -  PODER EXECUTIVO</t>
  </si>
  <si>
    <t>RELATÓRIO DE GESTÃO FISCAL</t>
  </si>
  <si>
    <t>DEMONSTRATIVO SIMPLIFICADO DO RELATÓRIO DE GESTÃO FISCAL</t>
  </si>
  <si>
    <t>ORÇAMENTOS FISCAL E DA SEGURIDADE SOCIAL</t>
  </si>
  <si>
    <t>LRF, Art. 48 - Anexo 6</t>
  </si>
  <si>
    <t>R$ 1,00</t>
  </si>
  <si>
    <t>RECEITA CORRENTE LÍQUIDA</t>
  </si>
  <si>
    <t>VALOR ATÉ O QUADRIMESTRE/SEMESTRE</t>
  </si>
  <si>
    <t>Receita Corrente líquida</t>
  </si>
  <si>
    <t>Receita Corrente Líquida Ajustada para Cálculo dos Limites da Despesa com Pessoal</t>
  </si>
  <si>
    <t>DESPESA COM PESSOAL</t>
  </si>
  <si>
    <t>VALOR</t>
  </si>
  <si>
    <t>% SOBRE A RCL AJUSTADA</t>
  </si>
  <si>
    <t>Despesa Total com Pessoal DTP</t>
  </si>
  <si>
    <t>Limite Máximo (incisos I,II e III, art. 20 da LRF) - 54,00%</t>
  </si>
  <si>
    <t>Limite Prudencial (§ único, art. 22 da LRF) - 51,30%</t>
  </si>
  <si>
    <t>Limite de Alerta (inciso II do §1º do art. 59 da LRF) - 48,60%</t>
  </si>
  <si>
    <t>DÍVIDA CONSOLIDADA</t>
  </si>
  <si>
    <t>VALOR ATÉ O QUADRIMESTRE DE REFERÊNCIA</t>
  </si>
  <si>
    <t>Limite Definido por Resolução do Senado Federal</t>
  </si>
  <si>
    <t>GARANTIAS DE VALORES</t>
  </si>
  <si>
    <t>Total das Garantias Concedidas</t>
  </si>
  <si>
    <t>OPERAÇÕES DE CRÉDITO</t>
  </si>
  <si>
    <t>Operações de Crédito Internas e Externas</t>
  </si>
  <si>
    <t>Limite Definido pelo Senado Federal para Operações de</t>
  </si>
  <si>
    <t>Crédito Externas e Internas</t>
  </si>
  <si>
    <t>Operações de Crédito por Antecipação da Receita</t>
  </si>
  <si>
    <t>Crédito por Antecipação da Receita</t>
  </si>
  <si>
    <t>RESTOS A PAGAR</t>
  </si>
  <si>
    <t>RESTOS A PAGAR EMPENHADOS E NÃO LIQUIDADOS DO EXERCÍCIO</t>
  </si>
  <si>
    <t>DISPONIBILIDADE DE CAIXA LÍQUIDA (APÓS A INSCRIÇÃO EM RESTOS A PAGAR NÃO PROCESSADOS DO EXERCÍCIO)</t>
  </si>
  <si>
    <t>Fonte: SIAFIC/Cálculos da Contabilidade.</t>
  </si>
  <si>
    <t>Prefeitura Municipal de Cacapava do Sul-RS</t>
  </si>
  <si>
    <t>Página 1 de 3</t>
  </si>
  <si>
    <t>Balanço Orçamentário</t>
  </si>
  <si>
    <t>Orçamento Fiscal e da Seguridade Socials</t>
  </si>
  <si>
    <t>RREO - Anexo 1 (LRF, Art. 52, inciso I, alineas "a" e "b" do inciso II e §1º)</t>
  </si>
  <si>
    <t>PREVISÃO INICIAL</t>
  </si>
  <si>
    <t>PREVISÃO ATUALIZADA
(a)</t>
  </si>
  <si>
    <t>RECEITAS REALIZADAS</t>
  </si>
  <si>
    <t>SALDO
(a-c)</t>
  </si>
  <si>
    <t>No Bimestre
(b)</t>
  </si>
  <si>
    <t>%
(b/a)</t>
  </si>
  <si>
    <t>Até o Bimestre
(c)</t>
  </si>
  <si>
    <t>%
(c/a)</t>
  </si>
  <si>
    <t>RECEITAS (EXCETO INTRA-ORÇAMENTÁRIAS) (I)</t>
  </si>
  <si>
    <t>RECEITAS CORRENTES</t>
  </si>
  <si>
    <t>IMPOSTOS, TAXAS E CONTRIBUIÇÕES DE MELHORIA</t>
  </si>
  <si>
    <t>Impostos</t>
  </si>
  <si>
    <t>Taxas</t>
  </si>
  <si>
    <t>Contribuição de Melhoria</t>
  </si>
  <si>
    <t>CONTRIBUIÇÕES</t>
  </si>
  <si>
    <t>Contribuições Sociais</t>
  </si>
  <si>
    <t>Contribuição para o Custeio do Serviço de Iluminação Pública</t>
  </si>
  <si>
    <t>RECEITA PATRIMONIAL</t>
  </si>
  <si>
    <t>Exploração do Patrimônio Imobiliário do Estado</t>
  </si>
  <si>
    <t>Valores Mobiliários</t>
  </si>
  <si>
    <t>-</t>
  </si>
  <si>
    <t>RECEITA AGROPECUÁRIA</t>
  </si>
  <si>
    <t>RECEITA DE SERVIÇOS</t>
  </si>
  <si>
    <t>Serviços e Atividades referentes à Saúde</t>
  </si>
  <si>
    <t>Serviços e Atividades Financeiras</t>
  </si>
  <si>
    <t>TRANSFERÊNCIAS CORRENTES</t>
  </si>
  <si>
    <t>Transferências da União e de suas Entidades</t>
  </si>
  <si>
    <t>Transferências dos Estados e do Distrito Federal e de suas Entidades</t>
  </si>
  <si>
    <t>Transferências de Outras Instituições Públicas</t>
  </si>
  <si>
    <t>OUTRAS RECEITAS CORRENTES</t>
  </si>
  <si>
    <t>Multas Administrativas, Contratuais e Judiciais</t>
  </si>
  <si>
    <t>Indenizações, Restituições e Ressarcimentos</t>
  </si>
  <si>
    <t>Bens, Direitos e Valores Incorporados ao Patrimônio Público</t>
  </si>
  <si>
    <t>Multas e Juros de Mora das Receitas de Capital</t>
  </si>
  <si>
    <t>Demais Receitas Correntes</t>
  </si>
  <si>
    <t>RECEITAS DE CAPITAL</t>
  </si>
  <si>
    <t>Operações de Crédito - Mercado Interno</t>
  </si>
  <si>
    <t>RECEITAS (INTRA-ORÇAMENTÁRIAS) (II)</t>
  </si>
  <si>
    <t>Página 2 de 3</t>
  </si>
  <si>
    <t>SUBTOTAL DAS RECEITAS (III) = (I + II)</t>
  </si>
  <si>
    <t>TOTAL DAS RECEITAS (V) = (III + IV)</t>
  </si>
  <si>
    <t>DÉFICIT (VI)</t>
  </si>
  <si>
    <t>TOTAL COM DÉFICIT (VII) = (V + VI)</t>
  </si>
  <si>
    <t>SALDOS DE EXERCÍCIOS ANTERIORES</t>
  </si>
  <si>
    <t>Recursos Arrecadados em Exercícios Anteriores - RPPS</t>
  </si>
  <si>
    <t>Superávit Financeiro Utilizado para Créditos Adicionais</t>
  </si>
  <si>
    <t>DOTAÇÃO
INICIAL
(d)</t>
  </si>
  <si>
    <t>DOTAÇÃO ATUALIZADA
(e)</t>
  </si>
  <si>
    <t>DESPESAS EMPENHADAS</t>
  </si>
  <si>
    <t>SALDO
(g)=(e-f)</t>
  </si>
  <si>
    <t>DESPESAS LIQUIDADAS</t>
  </si>
  <si>
    <t>SALDO
(i)=(e-h)</t>
  </si>
  <si>
    <t>DESPESAS PAGAS ATÉ O BIMESTRE
(j)</t>
  </si>
  <si>
    <t>INSCRITAS EM RESTOS A PAGAR NÃO PROCESSADOS
(k)</t>
  </si>
  <si>
    <t>No Bimestre</t>
  </si>
  <si>
    <t>Até o Bimestre
(f)</t>
  </si>
  <si>
    <t>Até o Bimestre
(h)</t>
  </si>
  <si>
    <t>DESPESAS (EXCETO INTRAORÇAMENTÁRIAS) (VIII)</t>
  </si>
  <si>
    <t>DESPESAS CORRENTES</t>
  </si>
  <si>
    <t>PESSOAL E ENCARGOS SOCIAIS</t>
  </si>
  <si>
    <t>JUROS E ENCARGOS DA DÍVIDA</t>
  </si>
  <si>
    <t>OUTRAS DESPESAS CORRENTES</t>
  </si>
  <si>
    <t>DESPESAS DE CAPITAL</t>
  </si>
  <si>
    <t>INVESTIMENTOS</t>
  </si>
  <si>
    <t>INVERSÕES FINANCEIRAS</t>
  </si>
  <si>
    <t>AMORTIZAÇÃO DA DÍVIDA</t>
  </si>
  <si>
    <t>RESERVA DE CONTINGÊNCIA</t>
  </si>
  <si>
    <t>DESPESAS (INTRAORÇAMENTÁRIAS) (IX)</t>
  </si>
  <si>
    <t>SUBTOTAL DAS DESPESAS (X) = (VIII + IX)</t>
  </si>
  <si>
    <t>AMORTIZAÇÃO DA DÍV. / REFINANCIAMENTO (XI)</t>
  </si>
  <si>
    <t>Amortização da Dívida Interna</t>
  </si>
  <si>
    <t>Amortização da Dívida Externa</t>
  </si>
  <si>
    <t>TOTAL DAS DESPESAS (XII) = (X + XI)</t>
  </si>
  <si>
    <t>SUPERÁVIT (XIII)</t>
  </si>
  <si>
    <t>TOTAL COM SUPERÁVIT (XIV) = (XII + XIII)</t>
  </si>
  <si>
    <t>RESERVA DO RPPS</t>
  </si>
  <si>
    <t>RECEITAS INTRAORÇAMENTÁRIAS</t>
  </si>
  <si>
    <t>Página 3 de 3</t>
  </si>
  <si>
    <t>DESPESAS INTRAORÇAMENTÁRIAS</t>
  </si>
  <si>
    <t>1 O déficit será apurado pela diferença entre a receita realizada e a despesa liquidada nos cinco primeiros bimestres e a despesa empenhada no último bimestre.</t>
  </si>
  <si>
    <t>Orçamento Fiscal e da Seguridade Social</t>
  </si>
  <si>
    <t>SALDO</t>
  </si>
  <si>
    <t>%</t>
  </si>
  <si>
    <t xml:space="preserve"> </t>
  </si>
  <si>
    <t>(c)=(a-b)</t>
  </si>
  <si>
    <t>(d)</t>
  </si>
  <si>
    <t>Demonstrativo dos Resultados Primário e Nominal</t>
  </si>
  <si>
    <t>RREO - ANEXO VI(LRF, art. 53, inciso III)</t>
  </si>
  <si>
    <t>ACIMA DA LINHA</t>
  </si>
  <si>
    <t>RECEITAS PRIMÁRIAS</t>
  </si>
  <si>
    <t>RECEITAS CORRENTES (EXCETO FONTES RPPS) (I)</t>
  </si>
  <si>
    <t>Impostos, Taxas e Contribuições de Melhoria</t>
  </si>
  <si>
    <t>IPTU</t>
  </si>
  <si>
    <t>ISS</t>
  </si>
  <si>
    <t>ITBI</t>
  </si>
  <si>
    <t>IRRF</t>
  </si>
  <si>
    <t>Outros Impostos, Taxas, e Contribuições de Melhoria</t>
  </si>
  <si>
    <t>Contribuições</t>
  </si>
  <si>
    <t>Receita Patrimonial</t>
  </si>
  <si>
    <t>Aplicações Financeiras (II)</t>
  </si>
  <si>
    <t>Outras Receitas Patrimoniais</t>
  </si>
  <si>
    <t>Transferências Correntes</t>
  </si>
  <si>
    <t>Cota-Parte do FPM</t>
  </si>
  <si>
    <t>Cota-Parte do ICMS</t>
  </si>
  <si>
    <t>Cota-Parte do IPVA</t>
  </si>
  <si>
    <t>Cota-Parte do ITR</t>
  </si>
  <si>
    <t>Transferências da LC 61/1989</t>
  </si>
  <si>
    <t>Transferências do FUNDEB</t>
  </si>
  <si>
    <t>Outras Transferências Correntes</t>
  </si>
  <si>
    <t>Outras Receitas Financeiras (III)</t>
  </si>
  <si>
    <t>Receitas Correntes Restantes</t>
  </si>
  <si>
    <t>RECEITAS PRIMÁRIAS CORRENTES (EXCETO FONTES RPPS) (IV) = [I - (II + III)]</t>
  </si>
  <si>
    <t>RECEITAS PRIMÁRIAS CORRENTES (COM FONTES RPPS) (V)</t>
  </si>
  <si>
    <t>RECEITAS NÃO PRIMÁRIAS CORRENTES (COM FONTES RPPS) (VI)</t>
  </si>
  <si>
    <t>RECEITAS DE CAPITAL (EXCETO FONTES RPPS) (VII)</t>
  </si>
  <si>
    <t>Operações de Crédito (VIII)</t>
  </si>
  <si>
    <t>Amortização de Empréstimos (IX)</t>
  </si>
  <si>
    <t>Alienação de Bens</t>
  </si>
  <si>
    <t>Receitas de Alienação de Investimentos Temporários (X)</t>
  </si>
  <si>
    <t>Receitas de Alienação de Investimentos Permanentes (XI)</t>
  </si>
  <si>
    <t>Outras Alienações de Bens</t>
  </si>
  <si>
    <t>Transferências de Capital</t>
  </si>
  <si>
    <t>Convênios</t>
  </si>
  <si>
    <t>Outras Transferências de Capital</t>
  </si>
  <si>
    <t>Outras Receitas de Capital</t>
  </si>
  <si>
    <t>Outras Receitas de Capital Não Primárias (XII)</t>
  </si>
  <si>
    <t>Outras Receitas de Capital Primárias</t>
  </si>
  <si>
    <t>RECEITAS PRIMÁRIAS DE CAPITAL (EXCETO FONTES RPPS) (XIII) = [VII - (VIII + IX + X + XI + XII)]</t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</si>
  <si>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</si>
  <si>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</si>
  <si>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</si>
  <si>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</si>
  <si>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DESPESAS PRIMÁRIAS</t>
  </si>
  <si>
    <t>Restos a Pagar Processados Pagos</t>
  </si>
  <si>
    <t>Restos a Pagar não Processados</t>
  </si>
  <si>
    <t>Liquidados</t>
  </si>
  <si>
    <t>Pagos (c)</t>
  </si>
  <si>
    <t>DESPESAS CORRENTES (EXCETO FONTES RPPS) (XVIII)</t>
  </si>
  <si>
    <t>Pessoal e Encargos Sociais</t>
  </si>
  <si>
    <t>Juros e Encargos da Dívida (XIX)</t>
  </si>
  <si>
    <t>Outras Despesas Correntes</t>
  </si>
  <si>
    <t>DESPESAS PRIMÁRIAS CORRENTES (EXCETO FONTES RPPS) (XX) = (XVIII - XIX)</t>
  </si>
  <si>
    <t>DESPESAS PRIMÁRIAS CORRENTES (COM FONTES RPPS) (XXI)</t>
  </si>
  <si>
    <t>DESPESAS NÃO PRIMÁRIAS CORRENTES (COM FONTES RPPS) (XXII)</t>
  </si>
  <si>
    <t>DESPESAS DE CAPITAL (EXCETO FONTES RPPS) (XXIII)</t>
  </si>
  <si>
    <t>Investimentos</t>
  </si>
  <si>
    <t>Inversões Financeiras</t>
  </si>
  <si>
    <t>Concessão de Empréstimos e Financiamentos (XXIV)</t>
  </si>
  <si>
    <t>Aquisição de Título de Capital já Integralizado (XXV)</t>
  </si>
  <si>
    <t>Aquisição de Título de Crédito (XXVI)</t>
  </si>
  <si>
    <t>Demais Inversões Financeiras</t>
  </si>
  <si>
    <t>Amortização da Dívida (XXVII)</t>
  </si>
  <si>
    <t>DESPESAS PRIMÁRIAS DE CAPITAL (EXCETO FONTES RPPS) (XXVIII) = [XXIII - (XXIV + XXV + XXVI + XXVII)]</t>
  </si>
  <si>
    <t>RESERVA DE CONTINGÊNCIA (XXIX)</t>
  </si>
  <si>
    <t>DESPESAS PRIMÁRIAS DE CAPITAL (COM FONTES RPSS) (XXX)</t>
  </si>
  <si>
    <t>DESPESAS NÃO PRIMÁRIAS DE CAPITAL (COM FONTES RPPS) (XXXI)</t>
  </si>
  <si>
    <t>DESPESA PRIMÁRIA TOTAL (XXXII) = (XX + XXI + XXVIII + XXIX + XXX)</t>
  </si>
  <si>
    <t>DESPESA PRIMÁRIA TOTAL (EXCETO FONTES RPPS) (XXXIII) = (XX + XXVIII + XXIX)</t>
  </si>
  <si>
    <t>RESULTADO PRIMÁRIO (COM RPPS) - Acima da Linha (XXXIV) = [XVIa - (XXXIIa + XXXIIb + XXXIIc)]</t>
  </si>
  <si>
    <t>RESULTADO PRIMÁRIO (SEM RPPS) - Acima da Linha (XXXV) = [XVIIa - (XXXIIIa + XXXIIIb + XXXIIIc)]</t>
  </si>
  <si>
    <t>META FISCAL PARA O RESULTADO PRIMÁRIO</t>
  </si>
  <si>
    <t>VALOR CORRENTE</t>
  </si>
  <si>
    <t>Meta fixada no Anexo de Metas Fiscais da LDO para o exercício de referência</t>
  </si>
  <si>
    <t>JUROS NOMINAIS</t>
  </si>
  <si>
    <t>VALOR INCORRIDO</t>
  </si>
  <si>
    <t>Juros, Encargos e Variações Monetárias Ativos (XXXVI)</t>
  </si>
  <si>
    <t>Juros, Encargos e Variações Monetárias Passivos (XXXVII)</t>
  </si>
  <si>
    <t>RESULTADO NOMINAL (SEM RPPS) - Acima da Linha (XXXVIII) =  XXXV + (XXXVI - XXXVII)</t>
  </si>
  <si>
    <t>ABAIXO DA LINHA</t>
  </si>
  <si>
    <t>CÁLCULO DO RESULTADO NOMINAL</t>
  </si>
  <si>
    <t>DÍVIDA CONSOLIDADA (XXIX)</t>
  </si>
  <si>
    <t>DEDUÇÕES (XL)</t>
  </si>
  <si>
    <t>Disponibilidade de Caixa</t>
  </si>
  <si>
    <t>Disponibilidade de Caixa Bruta</t>
  </si>
  <si>
    <t>(-) Restos a Pagar Processados (XLI)</t>
  </si>
  <si>
    <t>(-) Depósitos Restituíveis e Valores Vinculados</t>
  </si>
  <si>
    <t>Demais Haveres Financeiros</t>
  </si>
  <si>
    <t>DÍVIDA CONSOLIDADA LÍQUIDA (XLII) = (XXXIX - XL)</t>
  </si>
  <si>
    <t>RESULTADO NOMINAL (SEM RPPS) - Abaixo da Linha (XLIII) = (XLIIa - XLIIb)</t>
  </si>
  <si>
    <t>META FISCAL PARA O RESULTADO NOMINAL</t>
  </si>
  <si>
    <t>Meta fixada no Anexo de Metas Fiscais da LDO para o exercício</t>
  </si>
  <si>
    <t>AJUSTE METODOLÓGICO</t>
  </si>
  <si>
    <t>RECEITA DE ALIENAÇÃO DE INVESTIMENTOS PERMANENTES (XLV) = (XI)</t>
  </si>
  <si>
    <t>VARIAÇÃO CAMBIAL (XLVI)</t>
  </si>
  <si>
    <t>VARIAÇÃO DO SALDO DE PRECATÓRIOS INTEGRANTES DA DC (XLVII)</t>
  </si>
  <si>
    <t>VARIAÇÃO DO SALDO DAS DEMAIS OBRIGAÇÕES INTEGRANTES DA DC (XLVIII)</t>
  </si>
  <si>
    <t>OUTROS AJUSTES (XLXIX)</t>
  </si>
  <si>
    <t>RESULTADO PRIMÁRIO (SEM RPPS) - Abaixo da Linha (LI) = (L) - (XXXVI - XXXVII)</t>
  </si>
  <si>
    <t>INFORMAÇÕES ADICIONAIS</t>
  </si>
  <si>
    <t>PREVISÃO ORÇAMENTÁRIA</t>
  </si>
  <si>
    <t>SALDO DE EXERCÍCIOS ANTERIORES</t>
  </si>
  <si>
    <t>Superávit Financeiro Utilizado para Abertura e Reabertura de Créditos Adicionais</t>
  </si>
  <si>
    <t>RESERVA ORÇAMENTÁRIA DO RPPS</t>
  </si>
  <si>
    <t>Página 1 de 5</t>
  </si>
  <si>
    <t>RELATÓRIO RESUMIDO DA EXECUÇÃO ORÇAMENTÁRIA</t>
  </si>
  <si>
    <t>DEMONSTRATIVO DAS RECEITAS E DESPESAS PREVIDENCIÁRIAS</t>
  </si>
  <si>
    <t>ORÇAMENTO FISCAL E DA SEGURIDADE SOCIAL</t>
  </si>
  <si>
    <t>RREO - Anexo 4 (LRF, Art. 53, inciso II)</t>
  </si>
  <si>
    <t>REGIME PRÓPRIO DE PREVIDÊNCIA DOS SERVIDORES - RPPS</t>
  </si>
  <si>
    <t>FUNDO EM CAPITALIZAÇÃO (PLANO PREVIDENCIÁRIO)</t>
  </si>
  <si>
    <t>RECEITAS PREVIDENCIÁRIAS - RPPS (FUNDO EM CAPITALIZAÇÃO)</t>
  </si>
  <si>
    <t>PREVISÃO 
ATUALIZADA
(a)</t>
  </si>
  <si>
    <t>RECEITAS REALIZADAS
Até o Bimestre
(b)</t>
  </si>
  <si>
    <t>RECEITAS CORRENTES (I)</t>
  </si>
  <si>
    <t>Receita de Contribuições dos Segurados</t>
  </si>
  <si>
    <t>Ativo</t>
  </si>
  <si>
    <t>Inativo</t>
  </si>
  <si>
    <t>Pensionista</t>
  </si>
  <si>
    <t>Receita de Contribuições Patronais</t>
  </si>
  <si>
    <t>Receitas Imobiliárias</t>
  </si>
  <si>
    <t>Receitas de Valores Mobiliários</t>
  </si>
  <si>
    <t>Receita de Serviços</t>
  </si>
  <si>
    <t>Outras Receitas Correntes</t>
  </si>
  <si>
    <t>Compensação Financeira entre os regimes</t>
  </si>
  <si>
    <t>Receitas de Aportes Periódicos para Amortização de Déficit Atuarial do RPPS (II)¹</t>
  </si>
  <si>
    <t>RECEITAS DE CAPITAL (III)</t>
  </si>
  <si>
    <t>Alienação de Bens, Direitos e Ativos</t>
  </si>
  <si>
    <t>Amortização de Empréstimos</t>
  </si>
  <si>
    <t>TOTAL DAS RECEITAS DO FUNDO EM CAPITALIZAÇÃO - (IV) = (I+III-II)</t>
  </si>
  <si>
    <t>DESPESAS PREVIDENCIÁRIAS - RPPS (FUNDO EM CAPITALIZAÇÃO)</t>
  </si>
  <si>
    <t>DOTAÇÃO ATUALIZADA
(c)</t>
  </si>
  <si>
    <t>DESPESAS 
EMPENHADAS
Até o Bimestre
(d)</t>
  </si>
  <si>
    <t>DESPESAS 
LIQUIDADAS
Até o Bimestre
(e)</t>
  </si>
  <si>
    <t>DESPESAS 
PAGAS
Até o Bimestre
(f)</t>
  </si>
  <si>
    <t>INSCRITAS EM RESTOS A
PAGAR NÃO PROCESSADOS
No Exercício
(g)</t>
  </si>
  <si>
    <t>Benefícios</t>
  </si>
  <si>
    <t>Aposentadorias</t>
  </si>
  <si>
    <t>Pensões por Morte</t>
  </si>
  <si>
    <t>Outras Despesas Previdenciárias</t>
  </si>
  <si>
    <t>Demais Despesas Previdenciárias</t>
  </si>
  <si>
    <t>TOTAL DAS DESPESAS DO FUNDO EM CAPITALIZAÇÃO (V)</t>
  </si>
  <si>
    <t>RESULTADO PREVIDENCIÁRIO - FUNDO EM CAPITALIZAÇÃO (VI) = (IV – V)²</t>
  </si>
  <si>
    <t>Página 2 de 5</t>
  </si>
  <si>
    <t>RECURSOS RPPS ARRECADADOS EM EXERCÍCIOS ANTERIORES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</si>
  <si>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</si>
  <si>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</si>
  <si>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</si>
  <si>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</si>
  <si>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</si>
  <si>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</si>
  <si>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(FUNDO EM CAPITALIZAÇÃO)</t>
  </si>
  <si>
    <t>SALDO ATUAL</t>
  </si>
  <si>
    <t>Caixa e Equivalentes de Caixa</t>
  </si>
  <si>
    <t>Investimentos e Aplicações</t>
  </si>
  <si>
    <t>Outros Bens e Direitos</t>
  </si>
  <si>
    <t>Página 3 de 5</t>
  </si>
  <si>
    <t>FUNDO EM REPARTIÇÃO (PLANO FINANCEIRO)</t>
  </si>
  <si>
    <t>RECEITAS PREVIDENCIÁRIAS - RPPS (FUNDO EM REPARTIÇÃO)</t>
  </si>
  <si>
    <t>RECEITAS CORRENTES (VII)</t>
  </si>
  <si>
    <t>RECEITAS DE CAPITAL (VIII)</t>
  </si>
  <si>
    <t>TOTAL DAS RECEITAS DO FUNDO EM REPARTIÇÃO  (IX) = (VII + VIII)</t>
  </si>
  <si>
    <t>DESPESAS PREVIDENCIÁRIAS - RPPS (FUNDO EM REPARTIÇÃO)</t>
  </si>
  <si>
    <t>DESPESAS 
PAGAS
Até o Bimestre
(e)</t>
  </si>
  <si>
    <t>TOTAL DAS DESPESAS DO FUNDO EM REPARTIÇÃO (X)</t>
  </si>
  <si>
    <t>RESULTADO PREVIDENCIÁRIO - FUNDO EM REPARTIÇÃO (XI) = (IX – X)²</t>
  </si>
  <si>
    <t>Página 4 de 5</t>
  </si>
  <si>
    <t>APORTES DE RECURSOS PARA O FUNDO EM REPARTIÇÃO DO RPPS</t>
  </si>
  <si>
    <t>Recursos para Cobertura de Insuficiências Financeiras</t>
  </si>
  <si>
    <t>Recursos para Formação de Reserva</t>
  </si>
  <si>
    <t>BENS E DIREITOS DO RPPS (FUNDO EM REPARTIÇÃO)</t>
  </si>
  <si>
    <t>RECEITAS DA ADMINISTRAÇÃO - RPPS</t>
  </si>
  <si>
    <t>Receitas Correntes</t>
  </si>
  <si>
    <t>TOTAL DAS RECEITAS DA ADMINISTRAÇÃO RPPS (XII)</t>
  </si>
  <si>
    <t>DESPESAS DA ADMINISTRAÇÃO - RPPS</t>
  </si>
  <si>
    <t>DOTAÇÃO 
ATUALIZADA
(c)</t>
  </si>
  <si>
    <t>Despesas Correntes (XIII)</t>
  </si>
  <si>
    <t>Demais Despesas Correntes</t>
  </si>
  <si>
    <t>Despesas de Capital (XIV)</t>
  </si>
  <si>
    <t>TOTAL DAS DESPESAS DA ADMINISTRAÇÃO RPPS (XV) = (XIII + XIV)</t>
  </si>
  <si>
    <t>RESULTADO DA ADMINISTRAÇÃO RPPS (XVI) = (XII – XV)²</t>
  </si>
  <si>
    <t>BENS E DIREITOS - ADMINISTRAÇÃO DO RPPS</t>
  </si>
  <si>
    <t>BENEFICIOS PREVIDENCIÁRIOS MANTIDOS PELO TESOURO</t>
  </si>
  <si>
    <t>RECEITAS PREVIDENCIÁRIAS (BENEFÍCIOS MANTIDOS PELO TESOURO)</t>
  </si>
  <si>
    <t>Contribuições dos Servidores</t>
  </si>
  <si>
    <t>Demais receitas Previdenciárias</t>
  </si>
  <si>
    <t>TOTAL DAS RECEITAS (BENEFÍCIOS MANTIDOS PELO TESOURO) (XVII)</t>
  </si>
  <si>
    <t>Página 5 de 5</t>
  </si>
  <si>
    <t>DESPESAS PREVIDENCIARIAS (BENEFÍCIOS MANTIDOS PELO TESOURO)</t>
  </si>
  <si>
    <t>Pensões</t>
  </si>
  <si>
    <t>TOTAL DAS DESPESAS (BENEFÍCIOS MANTIDOS PELO TESOURO) (XVIII)</t>
  </si>
  <si>
    <t>RESULTADO DOS BENEFÍCIOS MANTIDOS PELO TESOURO (XIX) = (XVII - XVIII)²</t>
  </si>
  <si>
    <t>1 Como a Portaria MPS 746/2011 determina que os recursos provenientes desses aportes devem permanecer aplicados, no mínimo, por 5 (cinco) anos, essa receita não deverá compor o total das receitas previdenciárias do período de apuração
2 O resultado previdenciário será apresentada por meio da diferença entre previsão da receita e a dotação da despesa e entre a receita realizada e a despesa liquidada (do 1º ao 5º bimestre) e a despesa empenhada (no 6º bimestre)</t>
  </si>
  <si>
    <t>Demonstrativo dos Restos a Pagar por Poder e Órgão</t>
  </si>
  <si>
    <t>RREO - ANEXO 7 (LRF, art.53, inciso V)</t>
  </si>
  <si>
    <t>PODER/ÓRGÃO</t>
  </si>
  <si>
    <t>RESTOS A PAGAR NÃO PROCESSADOS</t>
  </si>
  <si>
    <t>Saldo Total</t>
  </si>
  <si>
    <t>Inscritos</t>
  </si>
  <si>
    <t>Pagos</t>
  </si>
  <si>
    <t>Cancelados</t>
  </si>
  <si>
    <t>Em Exercícios</t>
  </si>
  <si>
    <t>Em 31 de</t>
  </si>
  <si>
    <t>Anteriores</t>
  </si>
  <si>
    <t>(c)</t>
  </si>
  <si>
    <t>e=(a+b)-(c+d)</t>
  </si>
  <si>
    <t>(f)</t>
  </si>
  <si>
    <t>(g)</t>
  </si>
  <si>
    <t>(i)</t>
  </si>
  <si>
    <t>(j)</t>
  </si>
  <si>
    <t>k=(f+g)-(i+j)</t>
  </si>
  <si>
    <t>L=(e+k)</t>
  </si>
  <si>
    <t>RESTOS A PAGAR(EXCETO INTRA-ORÇAMENTÁRIOS) (I)</t>
  </si>
  <si>
    <t>PODER EXECUTIVO</t>
  </si>
  <si>
    <t>PODER LEGISLATIVO</t>
  </si>
  <si>
    <t>RESTOS A PAGAR(INTRA-ORÇAMENTÁRIOS) (II)</t>
  </si>
  <si>
    <t>TOTAL (III) = (I+II)</t>
  </si>
  <si>
    <t>FUNDEB</t>
  </si>
  <si>
    <t>Despesas de Capital</t>
  </si>
  <si>
    <t>Página 1 de 1</t>
  </si>
  <si>
    <t>PREVISÃO ATUALIZADA</t>
  </si>
  <si>
    <t>DOTAÇÃO ATUALIZADA</t>
  </si>
  <si>
    <t>LIQUIDADAS</t>
  </si>
  <si>
    <t>(e)</t>
  </si>
  <si>
    <t>Amortização da Dívida</t>
  </si>
  <si>
    <t>PREFEITURA MUNICIPAL DE CACAPAVA DO SUL - RS</t>
  </si>
  <si>
    <t>DEMONSTRATIVO DA RECEITA DE ALIENAÇÃO DE ATIVOS E APLICAÇÃO DOS RECURSOS</t>
  </si>
  <si>
    <t>RREO - ANEXO 11 (LRF, art. 53, § 1º, inciso III)</t>
  </si>
  <si>
    <t>RECEITAS DE ALIENAÇÃO DE ATIVOS (I)</t>
  </si>
  <si>
    <t>Receita de Alienação de Bens Móveis</t>
  </si>
  <si>
    <t>Receita de Alienação de Bens Imóveis</t>
  </si>
  <si>
    <t>Receita de Alienação de Bens Intangíveis</t>
  </si>
  <si>
    <t>Receita de Rendimentos de Aplicações Financeiras</t>
  </si>
  <si>
    <t>PAGAMENTO</t>
  </si>
  <si>
    <t>EMPENHADAS</t>
  </si>
  <si>
    <t>PAGAS</t>
  </si>
  <si>
    <t>INSCRITAS EM RESTOS A</t>
  </si>
  <si>
    <t>DE RESTOS A PAGAR</t>
  </si>
  <si>
    <t>PAGAR NÃO PROCESSADOS</t>
  </si>
  <si>
    <t>(h)=(d-e)</t>
  </si>
  <si>
    <t>APLICAÇÃO DOS RECURSOS DA ALIENAÇÃO DE ATIVOS (II)</t>
  </si>
  <si>
    <t>Despesas Correntes dos Regimes de Previdência</t>
  </si>
  <si>
    <t>Regime Próprio dos Servidores Públicos</t>
  </si>
  <si>
    <t>SALDO FINANCEIRO A APLICAR</t>
  </si>
  <si>
    <t>(j) = (Ib - (IIf + IIg))</t>
  </si>
  <si>
    <t>(k) = (IIIi + IIIj)</t>
  </si>
  <si>
    <t>VALOR (III)</t>
  </si>
  <si>
    <t>EXERCÍCIO</t>
  </si>
  <si>
    <t>INSTRUÇÃO NORMATIVA nº 13/2022 - TCE/RS.</t>
  </si>
  <si>
    <t>Página: 1/2</t>
  </si>
  <si>
    <t>DEMONSTRATIVO DA RECEITA CORRENTE LÍQUIDA</t>
  </si>
  <si>
    <t>Página: 2/2</t>
  </si>
  <si>
    <t>Lei Complementar Federal nº 101/2000 - Inciso I do artigo 53</t>
  </si>
  <si>
    <t>12 últimos Meses</t>
  </si>
  <si>
    <t>Discriminação</t>
  </si>
  <si>
    <t>Codificação</t>
  </si>
  <si>
    <t>TOTAIS:</t>
  </si>
  <si>
    <t>12º Mês</t>
  </si>
  <si>
    <t>11º mês</t>
  </si>
  <si>
    <t>10º Mês</t>
  </si>
  <si>
    <t>09º mês</t>
  </si>
  <si>
    <t>08º Mês</t>
  </si>
  <si>
    <t>07º mês</t>
  </si>
  <si>
    <t>06º Mês</t>
  </si>
  <si>
    <t>05º Mês</t>
  </si>
  <si>
    <t>04º Mês</t>
  </si>
  <si>
    <t>03º Mês</t>
  </si>
  <si>
    <t>02º Mês</t>
  </si>
  <si>
    <t>I - RECEITAS CORRENTES                                                                             (No Exercício =)</t>
  </si>
  <si>
    <t>1.0.0.0.00</t>
  </si>
  <si>
    <t>(R) Dedução das Receitas Correntes</t>
  </si>
  <si>
    <t>9.1.0.0.00</t>
  </si>
  <si>
    <t>II - DEDUÇÕES: II = (1.+ 2.+ 3.+ 4.)</t>
  </si>
  <si>
    <t>1. Contribuições Sociais Específicas de Estado, DF, e Municípios</t>
  </si>
  <si>
    <t>1.2.1.5.00</t>
  </si>
  <si>
    <t>Contribuições descontadas dos Servidores para o regime próprio de previdência Social - RPPS</t>
  </si>
  <si>
    <t>Contribuições descontadas dos Servidores para o Fundo de Assitência a Saúde dos Servidores Municipais - FASM</t>
  </si>
  <si>
    <t>(152, 153 e 154)</t>
  </si>
  <si>
    <t>1.9.9.9.03</t>
  </si>
  <si>
    <t>1.9.9.0.99.1.3.03</t>
  </si>
  <si>
    <t>3. Remuneração dos Recursos dos Regimes Próprios de Previdência Social dos  Servidores</t>
  </si>
  <si>
    <t>1.3.2.1.04</t>
  </si>
  <si>
    <t>1.3.2.1.01.0.1.01.03.08</t>
  </si>
  <si>
    <t>(R) Remuneracao dos Recursos p/ Pgto aos ACE's (500)</t>
  </si>
  <si>
    <t>1.3.2.1.01.0.1.01.03.12</t>
  </si>
  <si>
    <t>1.7.1.3.50.1.1.02</t>
  </si>
  <si>
    <t>1.7.1.3.50.3.1.04</t>
  </si>
  <si>
    <t>III - RECEITA CORRENTE LÍQUIDA ( III = I - II)</t>
  </si>
  <si>
    <t>IV - Valor das Emendas Parlamentares Individuais = CO 3110 Transferências da União</t>
  </si>
  <si>
    <t>V - RECEITA CORRENTE LÍQUIDA (Endividamenteo) ( V = III - IV)</t>
  </si>
  <si>
    <t>VI - Valor das Emendas Parlamentares de Bancada = CO 3120 Transferências da União</t>
  </si>
  <si>
    <t>VII - RECEITA CORRENTE LÍQUIDA (Despesas com Pessoal) ( VII = V - VI)</t>
  </si>
  <si>
    <t>Fonte da Metodologia TCE/RS. (OBS.: Foi deduzidos os valores das Emendas Parlamentares os valores referentes a EC Nº 120/2022 dos ACS)</t>
  </si>
  <si>
    <t>Modelo 2 - Demonstrativo da Despesa com Pessoal</t>
  </si>
  <si>
    <t>INSTRUÇÃO NORMATIVA nº 18/2021 - TCE/RS.</t>
  </si>
  <si>
    <t>INSTRUÇÃO NORMATIVA Nº 13/2022 - TCE/RS.</t>
  </si>
  <si>
    <t>Lei Complementar Federal nº 101/2000, artigo 54 e alinea "a" do Inciso I do artigo 55</t>
  </si>
  <si>
    <t>12 últimos Meses:</t>
  </si>
  <si>
    <t>Despesa Liquidada</t>
  </si>
  <si>
    <t>Totais:</t>
  </si>
  <si>
    <t>9º Mês</t>
  </si>
  <si>
    <t>8º Mês</t>
  </si>
  <si>
    <t>7º Mês</t>
  </si>
  <si>
    <t>6º Mês</t>
  </si>
  <si>
    <t>5º Mês</t>
  </si>
  <si>
    <t>4º Mês</t>
  </si>
  <si>
    <t>3º Mês</t>
  </si>
  <si>
    <t>2º Mês</t>
  </si>
  <si>
    <t>1º Mês</t>
  </si>
  <si>
    <t>I - NATUREZAS DE DESPESA</t>
  </si>
  <si>
    <t>Pessoal e encargos sociais</t>
  </si>
  <si>
    <t>3.1.00.00</t>
  </si>
  <si>
    <t>Contratação por Tempo Determinado</t>
  </si>
  <si>
    <t>Outras Despesas de Pessoal Decorrente de Contratos de Terceirização - Substituição de Mão de Obra (art.18, § 1º da LRF)¹</t>
  </si>
  <si>
    <t>II - DEDUÇÕES</t>
  </si>
  <si>
    <t>Aposentadorias do RPPS, Reserva Remunerda (com recursos do RPPS)</t>
  </si>
  <si>
    <t>3.1.90.01</t>
  </si>
  <si>
    <t>Pensões do RPPS com recursos do RPPS)</t>
  </si>
  <si>
    <t>3.1.90.03</t>
  </si>
  <si>
    <t>Sentenças Judiciais</t>
  </si>
  <si>
    <t>3.1.90.91</t>
  </si>
  <si>
    <t>Despesas de Exercícios Anteriores</t>
  </si>
  <si>
    <t>Indenizações e Restituições Trabalhista²</t>
  </si>
  <si>
    <t>3.XX.94</t>
  </si>
  <si>
    <t>3.1.91.13.20</t>
  </si>
  <si>
    <t>III - TOTAL DAS NATUREZAS DE DESPESA ( I - II )</t>
  </si>
  <si>
    <t>3.5.1.3.2.01.01</t>
  </si>
  <si>
    <t>3.5.1.3.2.02.01</t>
  </si>
  <si>
    <t>IV - TOTAL DAS CONTAS PATRIMONIAIS</t>
  </si>
  <si>
    <t>RPNP do exercicio anterior ( Dedmonstrativos 1º e 2º Quadrimestre/1º Semestre).</t>
  </si>
  <si>
    <t>Itens I e II</t>
  </si>
  <si>
    <t>RPNP do exercicio anterior ( Dedmonstrativos 3º Quadrimestre/2º Semestre).</t>
  </si>
  <si>
    <t>V - TOTAL DOS RESTOS A PAGAR NÃO PROCESSADOS</t>
  </si>
  <si>
    <t>8.6.3.3.1</t>
  </si>
  <si>
    <t>Despesas com Pessoal nas  Entidades com Contrato de Gestão</t>
  </si>
  <si>
    <t>8.6.3.3.2</t>
  </si>
  <si>
    <t>VI - TOTAL DAS CONTAS CONTÁBEIS DE CONTROLE</t>
  </si>
  <si>
    <t>VII - TOTAL DA DESPESA COM PESSOAL ATIVO/INATIVO DA ENTIDADE: VII = (III + IV + V + VI)</t>
  </si>
  <si>
    <t xml:space="preserve">Evolução Mensal da Despesa Liquidada com Pessoal </t>
  </si>
  <si>
    <t>TOTAIS DOS ÚLTIMOS 12 MESES</t>
  </si>
  <si>
    <t>Despesa Liquida c/ Pessoal</t>
  </si>
  <si>
    <t>Índice da DCLP s/ a RCL</t>
  </si>
  <si>
    <t>Limite Máximo do Índice</t>
  </si>
  <si>
    <t xml:space="preserve">OBS.: </t>
  </si>
  <si>
    <t>Fonte:</t>
  </si>
  <si>
    <t>Demonstrativos apurados pela Contabilidade da Receita Corrente Realizada e da Despesa Líquidada Orçamentarias.</t>
  </si>
  <si>
    <t>Ano: 2021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</si>
  <si>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</si>
  <si>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</si>
  <si>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</si>
  <si>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</si>
  <si>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</si>
  <si>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</si>
  <si>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</si>
  <si>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</si>
  <si>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</si>
  <si>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</si>
  <si>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</si>
  <si>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</si>
  <si>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Ano: 2022</t>
  </si>
  <si>
    <t>Ano: 2023</t>
  </si>
  <si>
    <t>Cronograma</t>
  </si>
  <si>
    <t>RECEITA CONSOLIDADA REALIZADA</t>
  </si>
  <si>
    <t>PREVISTO</t>
  </si>
  <si>
    <t>REESTIMADA</t>
  </si>
  <si>
    <t>Seq.</t>
  </si>
  <si>
    <t>ÓRGÃOS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</si>
  <si>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</si>
  <si>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</si>
  <si>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</si>
  <si>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</si>
  <si>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</si>
  <si>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</si>
  <si>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</si>
  <si>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</si>
  <si>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</si>
  <si>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</si>
  <si>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</si>
  <si>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</si>
  <si>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MESES</t>
  </si>
  <si>
    <t>Câmara</t>
  </si>
  <si>
    <t>Gabinete</t>
  </si>
  <si>
    <t>SMCP</t>
  </si>
  <si>
    <t>SMA</t>
  </si>
  <si>
    <t>SMF</t>
  </si>
  <si>
    <t>SMTSUI</t>
  </si>
  <si>
    <t>SEDUC</t>
  </si>
  <si>
    <t>SMS</t>
  </si>
  <si>
    <t>Encargos</t>
  </si>
  <si>
    <t>TOTAIS</t>
  </si>
  <si>
    <t>Reserva</t>
  </si>
  <si>
    <t>% em relação ao ano anterior</t>
  </si>
  <si>
    <t>FAPS</t>
  </si>
  <si>
    <t>FASM</t>
  </si>
  <si>
    <t>DESPESA CONSOLIDA LIQUIDADA</t>
  </si>
  <si>
    <t>=</t>
  </si>
  <si>
    <t>% ao mês</t>
  </si>
  <si>
    <t>Total por Bimestre</t>
  </si>
  <si>
    <t>5º Bimestre</t>
  </si>
  <si>
    <t>6º Bimestre</t>
  </si>
  <si>
    <t>Superávit</t>
  </si>
  <si>
    <t>A Vertic</t>
  </si>
  <si>
    <t>DIFERENÇA</t>
  </si>
  <si>
    <t>SUPERÁVIT/DÉFICIT</t>
  </si>
  <si>
    <t>REALIZADA</t>
  </si>
  <si>
    <t>RECEITA</t>
  </si>
  <si>
    <t>EXECUTADA</t>
  </si>
  <si>
    <t>DESPESA</t>
  </si>
  <si>
    <t>AO MÊS</t>
  </si>
  <si>
    <t>CRONOGRAMA DA DESPESA POR CATEGORIA</t>
  </si>
  <si>
    <t>3.</t>
  </si>
  <si>
    <t>DESPESA CORRENTE</t>
  </si>
  <si>
    <t>3.1.</t>
  </si>
  <si>
    <t>Vencimento e Encargos</t>
  </si>
  <si>
    <t>3.2.</t>
  </si>
  <si>
    <t>Juros e Encargo Dív.</t>
  </si>
  <si>
    <t>3.3.</t>
  </si>
  <si>
    <t>Outras Desp. Corrente</t>
  </si>
  <si>
    <t>4.</t>
  </si>
  <si>
    <t>DESPESA DE CAPITAL</t>
  </si>
  <si>
    <t>4.4.</t>
  </si>
  <si>
    <t>4.5.</t>
  </si>
  <si>
    <t>Inversões Financeira</t>
  </si>
  <si>
    <t>4.6.</t>
  </si>
  <si>
    <t>TOTAL DA DESPESA FIXADA</t>
  </si>
  <si>
    <t>9.9.</t>
  </si>
  <si>
    <t>Reserva de Contigência</t>
  </si>
  <si>
    <t>TOTAL GERAL PREVISTO</t>
  </si>
  <si>
    <t>+/-</t>
  </si>
  <si>
    <t>SOBRE A DESPESA LIQUIDADA.</t>
  </si>
  <si>
    <t>Cancelados:</t>
  </si>
  <si>
    <t>Total da Despesa Liquidada:</t>
  </si>
  <si>
    <t>EVOLUÇÃO DOS SALDOS DOS RESTOS A PAGAR PROCESSADOS E NÃO PROCESSADOS DO PERÍODO:</t>
  </si>
  <si>
    <t>Total da DespesaEmpenhada:</t>
  </si>
  <si>
    <t xml:space="preserve"> Janeiro</t>
  </si>
  <si>
    <t>Ano</t>
  </si>
  <si>
    <t>Análise da relação da Despesa Corrente Liquidada em relação a Receita Orçamentária sem os valores das Receitas Intraorçamentária e de Capital</t>
  </si>
  <si>
    <t>Consolidadas</t>
  </si>
  <si>
    <t>Despesas Corr. Líquidada</t>
  </si>
  <si>
    <t>Rec. Corrente - Deduções</t>
  </si>
  <si>
    <t>% da DC s/ RC:</t>
  </si>
  <si>
    <t>SECRETARIA MUNICIPAL DA SAÚDE E MEIO AMBIENTE - SMSMA</t>
  </si>
  <si>
    <t>COMPARATIVO DA DESPESA PREVISTA CONSOLIDADA COM A DESPESA PREVISTA PARA A SAÚDE</t>
  </si>
  <si>
    <t>PREVISTO:</t>
  </si>
  <si>
    <t>I</t>
  </si>
  <si>
    <t>% s/ Consolidado</t>
  </si>
  <si>
    <t>Bal. Orçamentário</t>
  </si>
  <si>
    <t>Créditos Orçam.</t>
  </si>
  <si>
    <t>Disponib. Dotaç.</t>
  </si>
  <si>
    <t>Empenhado</t>
  </si>
  <si>
    <t>Liquidado</t>
  </si>
  <si>
    <t>A Liquidar</t>
  </si>
  <si>
    <t>Pago</t>
  </si>
  <si>
    <t>A Pagar</t>
  </si>
  <si>
    <t>Pgtos a EFetuar</t>
  </si>
  <si>
    <t>Balcte Orçam.:</t>
  </si>
  <si>
    <t>Valores:</t>
  </si>
  <si>
    <t>COMPARATIVO DA DESPESA REALIZADA CONSOLIDADA COM A DESPESA REALIZADA NA SAÚDE</t>
  </si>
  <si>
    <t>REALIZADO</t>
  </si>
  <si>
    <t>II</t>
  </si>
  <si>
    <t>% s/ o Total</t>
  </si>
  <si>
    <t>DIFERENÇA:</t>
  </si>
  <si>
    <t>SECRETARIA MUNICIPAL DA EDUCAÇÃO - SEDUC</t>
  </si>
  <si>
    <t>Pagos/Cancel:</t>
  </si>
  <si>
    <t>COMPARATIVO DA DESPESA PREVISTA CONSOLIDADA COM A DESPESA PREVISTA PARA A EDUCAÇÃO NO PERÍODO: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</si>
  <si>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</si>
  <si>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</si>
  <si>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</si>
  <si>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</si>
  <si>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</si>
  <si>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</si>
  <si>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</si>
  <si>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</si>
  <si>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</si>
  <si>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</si>
  <si>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</si>
  <si>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</si>
  <si>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TOTAL:</t>
  </si>
  <si>
    <t>EVOLUÇÃO DOS SALDOS DOS RESTOS A PAGAR DO PERÍODO:</t>
  </si>
  <si>
    <t>Ano: 2020</t>
  </si>
  <si>
    <t>COMPARATIVO DA DESPESA REALIZADA CONSOLIDADA COM A DESPESA REALIZADA NA EDUCAÇÃO</t>
  </si>
  <si>
    <t>% ao mês s/ Total realiz.</t>
  </si>
  <si>
    <t>TOTAL DO PERIÓDO</t>
  </si>
  <si>
    <t>Pagos:</t>
  </si>
  <si>
    <t>PREFEITURA MUNICIPAL DE CAÇAPAVA DO SUL/RS.</t>
  </si>
  <si>
    <t>CNPJ:</t>
  </si>
  <si>
    <t>88142302/0001-45</t>
  </si>
  <si>
    <t>Endereço: RUA XV DE NOVEMBRO, Nº 438 / CENTRO / CAÇAPAVA DO SUL / RS / CEP: 96.570-000</t>
  </si>
  <si>
    <t>CONTROLE DO DÉFICIT ORÇAMENTÁRIO</t>
  </si>
  <si>
    <t>INSTRUMENTO DE CONTROLE: TERMÔMETRO DE CRUZ</t>
  </si>
  <si>
    <t>PREVISTA</t>
  </si>
  <si>
    <t>ATUALIZADA</t>
  </si>
  <si>
    <t>DESPESAS CONSOLIDADAS</t>
  </si>
  <si>
    <t>Cota Mensal</t>
  </si>
  <si>
    <t>Valor Líquidado</t>
  </si>
  <si>
    <t>Receita</t>
  </si>
  <si>
    <t>Orçado para</t>
  </si>
  <si>
    <t>Déficit ou</t>
  </si>
  <si>
    <t>Estouro ou</t>
  </si>
  <si>
    <t>%   s/</t>
  </si>
  <si>
    <t>Órgãos de Governo</t>
  </si>
  <si>
    <t>Acumulada</t>
  </si>
  <si>
    <t>Até o mês</t>
  </si>
  <si>
    <t>até o Mês</t>
  </si>
  <si>
    <t>o Exercício</t>
  </si>
  <si>
    <t>Economia</t>
  </si>
  <si>
    <t>Total de C</t>
  </si>
  <si>
    <t>Nº</t>
  </si>
  <si>
    <t>[A]</t>
  </si>
  <si>
    <t>[B]</t>
  </si>
  <si>
    <t>[C]</t>
  </si>
  <si>
    <t>[D]</t>
  </si>
  <si>
    <t>[E]</t>
  </si>
  <si>
    <r>
      <rPr>
        <b/>
        <sz val="10"/>
        <rFont val="Arial"/>
        <family val="2"/>
        <charset val="1"/>
      </rPr>
      <t xml:space="preserve">[F] </t>
    </r>
    <r>
      <rPr>
        <b/>
        <sz val="8"/>
        <rFont val="Arial"/>
        <family val="2"/>
        <charset val="1"/>
      </rPr>
      <t>B - C</t>
    </r>
  </si>
  <si>
    <r>
      <rPr>
        <b/>
        <sz val="10"/>
        <rFont val="Arial"/>
        <family val="2"/>
        <charset val="1"/>
      </rPr>
      <t xml:space="preserve">[G]  </t>
    </r>
    <r>
      <rPr>
        <b/>
        <sz val="8"/>
        <rFont val="Arial"/>
        <family val="2"/>
        <charset val="1"/>
      </rPr>
      <t>F / B</t>
    </r>
  </si>
  <si>
    <t>[H]</t>
  </si>
  <si>
    <t>Câmara Municipal</t>
  </si>
  <si>
    <t>Gabinete do Prefeito</t>
  </si>
  <si>
    <t>Secretaria da Planejamento  e Meio Ambiente</t>
  </si>
  <si>
    <t>Secretaria de Municipio da Administração</t>
  </si>
  <si>
    <t>Secretaria da Fazenda</t>
  </si>
  <si>
    <t>Secretaria de Transporte, Serviços Urbanos e Interior</t>
  </si>
  <si>
    <t>Secretaria de Municipio da Saúde</t>
  </si>
  <si>
    <t>Encargos Gerais do Município</t>
  </si>
  <si>
    <t>Reserva de Contigências</t>
  </si>
  <si>
    <t>Regime Próprio de Previdência</t>
  </si>
  <si>
    <t>Fundo de assistência a Saúde do Servidor Municipal</t>
  </si>
  <si>
    <t>Total</t>
  </si>
  <si>
    <t>FONTES:</t>
  </si>
  <si>
    <t>Demonstrativos da Despesas Fixada e Liquidada por Órgão e Receita Efetivamente Realizada.</t>
  </si>
  <si>
    <t>NOTAS:   1 -</t>
  </si>
  <si>
    <t xml:space="preserve">Na coluna: "% s/ Total de C " consta o percentual que cada Órgão representa em relação ao total da Despesa Liquidada, conforme se verifica nos Órgãos de nº 9 que lida </t>
  </si>
  <si>
    <t>2 -</t>
  </si>
  <si>
    <t>O valor constante na coluna: "Cota Mensal Acumulada" foi apurado em conformidade com o Decreto de Desembolso Financeiro e Orçamentário, publicado em janeiro</t>
  </si>
  <si>
    <t>do corrente ano, que regula os quantitativos referentes ao Cronograma das saídas de acordo com as entradas(Pagamentos igual ou menor que os Recebimentos).</t>
  </si>
  <si>
    <t>3 -</t>
  </si>
  <si>
    <t>SOBRE A DESPESA LIQUIDADA CONSOLIDADA.</t>
  </si>
  <si>
    <t>4 -</t>
  </si>
  <si>
    <t>5 -</t>
  </si>
  <si>
    <t>OBSERVAÇÕES:</t>
  </si>
  <si>
    <t>1ª - Os Órgãos que apresentam Déficit Orçamentário estão abaixo do ponto zero na representação gráfica com a coluna invertida para baixo.</t>
  </si>
  <si>
    <t>2ª - Os Órgãos que apresentam Superávit Orçamentário e, consequentemente,estão situados acima do ponto zero na representação gráfica, coluna para cima.</t>
  </si>
  <si>
    <t>4ª - Percent da Despesa Corrente s/ a Receita Corrente, exceto a Despesa e a Receita Intras - § 6º do art. 167-A da CF:</t>
  </si>
  <si>
    <t>Empenhos de restos a Pagar</t>
  </si>
  <si>
    <t>1. Dotações:</t>
  </si>
  <si>
    <t>2. Empenhado:</t>
  </si>
  <si>
    <t>3. Liquidado</t>
  </si>
  <si>
    <t>4. Pago:</t>
  </si>
  <si>
    <t>5. A Pagar = 3 - 4</t>
  </si>
  <si>
    <t>6.Empenhado¹</t>
  </si>
  <si>
    <t>7. Liquidado</t>
  </si>
  <si>
    <r>
      <rPr>
        <sz val="8"/>
        <color rgb="FF000000"/>
        <rFont val="Calibri"/>
        <family val="2"/>
        <charset val="1"/>
      </rPr>
      <t>8. Cancelado</t>
    </r>
    <r>
      <rPr>
        <vertAlign val="superscript"/>
        <sz val="8"/>
        <color rgb="FF000000"/>
        <rFont val="Calibri"/>
        <family val="2"/>
        <charset val="1"/>
      </rPr>
      <t>4</t>
    </r>
    <r>
      <rPr>
        <sz val="8"/>
        <color rgb="FF000000"/>
        <rFont val="Calibri"/>
        <family val="2"/>
        <charset val="1"/>
      </rPr>
      <t xml:space="preserve"> </t>
    </r>
  </si>
  <si>
    <t>9. Pago³</t>
  </si>
  <si>
    <t>10. A Pagar²= 7 - 9</t>
  </si>
  <si>
    <t>Verificação:</t>
  </si>
  <si>
    <t xml:space="preserve"> 5.3.2.2.0</t>
  </si>
  <si>
    <t>RP PROCESSADOS - EXERCÍCIOS ANTERIORES</t>
  </si>
  <si>
    <t xml:space="preserve"> 5.3.1.2.0</t>
  </si>
  <si>
    <t>RP NÃO PROCESSADOS - EXERCÍCIOS ANTERIORES</t>
  </si>
  <si>
    <t xml:space="preserve"> 6.3.2.1.0</t>
  </si>
  <si>
    <t>RP PROCESSADOS A PAGAR</t>
  </si>
  <si>
    <t>Execução orçamentária</t>
  </si>
  <si>
    <t>Execução dos Restos a Pagar Processados e não Processados</t>
  </si>
  <si>
    <t>1.Receita Realizada:</t>
  </si>
  <si>
    <t>2. Empenhado</t>
  </si>
  <si>
    <t>3.Desp. Liquidada</t>
  </si>
  <si>
    <t>4.Despesa Paga:</t>
  </si>
  <si>
    <t>5.Resultado: 1-4</t>
  </si>
  <si>
    <t>6.A Pagar: 3-4</t>
  </si>
  <si>
    <t>7.Empenhado¹</t>
  </si>
  <si>
    <t>8. Liquidado</t>
  </si>
  <si>
    <t>10. A Pagar²= 9 - 10</t>
  </si>
  <si>
    <t>11. Resultado:</t>
  </si>
  <si>
    <t>Pref.</t>
  </si>
  <si>
    <t>Total:</t>
  </si>
  <si>
    <t>O resultado apurado na tabela acima é sobre a despesa paga, sobre a despesa liquidada o resultado é</t>
  </si>
  <si>
    <t>CALCULO DOS PERCENTUAIS MÍNIMOS LEGAIS</t>
  </si>
  <si>
    <t>PERÍODO:</t>
  </si>
  <si>
    <t>Artigos 198 e 212 da CF/88 e E/C nº 29</t>
  </si>
  <si>
    <t>Análise Horizontal das Receitas em relação ao montante arrecadado no mês em uma previsão de arrecadação de um doze avos ao mês.</t>
  </si>
  <si>
    <t>Os valores na coluna "Excesso" entre parenteses significa que foi arrecado valor maior que um doze avos ao mês na Receita Realizada.</t>
  </si>
  <si>
    <t>NÍVEL:</t>
  </si>
  <si>
    <t>2. RECEITAS</t>
  </si>
  <si>
    <t>3. PREVISTO</t>
  </si>
  <si>
    <t>4. Realizado:</t>
  </si>
  <si>
    <t>LIVRE: 60% Excesso/Déficit</t>
  </si>
  <si>
    <t>MDE:25%/5%  Excesso/Déficit</t>
  </si>
  <si>
    <t>FUNDEB 20% Excesso/Déficit</t>
  </si>
  <si>
    <t>ASPS: 15%</t>
  </si>
  <si>
    <t>Excesso/Déficit</t>
  </si>
  <si>
    <t>1.1.1.2.50</t>
  </si>
  <si>
    <t>1.1.1.2.53</t>
  </si>
  <si>
    <t>1.1.1.3.03</t>
  </si>
  <si>
    <t>1.1.1.4.51.1</t>
  </si>
  <si>
    <t>ISQN</t>
  </si>
  <si>
    <t>1.7.1.1.51.1.1</t>
  </si>
  <si>
    <t>FPM</t>
  </si>
  <si>
    <t>1.7.1.1.51.2.1</t>
  </si>
  <si>
    <t>Cota Extra FPM</t>
  </si>
  <si>
    <t>1.7.1.1.52.0.1</t>
  </si>
  <si>
    <t>ITR</t>
  </si>
  <si>
    <t>1.7.2.1.50.0.1</t>
  </si>
  <si>
    <t>ICMS</t>
  </si>
  <si>
    <t>1.7.2.1.51.01</t>
  </si>
  <si>
    <t>IPVA</t>
  </si>
  <si>
    <t>1.7.2.1.52</t>
  </si>
  <si>
    <t>IPI Exp.</t>
  </si>
  <si>
    <t>1.7.5.1.50</t>
  </si>
  <si>
    <t>Percentual da Receita Realizada em relação a Prevista:</t>
  </si>
  <si>
    <t>Cálculo:</t>
  </si>
  <si>
    <t>RECURSOS:</t>
  </si>
  <si>
    <t>ASPS</t>
  </si>
  <si>
    <t>LIVRE</t>
  </si>
  <si>
    <t>Total Geral:</t>
  </si>
  <si>
    <t>% da Despesa liquidada sobre a Receita realizada do FUNDEB</t>
  </si>
  <si>
    <t>Total da MDE</t>
  </si>
  <si>
    <t>(-) Plus Fundeb</t>
  </si>
  <si>
    <t>( - ) 3.1.91.13.20</t>
  </si>
  <si>
    <t>1500 - MDE</t>
  </si>
  <si>
    <t>1540-FUNDEB</t>
  </si>
  <si>
    <t>1500 - ASPS</t>
  </si>
  <si>
    <t>(-)Rend. da MDE</t>
  </si>
  <si>
    <t>( - ) 3.3.91.08</t>
  </si>
  <si>
    <t>EMPENHADO</t>
  </si>
  <si>
    <t>(-)Rend. do FUNDEB</t>
  </si>
  <si>
    <t>( - ) Rendimento</t>
  </si>
  <si>
    <t>LIQUIDADO</t>
  </si>
  <si>
    <t>(-) 3.3.91.08</t>
  </si>
  <si>
    <t>( = ) TOTAIS:</t>
  </si>
  <si>
    <t>PAGO</t>
  </si>
  <si>
    <t>Valor a aplicado</t>
  </si>
  <si>
    <t>índice Apurado:</t>
  </si>
  <si>
    <t>% Emp.</t>
  </si>
  <si>
    <t>% da Educação</t>
  </si>
  <si>
    <t>% Liq. + Rep</t>
  </si>
  <si>
    <t>APLICAÇÃO:</t>
  </si>
  <si>
    <t>%pago</t>
  </si>
  <si>
    <t>a Liquidar</t>
  </si>
  <si>
    <t>MDE</t>
  </si>
  <si>
    <t>RENDIM.:</t>
  </si>
  <si>
    <t>Mínimo Anual de 70% do FUNDEB na Remuneração do Magistério</t>
  </si>
  <si>
    <t>Instrução Normativa TCE/RS nº 18/2020 - índices da Saúde e do Ensino.</t>
  </si>
  <si>
    <t>( - ) Plus do FUNDEB</t>
  </si>
  <si>
    <t>Índice Apurado:</t>
  </si>
  <si>
    <t>1.7.2.9.53.0.1</t>
  </si>
  <si>
    <t>ICMS - LC no 194/2022</t>
  </si>
  <si>
    <t>Estado do Rio Grande do Sul - Prefeitura Municipal de Cacapava do Sul</t>
  </si>
  <si>
    <t xml:space="preserve">Unidade Gestora: </t>
  </si>
  <si>
    <t>CONSOLIDADO</t>
  </si>
  <si>
    <t>Saldo Inicial Vinc. em C/C Bancária</t>
  </si>
  <si>
    <t>Receita Realizada no Exercício</t>
  </si>
  <si>
    <t>Transferências Recebidas</t>
  </si>
  <si>
    <t>Total do Recurso Vinculado</t>
  </si>
  <si>
    <t>Empenhos Orçam. Efetuados</t>
  </si>
  <si>
    <t>Total Empenhado</t>
  </si>
  <si>
    <t>Transferências Devolvidas</t>
  </si>
  <si>
    <t>Saldo P/Utilização Recurso Vinculado</t>
  </si>
  <si>
    <t>Fonte de Recursos</t>
  </si>
  <si>
    <t>Recursos não Vinculados de Impostos</t>
  </si>
  <si>
    <t>Outros Recursos não Vinculados</t>
  </si>
  <si>
    <t>Transferências do FUNDEB - Impostos e Transferências de Impostos</t>
  </si>
  <si>
    <t>Transferências do FUNDEB - Complementação da União - VAAR</t>
  </si>
  <si>
    <t>Transferência do Salário-Educação</t>
  </si>
  <si>
    <t>Transferências de Recursos do FNDE referentes ao Programa Dinheiro Direto na Escola (PDDE)</t>
  </si>
  <si>
    <t>Transferências de Recursos do FNDE referentes ao Programa Nacional de Alimentação Escolar (PNAE)</t>
  </si>
  <si>
    <t>Transferências de Recursos do FNDE Referentes ao Programa Nacional de Apoio ao Transporte Escolar (PNATE)</t>
  </si>
  <si>
    <t>Outras Transferências de Recursos do FNDE</t>
  </si>
  <si>
    <t>Transferências do Governo Federal referentes a Convênios e Instrumentos Congêneres vinculados à Educação</t>
  </si>
  <si>
    <t>Transferências do Estado referentes a Convênios e Instrumentos Congêneres vinculados à Educação</t>
  </si>
  <si>
    <t>Outros Recursos Vinculados à Educação</t>
  </si>
  <si>
    <t>Transferências Fundo a Fundo de Recursos do SUS provenientes do Governo Federal - Bloco de Manutenção das Ações e Serviços Públicos de Saúde</t>
  </si>
  <si>
    <t>Transferências Fundo a Fundo de Recursos do SUS provenientes do Governo Federal - Bloco de Estruturação da Rede de Serviços Públicos de Saúde</t>
  </si>
  <si>
    <t>Transfen. Fundo a Fundo Recursos SUS - Governo Federal - Bloco de Manutenção das Ações e Serviços Públicos de Saúde –  COVID-19 no bojo da ação 21C0.</t>
  </si>
  <si>
    <t>Transfen. Fundo a Fundo Recursos SUS - Governo Federal - Bloco de Estruturação da Rede de Serviços Públicos de Saúde –  COVID-19 no bojo da ação 21C0.</t>
  </si>
  <si>
    <t>Transferências provenientes do Governo Federal destinadas ao vencimento dos agentes comunitários de saúde e dos agentes de combate às endemias</t>
  </si>
  <si>
    <t>Assistência financeira da União destinada à complementação ao pagamento dos pisos salariais para profissionais da enfermagem.</t>
  </si>
  <si>
    <t>Transferências Fundo a Fundo de Recursos do SUS provenientes do Governo Estadual</t>
  </si>
  <si>
    <t>Transferências do Estado referentes a Convênios e Instrumentos Congêneres vinculados à Saúde</t>
  </si>
  <si>
    <t>Outros Recursos Vinculados à Saúde</t>
  </si>
  <si>
    <t>Transferência de Recursos do Fundo Nacional de Assistência Social - FNAS</t>
  </si>
  <si>
    <t>Transferência de Recursos dos Fundos Estaduais de Assistência Social</t>
  </si>
  <si>
    <t>Transferências de Convênios e Instrumentos Congêneres vinculados à Assistência Social</t>
  </si>
  <si>
    <t>Outros Recursos Vinculados à Assistência Social</t>
  </si>
  <si>
    <t>Outras Transferências de Convênios ou Instrumentos Congêneres da União</t>
  </si>
  <si>
    <t>Outras Transferências de Convênios ou Instrumentos Congêneres dos Estados</t>
  </si>
  <si>
    <t>Transferência Especial da União</t>
  </si>
  <si>
    <t>Transferência da União Referente à Compensação Financeira de Recursos Minerais</t>
  </si>
  <si>
    <t>Transferências Destinadas ao Setor Cultural - LC nº 195/2022 – Art. 5º - Audiovisual</t>
  </si>
  <si>
    <t>Transferências Destinadas ao Setor cultural - LC nº 195/2022 – Art. 8º - Demais Setores da Cultura</t>
  </si>
  <si>
    <t>Outras vinculações de transferências</t>
  </si>
  <si>
    <t>Recursos da Contribuição de Intervenção no Domínio Econômico - CIDE</t>
  </si>
  <si>
    <t>Recursos da Contribuição para o Custeio do Serviço de Iluminação Pública - COSIP</t>
  </si>
  <si>
    <t>Recursos Vinculados ao Trânsito</t>
  </si>
  <si>
    <t xml:space="preserve"> Recursos Provenientes de Taxas, Contribuições e Preços Públicos</t>
  </si>
  <si>
    <t>Recursos de Operações de Crédito</t>
  </si>
  <si>
    <t>Recursos Vinculados a Fundos</t>
  </si>
  <si>
    <t>Recursos Vinculados ao RPPS - Fundo em Capitalização (Plano Previdenciário)</t>
  </si>
  <si>
    <t>Recursos Vinculados ao RPPS - Taxa de Administração</t>
  </si>
  <si>
    <t>Outros Recursos Extraorçamentários</t>
  </si>
  <si>
    <t>Liquidações Orçam. Efetuados</t>
  </si>
  <si>
    <t>Liquidações de Restos Efetuadas</t>
  </si>
  <si>
    <t>Total das Liquidações</t>
  </si>
  <si>
    <t>Pagamentos Orçam. Efetuados</t>
  </si>
  <si>
    <t>Pagamentos de Restos Efetuados</t>
  </si>
  <si>
    <t>Total dos Pagamentos</t>
  </si>
  <si>
    <t>101,00</t>
  </si>
  <si>
    <t xml:space="preserve"> __________________________________     __________________________________     __________________________________          </t>
  </si>
  <si>
    <t xml:space="preserve">                              PREFEITO MUNICIPAL             SECRETARIA DE MUNICIPIO DA FAZENDA                                   610.320.420-87                    </t>
  </si>
  <si>
    <t>Fonte: Situacao de Empenhos de Restos a Pagar</t>
  </si>
  <si>
    <r>
      <t>Nota:</t>
    </r>
    <r>
      <rPr>
        <sz val="6"/>
        <rFont val="Arial"/>
        <family val="2"/>
        <charset val="1"/>
      </rPr>
      <t xml:space="preserve"> + Despesa não Liquidada:</t>
    </r>
  </si>
  <si>
    <t>Resultado Primário (Sem RPPS) - Acima da Linha</t>
  </si>
  <si>
    <t>Resultado Nominal (Sem RPPS) - Acima da Linha</t>
  </si>
  <si>
    <t>3.xx.XX</t>
  </si>
  <si>
    <t>RP PROCESSADOS LIQUIDADOS A PAGAR de  Exerc. Anteriores</t>
  </si>
  <si>
    <t>Demais Transferências Obrigatórias não Decorrentes de Repartições de Receitas.</t>
  </si>
  <si>
    <t>(R) Remuneracao de Rec. da Atencao basica Uniao (152)</t>
  </si>
  <si>
    <t>No Valor da RCL foi deduzidos os valores das Emendandas Parlamentares e os Repasses p/Assist. Financ. Complementar - ACS e ACE - da EC. Nº 120/22 do Período.</t>
  </si>
  <si>
    <t>Fonte: Tribunal de Contas do Estado do Rio Grande do Sul -</t>
  </si>
  <si>
    <t>4. Receitas Arrecadas na FR 0604 - Conforme EC Nº 120/2022 - Item 40 NT 3481/23</t>
  </si>
  <si>
    <t>Até o 3º Bimestre</t>
  </si>
  <si>
    <t>13.480,00</t>
  </si>
  <si>
    <t>RECEITA/2024</t>
  </si>
  <si>
    <t>DESPESA/2024</t>
  </si>
  <si>
    <t>COMPARATIVO DA DESPESA PREVISTA COM A REALIZADA MÊS NO EXERCÍCIO DE 2.024</t>
  </si>
  <si>
    <t>Transferências da União Referentes às participações na exploração de Petróleo e Gás Natural destinadas ao FEP - Lei 9.478/1997</t>
  </si>
  <si>
    <t>Total Geral</t>
  </si>
  <si>
    <t>2.5. Restituicao Despesas Exercicios Anteri. - Principal 608 Fonte: 1800</t>
  </si>
  <si>
    <t>1.9.2.2.06.1.1</t>
  </si>
  <si>
    <t>1.9.2.2.99.0.1.06</t>
  </si>
  <si>
    <t>3.1.9X.92</t>
  </si>
  <si>
    <t>3ª - O déficit é provocado pelo despêndio maior que o previsto para o periodo no Orçamento e Regulamentado no Decreto Executivo  nº 4865, de 03 Fevereiro de 2022.</t>
  </si>
  <si>
    <t>Transferências da Política Nacional Aldir Blanc de Fomento à Cultura - Lei nº 14.399/2022</t>
  </si>
  <si>
    <t>(1b)</t>
  </si>
  <si>
    <t>(2b)</t>
  </si>
  <si>
    <t>(2b/a)</t>
  </si>
  <si>
    <t>Página 1 de 6</t>
  </si>
  <si>
    <t>DEMONSTRATIVO DAS RECEITAS E DESPESAS COM MANUTENÇÃO E DESENVOLVIMENTO DO ENSINO - MDE</t>
  </si>
  <si>
    <t>RREO - Anexo 8 (LDB,art. 72)</t>
  </si>
  <si>
    <t>RECEITA RESULTANTE DE IMPOSTOS (Arts. 212 e 212-A da Constituição Federal)</t>
  </si>
  <si>
    <t>RECEITA RESULTANTE DE IMPOSTOS</t>
  </si>
  <si>
    <t>1- RECEITA DE IMPOSTOS</t>
  </si>
  <si>
    <t>1.1- Receita Resultante do Imposto sobre a Propriedade Predial e Territorial Urbana – IPTU</t>
  </si>
  <si>
    <t>1.2- Receita Resultante do Imposto sobre Transmissão Inter Vivos – ITBI</t>
  </si>
  <si>
    <t>1.3- Receita Resultante do Imposto sobre Serviços de Qualquer Natureza – ISS</t>
  </si>
  <si>
    <t>1.4- Receita Resultante do Imposto de Renda Retido na Fonte – IRRF</t>
  </si>
  <si>
    <t>2- RECEITA DE TRANSFERÊNCIAS CONSTITUCIONAIS E LEGAIS</t>
  </si>
  <si>
    <t>2.1- Cota-Parte FPM</t>
  </si>
  <si>
    <t>2.1.1- Parcela referente à CF, art. 159, I, alínea b</t>
  </si>
  <si>
    <t>2.1.2- Parcela referente à CF, art. 159, I, alíneas d e e</t>
  </si>
  <si>
    <t>2.2- Cota-Parte ICMS</t>
  </si>
  <si>
    <t>2.3- Cota-Parte IPI-Exportação</t>
  </si>
  <si>
    <t>2.4- Cota-Parte ITR</t>
  </si>
  <si>
    <t>2.5- Cota-Parte IPVA</t>
  </si>
  <si>
    <t>2.6- Cota-Parte IOF-Ouro</t>
  </si>
  <si>
    <t>2.7- Outras Transferências ou Compensações Financeiras Provenientes de Impostos e Transferências Constitucionais</t>
  </si>
  <si>
    <t>3- TOTAL DA RECEITA RESULTANTE DE IMPOSTOS (1 + 2)</t>
  </si>
  <si>
    <t>4- TOTAL DESTINADO AO FUNDEB - equivalente a 20% DE ((2.1.1) + (2.2) + (2.3) + (2.4) + (2.5) + (2.7))</t>
  </si>
  <si>
    <t>5- VALOR MÍNIMO A SER APLICADO ALÉM DO VALOR DESTINADO AO FUNDEB - 5% DE ((2.1.1) + (2.2) + (2.3) + (2.4) + (2.5) + (2.7)) + 25% DE ((1.1) + (1.2) + (1.3) + (1.4) + (2.1.2) + (2.6))</t>
  </si>
  <si>
    <t>RECEITAS DO FUNDEB RECEBIDAS NO EXERCÍCIO</t>
  </si>
  <si>
    <t>6- TOTAL DAS RECEITAS DO FUNDEB RECEBIDAS</t>
  </si>
  <si>
    <t>6.1- FUNDEB - Impostos e Transferências de Impostos</t>
  </si>
  <si>
    <t>6.1.1- Principal</t>
  </si>
  <si>
    <t>6.1.2- Rendimentos de Aplicação Financeira</t>
  </si>
  <si>
    <t>6.1.3- Ressarcimento de recursos do Fundeb</t>
  </si>
  <si>
    <t>6.2- FUNDEB - Complementação da União - VAAF</t>
  </si>
  <si>
    <t>6.2.1- Principal</t>
  </si>
  <si>
    <t>6.2.2- Rendimentos de Aplicação Financeira</t>
  </si>
  <si>
    <t>6.2.3- Ressarcimento de recursos do Fundeb</t>
  </si>
  <si>
    <t>6.3- FUNDEB - Complementação da União - VAAT</t>
  </si>
  <si>
    <t>6.3.1- Principal</t>
  </si>
  <si>
    <t>6.3.2- Rendimentos de Aplicação Financeira</t>
  </si>
  <si>
    <t>6.3.3- Ressarcimento de recursos do Fundeb</t>
  </si>
  <si>
    <t>Página 2 de 6</t>
  </si>
  <si>
    <t>6.4- FUNDEB - Complementação da União - VAAR</t>
  </si>
  <si>
    <t>6.4.1- Principal</t>
  </si>
  <si>
    <t>6.4.2- Rendimentos de Aplicação Financeira</t>
  </si>
  <si>
    <t>6.4.3- Ressarcimento de recursos do Fundeb</t>
  </si>
  <si>
    <t>7- RESULTADO LÍQUIDO DAS TRANSFERÊNCIAS DO FUNDEB (6.1.1 – 4)¹</t>
  </si>
  <si>
    <t>RECURSOS RECEBIDOS EM EXERCÍCIOS ANTERIORES E NÃO UTILIZADOS (SUPERÁVIT)</t>
  </si>
  <si>
    <t>8- TOTAL DOS RECURSOS DE SUPERÁVIT</t>
  </si>
  <si>
    <t>8.1- SUPERÁVIT DO EXERCÍCIO IMEDIATAMENTE ANTERIOR</t>
  </si>
  <si>
    <t>8.2- SUPERÁVIT RESIDUAL DE OUTROS EXERCÍCIOS</t>
  </si>
  <si>
    <t>9- TOTAL DOS RECURSOS DO FUNDEB DISPONÍVEIS PARA UTILIZAÇÃO (6 + 8)</t>
  </si>
  <si>
    <t>DESPESAS COM RECURSOS DO FUNDEB         
(Por Subfunção)</t>
  </si>
  <si>
    <t>INSCRITAS EM RESTOS A
PAGAR NÃO PROCESSADOS
(g)</t>
  </si>
  <si>
    <t>10- TOTAL DAS DESPESAS COM RECURSOS DO FUNDEB</t>
  </si>
  <si>
    <t>10.1- PROFISSIONAIS DA EDUCAÇÃO BÁSICA</t>
  </si>
  <si>
    <t>10.1.1 - Educação Infantil</t>
  </si>
  <si>
    <t>10.1.2 - Ensino Fundamental</t>
  </si>
  <si>
    <t>10.1.3 - Educação de Jovens e Adultos</t>
  </si>
  <si>
    <t>10.1.4 - Educação Especial</t>
  </si>
  <si>
    <t>10.1.5 - Administração Geral</t>
  </si>
  <si>
    <t>10.2- OUTRAS DESPESAS</t>
  </si>
  <si>
    <t>10.2.1 - Educação Infantil</t>
  </si>
  <si>
    <t>10.2.2 - Ensino Fundamental</t>
  </si>
  <si>
    <t>10.2.3 - Educação de Jovens e Adultos</t>
  </si>
  <si>
    <t>10.2.4 - Educação Especial</t>
  </si>
  <si>
    <t>10.2.5 - Administração Geral</t>
  </si>
  <si>
    <t>10.2.6 - Transporte (Escolar)</t>
  </si>
  <si>
    <t>10.2.7 - Outras</t>
  </si>
  <si>
    <t>INDICADORES DO FUNDEB</t>
  </si>
  <si>
    <t>DESPESAS CUSTEADAS COM RECEITAS DO FUNDEB RECEBIDAS NO EXERCÍCIO</t>
  </si>
  <si>
    <t>INSCRITAS EM RESTOS
A PAGAR 
NÃO PROCESSADOS
(g)</t>
  </si>
  <si>
    <t>INSCRITAS EM RESTOS A PAGAR NÃO PROCESSADOS (SEM DISPONIBILIDADE DE CAIXA)⁷
(h)</t>
  </si>
  <si>
    <t>DESPESAS LIQUIDADAS / EMPENHADAS EM VALOR SUPERIOR AO TOTAL DAS RECEITAS RECEBIDAS NO EXERCÍCIO (i)</t>
  </si>
  <si>
    <t>11- TOTAL DAS DESPESAS CUSTEADAS COM RECURSOS DO FUNDEB RECEBIDAS NO EXERCÍCIO</t>
  </si>
  <si>
    <t>11.1- Total das Despesas custeadas com FUNDEB - Impostos e Transferências de Impostos</t>
  </si>
  <si>
    <t>11.2- Total das Despesas custeadas com FUNDEB - Complementação da União - VAAF</t>
  </si>
  <si>
    <t>11.3- Total das Despesas custeadas com FUNDEB - Complementação da União - VAAT</t>
  </si>
  <si>
    <t>Página 3 de 6</t>
  </si>
  <si>
    <t>11.4- Total das Despesas custeadas com FUNDEB - Complementação da União - VAAR</t>
  </si>
  <si>
    <t>12- TOTAL DAS DESPESAS DO FUNDEB COM PROFISSIONAIS DA EDUCAÇÃO BÁSICA</t>
  </si>
  <si>
    <t>13- TOTAL DAS DESPESAS CUSTEADAS COM FUNDEB - COMPLEMENTAÇÃO DA UNIÃO - VAAT APLICADAS NA EDUCAÇÃO INFANTIL</t>
  </si>
  <si>
    <t>14- TOTAL DAS DESPESAS CUSTEADAS COM FUNDEB - COMPLEMENTAÇÃO DA UNIÃO - VAAT APLICADAS EM DESPESA DE CAPITAL</t>
  </si>
  <si>
    <t>INDICADORES - Art. 212-A, inciso XI e § 3º - Constituição Federal²</t>
  </si>
  <si>
    <t>VALOR EXIGIDO
(j)</t>
  </si>
  <si>
    <t>VALOR APLICADO
(k)</t>
  </si>
  <si>
    <t>VALOR CONSIDERADO
APÓS DEDUÇÕES
(l)</t>
  </si>
  <si>
    <t>% APLICADO
(m)</t>
  </si>
  <si>
    <t>15- Mínimo de 70% do FUNDEB na Remuneração dos Profissionais da Educação Básica</t>
  </si>
  <si>
    <t>16- Percentual da Complementação da União ao FUNDEB - VAAT na Educação Infantil (Indicador IEI - 0%)</t>
  </si>
  <si>
    <t>17- Mínimo de 15% da Complementação da União ao FUNDEB - VAAT em Despesas de Capital</t>
  </si>
  <si>
    <t>INDICADOR - Art.25, § 3º - Lei nº 14.113, de 2020 - (Máximo de 10% de Superávit)³</t>
  </si>
  <si>
    <t>VALOR MAXIMO PERMITIDO
(n)</t>
  </si>
  <si>
    <t>VALOR NÃO APLICADO
(o)</t>
  </si>
  <si>
    <t>VALOR NÃO APLICADO APÓS 
AJUSTE
(p)</t>
  </si>
  <si>
    <t>VALOR NÃO APLICADO EXCEDENTE AO MÁXIMO PERMITIDO
(q)</t>
  </si>
  <si>
    <t>% NÃO APLICADO
(r)</t>
  </si>
  <si>
    <t>18- Total da Receita Recebida e não Aplicada no Exercício</t>
  </si>
  <si>
    <t>INDICADOR - Art.25, § 3º - Lei nº 14.113, de 2020 - (Aplicação do Superávit de Exercício Anterior)³</t>
  </si>
  <si>
    <t>VALOR DE SUPERÁVIT
PERMITIDO NO EXERCÍCIO 
ANTERIOR
(s)</t>
  </si>
  <si>
    <t>VALOR NÃO
APLICADO NO 
EXERCÍCIO ANTERIOR
(t)</t>
  </si>
  <si>
    <t>VALOR DE SUPERÁVIT 
APLICADO ATÉ O 
PRIMEIRO 
QUADRIMESTRE
(u)</t>
  </si>
  <si>
    <t>VALOR APLICADO APÓS O PRIMEIRO QUADRIMESTRE
(v)</t>
  </si>
  <si>
    <t>VALOR TOTAL DE SUPERÁVIT NÃO APLICADO ATÉ O FINAL DO EXERCÍCIO
(w)</t>
  </si>
  <si>
    <t>VALOR DE SUPERÁVIT PERMITIDO NO EXERCÍCIO ANTERIOR NÃO APLICADO NO EXERCÍCIO ATUAL
(x)</t>
  </si>
  <si>
    <t>19- TOTAL DAS DESPESAS CUSTEADAS COM SUPERÁVIT DO FUNDEB</t>
  </si>
  <si>
    <t>19.1- Total das Despesas custeadas com FUNDEB - Impostos e Transferências de Impostos</t>
  </si>
  <si>
    <t>19.2- Total das Despesas custeadas com FUNDEB - Complementação da União (VAAF + VAAT + VAAR)</t>
  </si>
  <si>
    <t>DESPESAS COM MANUTENÇÃO E DESENVOLVIMENTO DO ENSINO – MDE – CUSTEADAS COM RECEITA DE IMPOSTOS (EXCETO FUNDEB)</t>
  </si>
  <si>
    <t xml:space="preserve"> DESPESAS COM AÇÕES TÍPICAS DE MDE - RECEITAS DE IMPOSTOS - EXCETO FUNDEB
(Por Subfunção)</t>
  </si>
  <si>
    <t>20- TOTAL DAS DESPESAS COM AÇÕES TÍPICAS DE MDE CUSTEADAS COM RECEITAS DE IMPOSTOS</t>
  </si>
  <si>
    <t>20.1- Educação Infantil</t>
  </si>
  <si>
    <t>20.2- Ensino Fundamental</t>
  </si>
  <si>
    <t>20.3- Educação de Jovens e Adultos</t>
  </si>
  <si>
    <t>20.4- Educação Especial</t>
  </si>
  <si>
    <t>20.5- Administração Geral</t>
  </si>
  <si>
    <t>20.6- Transporte (Escolar)</t>
  </si>
  <si>
    <t>20.7- Outras</t>
  </si>
  <si>
    <t>Página 4 de 6</t>
  </si>
  <si>
    <t>DESPESAS COM MANUTENÇÃO E DESENVOLVIMENTO DO ENSINO – MDE -  CUSTEADAS COM RECEITA DE IMPOSTOS E COM RECURSOS DO FUNDEB</t>
  </si>
  <si>
    <t xml:space="preserve"> DESPESAS COM AÇÕES TÍPICAS DE MDE - RECEITAS DE IMPOSTOS E RECURSOS DO FUNDEB
(Por Área de Atuação)⁶</t>
  </si>
  <si>
    <t>21- TOTAL DAS DESPESAS COM AÇÕES TÍPICAS DE MDE CUSTEADAS COM RECEITAS DE IMPOSTOS E FUNDEB</t>
  </si>
  <si>
    <t>21.1- Educação Infantil</t>
  </si>
  <si>
    <t>21.1.1- Creche</t>
  </si>
  <si>
    <t>21.1.2- Pré-escola</t>
  </si>
  <si>
    <t>22.2- Ensino Fundamental</t>
  </si>
  <si>
    <t>APURAÇÃO DO LIMITE MÍNIMO CONSTITUCIONAL</t>
  </si>
  <si>
    <t>22- TOTAL DAS DESPESAS DE MDE CUSTEADAS COM RECURSOS DE IMPOSTOS = L20(d ou e)</t>
  </si>
  <si>
    <t>23- TOTAL DAS RECEITAS TRANSFERIDAS AO FUNDEB = (L4)</t>
  </si>
  <si>
    <t>24- (-) RECEITAS DO FUNDEB NÃO UTILIZADAS NO EXERCÍCIO, EM VALOR SUPERIOR A 10% = L18(q)</t>
  </si>
  <si>
    <t>26- (-) RESTOS A PAGAR NÃO PROCESSADOS INSCRITOS NO EXERCÍCIO SEM DISPONIBILIDADE FINANCEIRA DE RECURSOS DE IMPOSTOS</t>
  </si>
  <si>
    <t>28- TOTAL DAS DESPESAS PARA FINS DE LIMITE  (22 + 23 - 24 - 25 - 26 - 27)</t>
  </si>
  <si>
    <t>APURAÇÃO DO LIMITE MÍNIMO CONSTITUCIONAL² ᵉ ⁵</t>
  </si>
  <si>
    <t>VALOR EXIGIDO
(z)</t>
  </si>
  <si>
    <t>VALOR APLICADO
(aa)</t>
  </si>
  <si>
    <t>% APLICADO
(ab)</t>
  </si>
  <si>
    <t>29- APLICAÇÃO EM MDE SOBRE A RECEITA RESULTANTE DE IMPOSTOS</t>
  </si>
  <si>
    <t>RESTOS A PAGAR INSCRITOS EM EXERCÍCIOS ANTERIORES DE DESPESAS CONSIDERADAS PARA CUMPRIMENTO DO LIMITE⁸</t>
  </si>
  <si>
    <t>SALDO INICIAL
(ac)</t>
  </si>
  <si>
    <t>RP LIQUIDADOS
(ad)</t>
  </si>
  <si>
    <t>RP PAGOS
(ae)</t>
  </si>
  <si>
    <t>RP CANCELADOS
(af)</t>
  </si>
  <si>
    <t>SALDO FINAL
(ag) = (ac) - (ae) - (af)</t>
  </si>
  <si>
    <t>30- RESTOS A PAGAR DE DESPESAS COM MDE</t>
  </si>
  <si>
    <t>30.1 - Executadas com Recursos de Impostos e Transferências de Impostos</t>
  </si>
  <si>
    <t>30.2 - Executadas com Recursos do FUNDEB - Impostos</t>
  </si>
  <si>
    <t>30.3 - Executadas com Recursos do FUNDEB - Complementação da União (VAAT + VAAF + VAAR)</t>
  </si>
  <si>
    <t>OUTRAS INFORMAÇÕES PARA CONTROLE</t>
  </si>
  <si>
    <t>RECEITAS ADICIONAIS PARA FINANCIAMENTO DO ENSINO</t>
  </si>
  <si>
    <t>31- TOTAL DAS RECEITAS ADICIONAIS PARA FINANCIAMENTO DO ENSINO</t>
  </si>
  <si>
    <t>31.1- RECEITA DE TRANSFERÊNCIAS DO FNDE (INCLUINDO RENDIMENTOS DE APLICAÇÃO FINANCEIRA)</t>
  </si>
  <si>
    <t>31.1.1- Salário-Educação</t>
  </si>
  <si>
    <t>31.1.2- PDDE</t>
  </si>
  <si>
    <t>31.1.3- PNAE</t>
  </si>
  <si>
    <t>31.1.4- PNATE</t>
  </si>
  <si>
    <t>31.1.5- Outras Transferências do FNDE</t>
  </si>
  <si>
    <t>31.2- RECEITA DE TRANSFERÊNCIAS DE CONVÊNIOS</t>
  </si>
  <si>
    <t>31.3- RECEITA DE ROYALTIES DESTINADOS À EDUCAÇÃO</t>
  </si>
  <si>
    <t>Página 5 de 6</t>
  </si>
  <si>
    <t>31.4- RECEITA DE OPERAÇÕES DE CRÉDITO VINCULADAS À EDUCAÇÃO</t>
  </si>
  <si>
    <t>OUTRAS DESPESAS COM EDUCAÇÃO
(Por Subfunção)⁶</t>
  </si>
  <si>
    <t>32- TOTAL DAS DESPESAS COM AÇÕES TÍPICAS DE MDE CUSTEADAS COM DEMAIS RECEITAS</t>
  </si>
  <si>
    <t>32.1- EDUCAÇÃO INFANTIL</t>
  </si>
  <si>
    <t>32.2- ENSINO FUNDAMENTAL</t>
  </si>
  <si>
    <t>32.3- ENSINO MÉDIO</t>
  </si>
  <si>
    <t>32.4- ENSINO SUPERIOR</t>
  </si>
  <si>
    <t>32.5- ENSINO PROFISSIONAL</t>
  </si>
  <si>
    <t>32.6- EDUCAÇÃO DE JOVENS E ADULTOS</t>
  </si>
  <si>
    <t>32.7- EDUCAÇÃO ESPECIAL</t>
  </si>
  <si>
    <t>32.8- OUTRAS</t>
  </si>
  <si>
    <t>TOTAL GERAL DAS DESPESAS COM EDUCAÇÃO</t>
  </si>
  <si>
    <t>33- TOTAL GERAL DAS DESPESAS COM EDUCAÇÃO (10 + 20 + 32)</t>
  </si>
  <si>
    <t>33.1- Despesas Correntes</t>
  </si>
  <si>
    <t>33.1.1- Pessoal Ativo</t>
  </si>
  <si>
    <t>33.1.2- Pessoal Inativo</t>
  </si>
  <si>
    <t>33.1.3-Transferências às instituições comunitárias, confessionais ou filantrópicas sem fins lucrativos</t>
  </si>
  <si>
    <t>33.1.4- Outras Despesas Correntes</t>
  </si>
  <si>
    <t>33.2- Despesas de Capital</t>
  </si>
  <si>
    <t>33.2.1- Transferências às instituições comunitárias, confessionais ou filantrópicas sem fins lucrativos</t>
  </si>
  <si>
    <t>33.2.2- Outras Despesas de Capital</t>
  </si>
  <si>
    <t>CONTROLE DA DISPONIBILIDADE FINANCEIRA E CONCILIAÇÃO BANCÁRIA</t>
  </si>
  <si>
    <t>FUNDEB
(ah)</t>
  </si>
  <si>
    <t>SALÁRIO EDUCAÇÃO
(ai)</t>
  </si>
  <si>
    <t>35- (+) INGRESSO DE RECURSOS ATÉ O BIMESTRE (orçamentário)</t>
  </si>
  <si>
    <t>36- (-) PAGAMENTOS EFETUADOS ATÉ O BIMESTRE (orçamentário e restos a pagar)</t>
  </si>
  <si>
    <t>37- (=) DISPONIBILIDADE FINANCEIRA ATÉ O BIMESTRE</t>
  </si>
  <si>
    <t>38- (+) AJUSTES POSITIVOS (RETENÇÕES E OUTROS VALORES EXTRAORÇAMENTÁRIOS)</t>
  </si>
  <si>
    <t>39- (-) AJUSTES NEGATIVOS (OUTROS VALORES EXTRAORÇAMENTÁRIOS)</t>
  </si>
  <si>
    <t>Página 6 de 6</t>
  </si>
  <si>
    <t>40- (=) SALDO FINANCEIRO CONCILIADO (Saldo Bancário)</t>
  </si>
  <si>
    <t>1 Os valores informados devem corresponder ao efetivamente transferido. Os percentuais correspodem ao disposto na legislação.
2 Limites mínimos anuais a serem cumpridos no encerramento do exercício.
3 Art. 25, § 3º, Lei 14.113/2020: “Até 10% (dez por cento) dos recursos recebidos à conta dos Fundos, inclusive relativos à complementação da União, nos termos do § 2º do art. 16 desta Lei, poderão ser utilizados no primeiro quadrimestre do exercício imediatamente subsequente, mediante abertura de crédito adicional.
4 Os valores referentes à parcela dos Restos a Pagar inscritos sem disponibilidade financeira vinculada à educação deverão ser informados somente no RREO do último bimestre do exercício.
5 Nos cinco primeiros bimestres do exercício o acompanhamento será feito com base na despesa liquidada. No último bimestre do exercício, o valor deverá corresponder ao total da despesa empenhada.
6 As linhas representam áreas de atuação e não correspondem exatamente às subfunções da Função Educação. As despesas classificadas nas demais subfunções típicas e nas subfunções atípicas deverão ser rateadas para essas áreas de atuação.
7 Valor inscrito em RPNP sem disponibilidade de caixa, que não será considerado na apuração dos indicadores e limites. Para as linhas 15, 16 e 17, deverá ser comparado o total inscrito em RPNP com a disponibilidade de caixa por fonte de recursos. Para a linha 14, deverá ser verificada a diferença entre a disponibilidade nas Fontes do Fundeb e os RPNP referentes a essas despesas. Para a linha 18, deverá ser verificada a diferença entre as disponibilidades na Fonte VAAT e os RPNP dessas despesas.
8 Controle da execução de restos a pagar considerados no cumprimento do limite mínimo dos exercícios anteriores.
9 Nesta coluna não devem se informados valores inferiores a 0 (zero).
10 Essa coluna não deve conter percentual superior a 100%. Caso isso ocorra, em razão de valores informados na coluna (i), os percentuais devem ser ajustados para 100%.</t>
  </si>
  <si>
    <t>DEMONSTRATIVO DA PROJEÇÃO ATUARIAL DO REGIME PRÓPRIO DE</t>
  </si>
  <si>
    <t>PREVIDÊNCIA DOS SERVIDORES</t>
  </si>
  <si>
    <t>2024 a 2098</t>
  </si>
  <si>
    <t>RREO – ANEXO 10 (LRF, art. 53, § 1º, inciso II)</t>
  </si>
  <si>
    <t>PLANO PREVIDENCIÁRIO</t>
  </si>
  <si>
    <t>RESULTADO</t>
  </si>
  <si>
    <t>SALDO FINANCEIRO</t>
  </si>
  <si>
    <t>PREVIDENCIÁRIAS</t>
  </si>
  <si>
    <t>PREVIDENCIÁRIO</t>
  </si>
  <si>
    <t>DO EXERCÍCIO</t>
  </si>
  <si>
    <t>(d) = ("d"exercício anterior)+(c))</t>
  </si>
  <si>
    <t>PLANO FINANCEIRO</t>
  </si>
  <si>
    <t>Nota1: A RCL e a DCLP (Despesa Corrente com Pessoal) do período foi apurada pela Contabilidade</t>
  </si>
  <si>
    <t>2.1.01.01.0.1.10</t>
  </si>
  <si>
    <t>Rendimentos de Aplicação Financeira referente aos recursos do regime próprio de previdência Social - RPPS (501 /502)</t>
  </si>
  <si>
    <t>Despesas com Pessoal Não Executadas Orçamentariamente: Empenhos Números 152, 152 e 12491 de 2023</t>
  </si>
  <si>
    <t>Fonte: Balancete da Receita Junho/2024 - Unidade Gestora: CONSOLIDADO</t>
  </si>
  <si>
    <t xml:space="preserve">Modelo 2 -  DEMONSTRATIVO DA DESPESA COM PESSOAL      </t>
  </si>
  <si>
    <t>Modelo I - DEMONSTRATIVO DA RECEITA CORRENTE LÍQUIDA</t>
  </si>
  <si>
    <t xml:space="preserve"> 5.3.2.1.0</t>
  </si>
  <si>
    <t>RP NÃO PROCESSADOS INSCRITOS</t>
  </si>
  <si>
    <t xml:space="preserve"> 5.3.1.1.0</t>
  </si>
  <si>
    <t xml:space="preserve"> 6.3.1.4.0</t>
  </si>
  <si>
    <t xml:space="preserve"> 6.3.1.9.9</t>
  </si>
  <si>
    <t>Process Pagos</t>
  </si>
  <si>
    <t>Ñ Proc Pagos no Exercício</t>
  </si>
  <si>
    <t>Restos a Pagar Não Proces de Exerc. Ant. Inscritos:</t>
  </si>
  <si>
    <t xml:space="preserve"> Recursos Vinculados ao Fundo de Previdência Social (149) Contri. Sen. Judi. Servi</t>
  </si>
  <si>
    <t>1.2.1.5.01.4.1</t>
  </si>
  <si>
    <t>3.3.90.34</t>
  </si>
  <si>
    <t>3.3.XX.04</t>
  </si>
  <si>
    <t>Até o 4º Bimestre</t>
  </si>
  <si>
    <t>Demonstrativo das Receitas e Despesas com Ações e Serviços Públicos de Saúde</t>
  </si>
  <si>
    <t>RREO – ANEXO XII  (LC n° 141/2012 art.35)</t>
  </si>
  <si>
    <t>RECEITAS RESULTANTES DE IMPOSTOS E TRANSFERÊNCIAS CONSTITUCIONAIS E LEGAIS</t>
  </si>
  <si>
    <t>Até o Bimestre (b)</t>
  </si>
  <si>
    <t>% (b/a) x 100</t>
  </si>
  <si>
    <t>RECEITA DE IMPOSTOS  (I)</t>
  </si>
  <si>
    <t>Receita Resultante do Imposto Predial e Territorial Urbano - IPTU</t>
  </si>
  <si>
    <t>Receita Resultante do Imposto sobre Transmissão Inter Vivos - ITBI</t>
  </si>
  <si>
    <t>Receita Resultante do Imposto sobre Serviços de Qualquer Natureza - ISS</t>
  </si>
  <si>
    <t>Receita Resultante do Imposto sobre a Renda e Proventos de Qualquer Natureza Retido na Fonte – IRRF</t>
  </si>
  <si>
    <t>RECEITA DE TRANSFERÊNCIAS CONSTITUCIONAIS E LEGAIS (II)</t>
  </si>
  <si>
    <t>Cota-Parte FPM</t>
  </si>
  <si>
    <t>Cota-Parte ITR</t>
  </si>
  <si>
    <t>Cota-Parte IPVA</t>
  </si>
  <si>
    <t>Cota-Parte ICMS</t>
  </si>
  <si>
    <t>Cota-Parte IPI-Exportação</t>
  </si>
  <si>
    <t>Outras Transferências ou Compensações Financeiras Provenientes de Impostos e Transferências Constitucionais</t>
  </si>
  <si>
    <t>TOTAL DAS RECEITAS RESULTANTES DE IMPOSTOS E TRANFERÊNCIAS CONSTITUCIONAIS E LEGAIS - (III) = (I) + (II)</t>
  </si>
  <si>
    <t>DESPESAS COM AÇÕES E SERVIÇOS PÚBLICOS DE SAÚDE (ASPS) –  POR SUBFUNÇÃO E CATEGORIA ECONÔMICA</t>
  </si>
  <si>
    <t>DOTAÇÃO
INICIAL</t>
  </si>
  <si>
    <t>DESPESAS PAGAS</t>
  </si>
  <si>
    <t>Até o bimestre (d)</t>
  </si>
  <si>
    <t>% (d/c) x 100</t>
  </si>
  <si>
    <t>Até o bimestre (e)</t>
  </si>
  <si>
    <t>% (e/c) x 100</t>
  </si>
  <si>
    <t>Até o bimestre (f)</t>
  </si>
  <si>
    <t>% (f/c) x 100</t>
  </si>
  <si>
    <t>ATENÇÃO BÁSICA  (IV)</t>
  </si>
  <si>
    <t>Despesas Correntes</t>
  </si>
  <si>
    <t>ASSISTÊNCIA HOSPITALAR E AMBULATORIAL  (V)</t>
  </si>
  <si>
    <t>SUPORTE PROFILÁTICO E TERAPÊUTICO  (VI)</t>
  </si>
  <si>
    <t>VIGILÂNCIA SANITÁRIA  (VII)</t>
  </si>
  <si>
    <t>VIGILÂNCIA EPIDEMIOLÓGICA (VIII)</t>
  </si>
  <si>
    <t>ALIMENTAÇÃO E NUTRIÇÃO (IX)</t>
  </si>
  <si>
    <t>OUTRAS SUBFUNÇÕES (X)</t>
  </si>
  <si>
    <t>TOTAL (XI) = (IV + V + VI + VII + VIII + IX + X)</t>
  </si>
  <si>
    <t>APURAÇÃO DO CUMPRIMENTO DO LIMITE MÍNIMO PARA APLICAÇÃO EM ASPS</t>
  </si>
  <si>
    <t>DESPESAS EMPENHADAS (d)</t>
  </si>
  <si>
    <t>DESPESAS LIQUIDADAS (e)</t>
  </si>
  <si>
    <t>DESPESAS PAGAS (f)</t>
  </si>
  <si>
    <t>Total das Despesas com ASPS (XII) = (XI)</t>
  </si>
  <si>
    <t>(-) Restos a Pagar Não Processados Inscritos Indevidamente no Exercício sem Disponibilidade Financeira (XIII)¹</t>
  </si>
  <si>
    <t>(-) Despesas Custeadas com Recursos Vinculados à Parcela do Percentual Mínimo que não foi Aplicada em ASPS em Exercícios Anteriores (XIV)³</t>
  </si>
  <si>
    <t>(-) Despesas Custeadas com Disponibilidade de Caixa Vinculada aos Restos a Pagar Cancelados (XV)²</t>
  </si>
  <si>
    <t>(=) VALOR APLICADO EM ASPS (XVI) = (XII - XIII - XIV - XV)</t>
  </si>
  <si>
    <t>Despesa Mínima a ser Aplicada em ASPS (XVII) = (III) x 15% (LC 141/2012)</t>
  </si>
  <si>
    <t>Despesa Mínima a ser Aplicada em ASPS (XVII) = (III) x % (Lei Orgânica Municipal)</t>
  </si>
  <si>
    <t>Diferença entre o Valor Aplicado e a Despesa Mínima a ser Aplicada (XVIII) = (XVI (d ou e) - XVII)1</t>
  </si>
  <si>
    <t>Limite não Cumprido (XIX) = (XVIII) (Quando valor for inferior a zero)</t>
  </si>
  <si>
    <t>PERCENTUAL DA RECEITA  DE IMPOSTOS E TRANSFERÊNCIAS CONSTITUCIONAIS E LEGAIS APLICADO EM ASPS  (XVI / III)*100 (mínimo de 15% conforme LC n° 141/2012 ou % da Lei Orgânica Municipal)</t>
  </si>
  <si>
    <t>CONTROLE DO VALOR REFERENTE AO PERCENTUAL MÍNIMO NÃO CUMPRIDO EM EXERCÍCIOS ANTERIORES PARA FINS DE APLICAÇÃO DOS RECURSOS VINCULADOS CONFORME ARTIGOS 25 E 26 DA LC 141/2012</t>
  </si>
  <si>
    <t>LIMITE NÃO CUMPRIDO</t>
  </si>
  <si>
    <t>Saldo Inicial 
(no exercicio atual)
(h)</t>
  </si>
  <si>
    <t>Despesas Custeadas no Exercício de Referência</t>
  </si>
  <si>
    <t>Saldo Final
(não aplicado)1 
(l) = (h - (i ou j))</t>
  </si>
  <si>
    <t>Empenhadas
(i)</t>
  </si>
  <si>
    <t>Liquidadas
(j)</t>
  </si>
  <si>
    <t>Pagas
(k)</t>
  </si>
  <si>
    <t>Diferença de limite não cumprido em Exercícios Anteriores (saldo inicial igual ao saldo final do demonstrativo do exercício anterior)</t>
  </si>
  <si>
    <t>TOTAL DA DIFERENÇA DE LIMITE NÃO CUMPRIDO EM EXERCÍCIOS ANTERIORES (XX)</t>
  </si>
  <si>
    <t>EXECUÇÃO DE RESTOS A PAGAR</t>
  </si>
  <si>
    <t>EXERCÍCIO DO EMPENHO²</t>
  </si>
  <si>
    <t>Valor Mínimo para aplicação em ASPS                                                 (m)</t>
  </si>
  <si>
    <t xml:space="preserve"> Valor aplicado em ASPS no exercício                                                  
(n)</t>
  </si>
  <si>
    <t>Valor aplicado além do limite mínimo       (o) = (n - m), se &lt; 0, então (o) = 0</t>
  </si>
  <si>
    <t>Total inscrito em RP no exercício                      (p)</t>
  </si>
  <si>
    <t>RPNP Inscritos Indevidamente no Exercício sem Disponibilidade Financeira         q = (XIIId)</t>
  </si>
  <si>
    <t>Valor inscrito em RP considerado no Limite
(r) = (p - (o + q))
se &lt; 0,
então (r) = (0)</t>
  </si>
  <si>
    <t>Total de RP pagos                (s)</t>
  </si>
  <si>
    <t>Total de RP a pagar                (t) = (p) - (s) - (u)</t>
  </si>
  <si>
    <t>Total de RP cancelados ou prescritos                                (u)</t>
  </si>
  <si>
    <t>Diferença entre o valor aplicado além do limite e o total de RP cancelados                                                       (v) = ((o + q) - u))</t>
  </si>
  <si>
    <t>Empenhos de 2024</t>
  </si>
  <si>
    <t>Empenhos de 2023</t>
  </si>
  <si>
    <t>Empenhos de 2022</t>
  </si>
  <si>
    <t>TOTAL DOS RESTOS A PAGAR CANCELADOS OU PRESCRITOS ATÉ O FINAL DO EXERCÍCIO ATUAL QUE AFETARAM O CUMPRIMENTO DO LIMITE (XXI)</t>
  </si>
  <si>
    <t>TOTAL DOS RESTOS A PAGAR CANCELADOS OU PRESCRITOS ATÉ O FINAL DO EXERCÍCIO ANTERIOR QUE AFETARAM O CUMPRIMENTO DO LIMITE (XXII)</t>
  </si>
  <si>
    <t>TOTAL DOS RESTOS A PAGAR CANCELADOS OU PRESCRITOS NO EXERCÍCIO ATUAL QUE AFETARAM O CUMPRIMENTO DO LIMITE (XXIII) = (XXI - XXII)</t>
  </si>
  <si>
    <t>CONTROLE DE RESTOS A PAGAR CANCELADOS OU PRESCRITOS CONSIDERADOS PARA FINS DE APLICAÇÃO DA DISPONIBILIDADE DE CAIXA CONFORME ARTIGO 24§ 1º e 2º DA LC 141/2012</t>
  </si>
  <si>
    <t>RESTOS A PAGAR CANCELADOS OU PRESCRITOS</t>
  </si>
  <si>
    <t>Saldo Inicial
(w)</t>
  </si>
  <si>
    <t>Saldo Final (não aplicado)1         
(aa) = (w - (x ou y))</t>
  </si>
  <si>
    <t>Empenhadas
(x)</t>
  </si>
  <si>
    <t>Liquidadas
(y)</t>
  </si>
  <si>
    <t>Pagas
(z)</t>
  </si>
  <si>
    <t>Restos a pagar cancelados ou prescritos em exercícios anteriores a serem compensados (XXVI)</t>
  </si>
  <si>
    <t>TOTAL DE RESTOS A PAGAR CANCELADOS OU PRESCRITOS A COMPENSAR (XXVII)</t>
  </si>
  <si>
    <t>(128.951,71)</t>
  </si>
  <si>
    <t>RECEITAS ADICIONAIS PARA O FINANCIAMENTO DA SAÚDE NÃO COMPUTADAS NO CÁLCULO DO MÍNIMO</t>
  </si>
  <si>
    <t>RECEITAS DE TRANSFERÊNCIAS PARA A SAÚDE  (XXVIII)</t>
  </si>
  <si>
    <t>Proveniente da União</t>
  </si>
  <si>
    <t>Proveniente dos Estados</t>
  </si>
  <si>
    <t>Proveniente de outros Municípios</t>
  </si>
  <si>
    <t>RECEITA DE OPERAÇÕES DE CRÉDITO INTERNAS E EXTERNAS VINCULADAS A SAÚDE (XXIX)</t>
  </si>
  <si>
    <t>OUTRAS RECEITAS (XXX)</t>
  </si>
  <si>
    <t>TOTAL DE RECEITAS ADICIONAIS PARA FINANCIAMENTO DA SAÚDE (XXXI) = (XXVIII + XXIX + XXX)</t>
  </si>
  <si>
    <t>DESPESAS COM SAÚDE NÃO COMPUTADAS NO CÁLCULO DO MÍNIMO</t>
  </si>
  <si>
    <t>DESPESAS COM SAUDE POR SUBFUNÇÕES E CATEGORIA ECONÔMICA NÃO COMPUTADAS NO CÁLCULO DO MÍNIMO</t>
  </si>
  <si>
    <t>ATENÇÃO BÁSICA (XXXII)</t>
  </si>
  <si>
    <t>ASSISTÊNCIA HOSPITALAR E AMBULATORIAL (XXXIII)</t>
  </si>
  <si>
    <t>SUPORTE PROFILÁTICO E TERAPÊUTICO (XXXIV)</t>
  </si>
  <si>
    <t>2,00</t>
  </si>
  <si>
    <t>VIGILÂNCIA SANITÁRIA (XXXV)</t>
  </si>
  <si>
    <t>VIGILÂNCIA EPIDEMIOLÓGICA (XXXVI)</t>
  </si>
  <si>
    <t>ALIMENTAÇÃO E NUTRIÇÃO (XXXVII)</t>
  </si>
  <si>
    <t>OUTRAS SUBFUNÇÕES (XXXVIII)</t>
  </si>
  <si>
    <t>TOTAL DAS DESPESAS NÃO COMPUTADAS NO CÁLCULO DO MÍNIMO  (XXXIX) = (XXXII + XXXIII + XXXIV + XXXV + XXXVI + XXXVII + XXXVIII)</t>
  </si>
  <si>
    <t>DESPESAS TOTAIS COM SAÚDE</t>
  </si>
  <si>
    <t>ATENÇÃO BÁSICA (XL) = (IV + XXXII)</t>
  </si>
  <si>
    <t>ASSISTÊNCIA HOSPITALAR E AMBULATORIAL (XLI) = (V + XXXIII)</t>
  </si>
  <si>
    <t>SUPORTE PROFILÁTICO E TERAPÊUTICO (XLII) = (VI + XXXIV)</t>
  </si>
  <si>
    <t>VIGILÂNCIA SANITÁRIA (XLIII) = (VII + XXXV)</t>
  </si>
  <si>
    <t>VIGILÂNCIA EPIDEMIOLÓGICA (XLIV) = (VIII + XXXVI)</t>
  </si>
  <si>
    <t>ALIMENTAÇÃO E NUTRIÇÃO (XLV) = (XIX + XXXVII)</t>
  </si>
  <si>
    <t>OUTRAS SUBFUNÇÕES (XLVI) = (X + XXXVIII)</t>
  </si>
  <si>
    <t>TOTAL DAS DESPESAS COM SAÚDE (XLVII) = (XI + XXXIX)</t>
  </si>
  <si>
    <t>Notas:</t>
  </si>
  <si>
    <t>¹Nos cinco primeiros bimestres do exercício, o acompanhamento será feito com base na despesa liquidada. No último bimestre do exercício, o valor deverá corresponder ao total da despesa empenhada.</t>
  </si>
  <si>
    <t>²Até o exercício de 2018, o controle da execução dos restos a pagar considerava apenas os valores dos restos a pagar não processados. A partir do exercício de 2019, o controle da execução dos restos a pagar considera os restos a pagar processados e não processados.</t>
  </si>
  <si>
    <t>(h)</t>
  </si>
  <si>
    <t>CAMARA MUNICIPAL CACAPAVA DO SUL</t>
  </si>
  <si>
    <t>Índice Prévio:</t>
  </si>
  <si>
    <t>5º bimestre</t>
  </si>
  <si>
    <t>Transferências dos Municípios e de suas Entidades</t>
  </si>
  <si>
    <t>3.500,00</t>
  </si>
  <si>
    <t>Relatório Resumido de Execução Orçamentária</t>
  </si>
  <si>
    <t>Demonstrativo da Execução das Despesas por Função/Subfunção</t>
  </si>
  <si>
    <t>RREO - ANEXO 2 (LRF, Art. 52, inciso II, alínea 'c')</t>
  </si>
  <si>
    <t>FUNÇÃO/SUBFUNÇÃO</t>
  </si>
  <si>
    <t>Dotação</t>
  </si>
  <si>
    <t>Inicial</t>
  </si>
  <si>
    <t>Atualizada</t>
  </si>
  <si>
    <t>(b/total b)</t>
  </si>
  <si>
    <t>(e)=(a-d)</t>
  </si>
  <si>
    <t>DESPESAS(EXCETO INTRAORÇAMENTÁRIAS)(I)</t>
  </si>
  <si>
    <t>Legislativa</t>
  </si>
  <si>
    <t>Ação Legislativa</t>
  </si>
  <si>
    <t>Essencial à Justiça</t>
  </si>
  <si>
    <t>Representação Judicial e Extrajudicial</t>
  </si>
  <si>
    <t>Administração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</si>
  <si>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</si>
  <si>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</si>
  <si>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</si>
  <si>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</si>
  <si>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</si>
  <si>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</si>
  <si>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Formação de Recursos Humanos</t>
  </si>
  <si>
    <t>Administração de Receitas</t>
  </si>
  <si>
    <t>Comunicação Social</t>
  </si>
  <si>
    <t>Previdência Básica</t>
  </si>
  <si>
    <t>Previdência Complementar</t>
  </si>
  <si>
    <t>Proteção e Benefícios ao Trabalhador</t>
  </si>
  <si>
    <t>Turismo</t>
  </si>
  <si>
    <t>Segurança Pública</t>
  </si>
  <si>
    <t>Policiamento</t>
  </si>
  <si>
    <t>Defesa Civil</t>
  </si>
  <si>
    <t>Assistência Social</t>
  </si>
  <si>
    <t>Assistência à Criança e ao Adolescente</t>
  </si>
  <si>
    <t>Assistência Comunitária</t>
  </si>
  <si>
    <t>Direitos Individuais, Coletivos e Difusos</t>
  </si>
  <si>
    <t>Habitação Rural</t>
  </si>
  <si>
    <t>Habitação Urbana</t>
  </si>
  <si>
    <t>Previdência Social</t>
  </si>
  <si>
    <t>Previdência do Regime Estatutário</t>
  </si>
  <si>
    <t>Assistência Hospitalar e Ambulatorial</t>
  </si>
  <si>
    <t>Saúde</t>
  </si>
  <si>
    <t>Atenção Básica</t>
  </si>
  <si>
    <t>Suporte Profilático e Terapêutico</t>
  </si>
  <si>
    <t>Vigilância Sanitária</t>
  </si>
  <si>
    <t>Vigilância Epidemiológica</t>
  </si>
  <si>
    <t>Educação</t>
  </si>
  <si>
    <t>Ensino Fundamental</t>
  </si>
  <si>
    <t>Ensino Médio</t>
  </si>
  <si>
    <t>Educação Infantil</t>
  </si>
  <si>
    <t>Educação de Jovens e Adultos</t>
  </si>
  <si>
    <t>Educação Especial</t>
  </si>
  <si>
    <t>Transporte Rodoviário</t>
  </si>
  <si>
    <t>Cultura</t>
  </si>
  <si>
    <t>Patrimônio Histórico, Artístico e Arqueológico</t>
  </si>
  <si>
    <t>Difusão Cultural</t>
  </si>
  <si>
    <t>Direitos da Cidadania</t>
  </si>
  <si>
    <t>Urbanismo</t>
  </si>
  <si>
    <t>Infra-estrutura Urbana</t>
  </si>
  <si>
    <t>Serviços Urbanos</t>
  </si>
  <si>
    <t>Habitação</t>
  </si>
  <si>
    <t>Saneamento</t>
  </si>
  <si>
    <t>Saneamento Básico Rural</t>
  </si>
  <si>
    <t>Saneamento Básico Urbano</t>
  </si>
  <si>
    <t>Gestão Ambiental</t>
  </si>
  <si>
    <t>Preservação e Conservação Ambiental</t>
  </si>
  <si>
    <t>Controle Ambiental</t>
  </si>
  <si>
    <t>Recursos Hídricos</t>
  </si>
  <si>
    <t>Agricultura</t>
  </si>
  <si>
    <t>Abastecimento</t>
  </si>
  <si>
    <t>Extensão Rural</t>
  </si>
  <si>
    <t>Promoção da Produção Agropecuária</t>
  </si>
  <si>
    <t>Defesa Agropecuária</t>
  </si>
  <si>
    <t>Indústria</t>
  </si>
  <si>
    <t>Promoção Industrial</t>
  </si>
  <si>
    <t>Comércio e Serviços</t>
  </si>
  <si>
    <t>Promoção Comercial</t>
  </si>
  <si>
    <t>Comunicações</t>
  </si>
  <si>
    <t>Telecomunicações</t>
  </si>
  <si>
    <t>Transporte</t>
  </si>
  <si>
    <t>Desporto e Lazer</t>
  </si>
  <si>
    <t>Desporto Comunitário</t>
  </si>
  <si>
    <t>Encargos Especiais</t>
  </si>
  <si>
    <t>Serviço da Dívida Interna</t>
  </si>
  <si>
    <t>Outros Encargos Especiais</t>
  </si>
  <si>
    <t>Reserva de Contingência</t>
  </si>
  <si>
    <t>DESPESAS INTRAORÇAMENTÁRIAS (II)</t>
  </si>
  <si>
    <t>TOTAL (III)=(I+II)</t>
  </si>
  <si>
    <t>DESPESAS(INTRAORÇAMENTÁRIAS) (II)</t>
  </si>
  <si>
    <t>DEMONSTRATIVO DA DISPONIBILIDADE DE CAIXA E DOS RESTOS A PAGAR</t>
  </si>
  <si>
    <t>RGF – ANEXO 5 (LRF, art. 55, Inciso III, alínea "a")</t>
  </si>
  <si>
    <t>IDENTIFICAÇÃO DOS RECURSOS</t>
  </si>
  <si>
    <t xml:space="preserve">
DISPONIBILIDADE
DE CAIXA BRUTA</t>
  </si>
  <si>
    <t>OBRIGAÇÕES FINANCEIRAS</t>
  </si>
  <si>
    <t xml:space="preserve">
INSUFICIÊNCIA
FINANCEIRA
VERIFICADA NO
CONSÓRCIO
PÚBLICO</t>
  </si>
  <si>
    <t>DISPONIBILIDADE DE CAIXA LÍQUIDA (ANTES DA INSCRIÇÃO EM RESTOS A PAGAR NÃO PROCESSADOS DO EXERCÍCIO)¹</t>
  </si>
  <si>
    <t>EMPENHOS NÃO LIQUIDADOS CANCELADOS (NÃO INSCRITOS POR INSUFICIÊNCIA FINANCEIRA)</t>
  </si>
  <si>
    <t>Restos a Pagar Liquidados e Não Pagos</t>
  </si>
  <si>
    <t>Restos a Pagar Empenhados e Não Liquidados de Exercícios Anteriores</t>
  </si>
  <si>
    <t xml:space="preserve">
Demais Obrigações Financeiras</t>
  </si>
  <si>
    <t xml:space="preserve">
De Exercícios 
Anteriores</t>
  </si>
  <si>
    <t xml:space="preserve">
Do Exercício</t>
  </si>
  <si>
    <t>(g) = (a – (b + c + d + e) - f)</t>
  </si>
  <si>
    <t>(i) = (g - h)</t>
  </si>
  <si>
    <t>TOTAL DOS RECURSOS NÃO VINCULADOS (I)</t>
  </si>
  <si>
    <t>Recursos Não Vinculados de Impostos</t>
  </si>
  <si>
    <t>TOTAL DOS RECURSOS VINCULADOS (EXCETO AO RPPS) (II)</t>
  </si>
  <si>
    <t>Recursos Vinculados à Educação</t>
  </si>
  <si>
    <t>Recursos Vinculados à Saúde</t>
  </si>
  <si>
    <t>Transferências Fundo a Fundo de Recursos do SUS</t>
  </si>
  <si>
    <t>59.448,64</t>
  </si>
  <si>
    <t>Recursos Vinculados à Assistência Social</t>
  </si>
  <si>
    <t>Recursos Vinculados à Previdência Social (Exceto ao RPPS)</t>
  </si>
  <si>
    <t>Demais Vinculações Decorrentes de Transferências</t>
  </si>
  <si>
    <t xml:space="preserve">         Transferências de Convênios e Instrumentos Congêneres (exceto
          Educação, Saúde e Assistência)</t>
  </si>
  <si>
    <t>50.253,84</t>
  </si>
  <si>
    <t>Outras Vinculações Decorrentes de Transferências</t>
  </si>
  <si>
    <t>Demais Vinculações Legais</t>
  </si>
  <si>
    <t>(6.862,92)</t>
  </si>
  <si>
    <t>(19.500,00)</t>
  </si>
  <si>
    <t xml:space="preserve">         Recursos de Operações de Crédito (exceto destinados à Educação
         e à Saúde)</t>
  </si>
  <si>
    <t>Recursos de Alienação de Bens/Ativos</t>
  </si>
  <si>
    <t xml:space="preserve">         Recursos Vinculados a Fundos (exceto Educação, Saúde, Assistência 
         e Previdência)</t>
  </si>
  <si>
    <t>(6.082,08)</t>
  </si>
  <si>
    <t>Outras Vinculações Legais</t>
  </si>
  <si>
    <t>(780,84)</t>
  </si>
  <si>
    <t>Recursos Extraorçamentários</t>
  </si>
  <si>
    <t>Outras Vinculações</t>
  </si>
  <si>
    <t>207.071,01</t>
  </si>
  <si>
    <t>568.101,87</t>
  </si>
  <si>
    <t>(775.172,88)</t>
  </si>
  <si>
    <t>TOTAL DOS RECURSOS VINCULADOS AO RPPS (III)</t>
  </si>
  <si>
    <t>1,00</t>
  </si>
  <si>
    <t xml:space="preserve">         Recursos Vinculados ao RPPS - Fundo em Capitalização
         (Plano Previdenciário)²</t>
  </si>
  <si>
    <t>1.335,64</t>
  </si>
  <si>
    <t>Recursos Vinculados  ao RPPS - Fundo em Repartição (Plano Financeiro)</t>
  </si>
  <si>
    <t>Recursos Vinculados  ao RPPS - Taxa de Administração</t>
  </si>
  <si>
    <t>TOTAL (IV) = (I + II + III)</t>
  </si>
  <si>
    <t>1. Essa coluna poderá apresentar valor negativo, indicando, nesse caso, insuficiência de caixa após o registro das obrigações financeiras.</t>
  </si>
  <si>
    <t>2. Nessa linha não devem ser informados os investimentos destinados à acumulação para pagamentos futuros.</t>
  </si>
  <si>
    <t>Diferença:</t>
  </si>
  <si>
    <t>Recursos de Alienação de Bens/Ativos - Administração Direta</t>
  </si>
  <si>
    <t>Rendimentos de Aplicação Financeira referente aos recursos do Fundo de Assitência a Saúde dos Servidores Municipais - FASM (40)</t>
  </si>
  <si>
    <t>2.1. Compensação Financeiras entre o Regime Geral e os Regimes Próprios de Previdência dos Servidores  (382)</t>
  </si>
  <si>
    <t>Deduções Constitucionias (FR 605 -  EC - 127/2022 dos Enfermeiros) - Item 50 NT 3481/2023 (80% em 2025)</t>
  </si>
  <si>
    <t>Empenhos com FR 604 liquidados No GND 3.1; conforme EC Nº 120/2022 (agentes comunitarios de saúde)</t>
  </si>
  <si>
    <t>Marcelo Cordero Spode</t>
  </si>
  <si>
    <t>Flávio Augusto Soares Barreiro</t>
  </si>
  <si>
    <t>Marcelo Cordeiro Spode</t>
  </si>
  <si>
    <t>2.4. Recei. Dire. Fundo Assis. Saude Servi. - Divida Ativa (43)</t>
  </si>
  <si>
    <t>(R) Piso da Atencao Primaria - Agentes Comunitarios de Saude (227) FR: 1.604</t>
  </si>
  <si>
    <t>Até o 1º Bimestre</t>
  </si>
  <si>
    <t>Até o 2º Bimestre</t>
  </si>
  <si>
    <t>CPF: 401.055.980-20</t>
  </si>
  <si>
    <t>CEP: 160.810.809-00</t>
  </si>
  <si>
    <t>CPF: 610.320.420-87</t>
  </si>
  <si>
    <t>193.937.910,53</t>
  </si>
  <si>
    <t>188.952.428,71</t>
  </si>
  <si>
    <t>24.755.488,37</t>
  </si>
  <si>
    <t>23.733.884,95</t>
  </si>
  <si>
    <t>1.021.603,42</t>
  </si>
  <si>
    <t>10.845.695,47</t>
  </si>
  <si>
    <t>10.160.808,48</t>
  </si>
  <si>
    <t>684.886,99</t>
  </si>
  <si>
    <t>5.206.969,36</t>
  </si>
  <si>
    <t>72.439,49</t>
  </si>
  <si>
    <t>1.024.490,18</t>
  </si>
  <si>
    <t>426.650,12</t>
  </si>
  <si>
    <t>597.840,06</t>
  </si>
  <si>
    <t>144.493.186,99</t>
  </si>
  <si>
    <t>70.999.507,62</t>
  </si>
  <si>
    <t>42.120.753,58</t>
  </si>
  <si>
    <t>5.244,59</t>
  </si>
  <si>
    <t>(5.244,59)</t>
  </si>
  <si>
    <t>Transferências de Instituições Privadas</t>
  </si>
  <si>
    <t>88.379,29</t>
  </si>
  <si>
    <t>31.284.546,50</t>
  </si>
  <si>
    <t>2.554.158,85</t>
  </si>
  <si>
    <t>94.068,70</t>
  </si>
  <si>
    <t>816.766,27</t>
  </si>
  <si>
    <t>37.722,96</t>
  </si>
  <si>
    <t>11.538,96</t>
  </si>
  <si>
    <t>1.594.061,96</t>
  </si>
  <si>
    <t>4.985.481,82</t>
  </si>
  <si>
    <t>44.896.056,94</t>
  </si>
  <si>
    <t>238.833.967,47</t>
  </si>
  <si>
    <t>35.177.366,66</t>
  </si>
  <si>
    <t>9.718.690,28</t>
  </si>
  <si>
    <t>1.001,00</t>
  </si>
  <si>
    <t>498,01</t>
  </si>
  <si>
    <t xml:space="preserve">
                        _______________________________     _______________________________     _______________________________                       
                             Marcelo Cordero Spode          FLAVIO AUGUSTOS SOARES BARREIRO            ARLEI LOPES SOUZA                              
                              Prefeito Municipal                    160.810.809-00                      610.320.420-87                                
                              CPF: 401.055.980-20           SECRETARIO DE MUNIC. DA FAZENDA         CONTADOR: RS-068452/O-6</t>
  </si>
  <si>
    <t xml:space="preserve">Saldo </t>
  </si>
  <si>
    <t>(d/Total d)</t>
  </si>
  <si>
    <t>Assistência à Pessoa Idosa</t>
  </si>
  <si>
    <t>Assistência à Pessoa com Deficiência</t>
  </si>
  <si>
    <t>Serviços Socioassistenciais</t>
  </si>
  <si>
    <t>Educação Básica</t>
  </si>
  <si>
    <t>Até o Bimestre/2025</t>
  </si>
  <si>
    <t>178.144.854,73</t>
  </si>
  <si>
    <t>4.877.524,19</t>
  </si>
  <si>
    <t>9.250.330,29</t>
  </si>
  <si>
    <t>926.389,67</t>
  </si>
  <si>
    <t>8.679.640,80</t>
  </si>
  <si>
    <t>4.847.021,03</t>
  </si>
  <si>
    <t>1.088.233,18</t>
  </si>
  <si>
    <t>40.519.892,88</t>
  </si>
  <si>
    <t>32.421.290,82</t>
  </si>
  <si>
    <t>4.338.520,52</t>
  </si>
  <si>
    <t>1.105.783,09</t>
  </si>
  <si>
    <t>405.629,91</t>
  </si>
  <si>
    <t>32.260.143,57</t>
  </si>
  <si>
    <t>33.441.926,20</t>
  </si>
  <si>
    <t>2.960.925,16</t>
  </si>
  <si>
    <t>609.979,02</t>
  </si>
  <si>
    <t>2.350.946,14</t>
  </si>
  <si>
    <t>176.446.642,53</t>
  </si>
  <si>
    <t>51.584.894,74</t>
  </si>
  <si>
    <t>4.118.736,18</t>
  </si>
  <si>
    <t>228.031.537,27</t>
  </si>
  <si>
    <t>847.016,00</t>
  </si>
  <si>
    <t>832.000,00</t>
  </si>
  <si>
    <t>45.895.795,01</t>
  </si>
  <si>
    <t>626.518,01</t>
  </si>
  <si>
    <t>624.997,56</t>
  </si>
  <si>
    <t>Em 31/Dez/2024</t>
  </si>
  <si>
    <t>30.991.321,23</t>
  </si>
  <si>
    <t>53.431.431,51</t>
  </si>
  <si>
    <t>2.458.739,51</t>
  </si>
  <si>
    <t>115.443,63</t>
  </si>
  <si>
    <t>9.794.355,91</t>
  </si>
  <si>
    <t>55.623.635,92</t>
  </si>
  <si>
    <t>7.804.877,53</t>
  </si>
  <si>
    <t>5.417.825,66</t>
  </si>
  <si>
    <t>2.256.091,63</t>
  </si>
  <si>
    <t>130.960,24</t>
  </si>
  <si>
    <t>33.035.041,32</t>
  </si>
  <si>
    <t>19.281.277,38</t>
  </si>
  <si>
    <t>12.248.979,67</t>
  </si>
  <si>
    <t>1.504.784,27</t>
  </si>
  <si>
    <t>4.100.000,00</t>
  </si>
  <si>
    <t>10.683.717,07</t>
  </si>
  <si>
    <t>690.163,36</t>
  </si>
  <si>
    <t>274.863,43</t>
  </si>
  <si>
    <t>45.904.945,64</t>
  </si>
  <si>
    <t>dezembro de 2024</t>
  </si>
  <si>
    <t xml:space="preserve">              _______________________________     _______________________________     _______________________________               </t>
  </si>
  <si>
    <t xml:space="preserve">                   Marcelo Cordero Spode          FLAVIO AUGUSTOS SOARES BARREIRO            ARLEI LOPES SOUZA                      </t>
  </si>
  <si>
    <t xml:space="preserve">                    CPF: 401.055.980-20           SECRETARIO DE MUNIC. DA FAZENDA         CONTADOR: RS-068452/O-6                   </t>
  </si>
  <si>
    <t>48.540.219,32</t>
  </si>
  <si>
    <t>40.526.613,52</t>
  </si>
  <si>
    <t>507.037,39</t>
  </si>
  <si>
    <t>1.381.728,86</t>
  </si>
  <si>
    <t>5.423.150,65</t>
  </si>
  <si>
    <t>32.317.330,47</t>
  </si>
  <si>
    <t>31.341.733,40</t>
  </si>
  <si>
    <t>57.186,90</t>
  </si>
  <si>
    <t>975.597,07</t>
  </si>
  <si>
    <t>3.149.476,24</t>
  </si>
  <si>
    <t>2.057.109,00</t>
  </si>
  <si>
    <t>3,00</t>
  </si>
  <si>
    <t>588.718,20</t>
  </si>
  <si>
    <t>243.531,04</t>
  </si>
  <si>
    <t>260.115,00</t>
  </si>
  <si>
    <t>3.180.605,78</t>
  </si>
  <si>
    <t>4,00</t>
  </si>
  <si>
    <t>34- DISPONIBILIDADE FINANCEIRA EM 31 DE DEZEMBRO DE  2024</t>
  </si>
  <si>
    <t xml:space="preserve">
                        _______________________________     _______________________________     _______________________________                       
                             Marcelo Cordero Spode                 ARLEI LOPES SOUZA            FLAVIO AUGUSTOS SOARES BARREIRO                       
                              Prefeito Municipal                    610.320.420-87                      160.810.809-00                                
                              CPF: 401.055.980-20               CONTADOR: RS-068452/O-6         SECRETARIO DE MUNIC. DA FAZENDA</t>
  </si>
  <si>
    <t>96.378.749,74</t>
  </si>
  <si>
    <t>120.112.634,69</t>
  </si>
  <si>
    <t>4.789.077,90</t>
  </si>
  <si>
    <t>4.643.075,90</t>
  </si>
  <si>
    <t>146.002,00</t>
  </si>
  <si>
    <t>2.003,00</t>
  </si>
  <si>
    <t>2.100.469,37</t>
  </si>
  <si>
    <t>702.521,75</t>
  </si>
  <si>
    <t>642.421,75</t>
  </si>
  <si>
    <t>60.100,00</t>
  </si>
  <si>
    <t>818.103,08</t>
  </si>
  <si>
    <t>6.613.354,59</t>
  </si>
  <si>
    <t>6.606.171,59</t>
  </si>
  <si>
    <t>7.183,00</t>
  </si>
  <si>
    <t>Diferença de limite não cumprido em 2025 (saldo final = XIXd)</t>
  </si>
  <si>
    <t>Diferença de limite não cumprido em 2024 (saldo inicial igual ao saldo final do demonstrativo do exercício anterior)</t>
  </si>
  <si>
    <t>Empenhos de 2025</t>
  </si>
  <si>
    <t>Empenhos de 2021 e anteriores</t>
  </si>
  <si>
    <t>Restos a pagar cancelados ou prescritos no exercício a serem compensados (XXIV)</t>
  </si>
  <si>
    <t>Restos a pagar cancelados ou prescritos no exercício imediatamente anterior a serem compensados (XXV)</t>
  </si>
  <si>
    <t>1.275.857,07</t>
  </si>
  <si>
    <t>1.146.905,36</t>
  </si>
  <si>
    <t>7.027.847,91</t>
  </si>
  <si>
    <t>5.835.632,73</t>
  </si>
  <si>
    <t>1.192.215,18</t>
  </si>
  <si>
    <t>5.272.169,84</t>
  </si>
  <si>
    <t>5.268.394,98</t>
  </si>
  <si>
    <t>3.774,86</t>
  </si>
  <si>
    <t>1.571.202,53</t>
  </si>
  <si>
    <t>1.570.823,82</t>
  </si>
  <si>
    <t>378,71</t>
  </si>
  <si>
    <t>320.142,44</t>
  </si>
  <si>
    <t>320.140,44</t>
  </si>
  <si>
    <t>40.789,00</t>
  </si>
  <si>
    <t>40.788,00</t>
  </si>
  <si>
    <t>229.228,27</t>
  </si>
  <si>
    <t>229.224,27</t>
  </si>
  <si>
    <t>21.972,95</t>
  </si>
  <si>
    <t>14.800,00</t>
  </si>
  <si>
    <t>7.172,95</t>
  </si>
  <si>
    <t>7.455.505,03</t>
  </si>
  <si>
    <t>10.061.247,74</t>
  </si>
  <si>
    <t>2.420.611,81</t>
  </si>
  <si>
    <t>743.310,75</t>
  </si>
  <si>
    <t>1.047.331,35</t>
  </si>
  <si>
    <t>6.635.327,54</t>
  </si>
  <si>
    <t>ANEXO III - CRONOGRAMA DE REEMBOLSO E DESEMBOLSO AO MÊS PARA 2025</t>
  </si>
  <si>
    <t>CRONOGRAMA DE DESEMBOLSO POR ORGÃO PARA O EXERCÍCIO DE 2025</t>
  </si>
  <si>
    <t>EXERCICIO DE 2025</t>
  </si>
  <si>
    <t>EXERCÍCIO DE 2025</t>
  </si>
  <si>
    <t>Ano: 2024</t>
  </si>
  <si>
    <t>Pgtos Realiz.:</t>
  </si>
  <si>
    <t>DESPESA REALIZADO POR BIMESTRE NA SAÚDE  EM 2.025</t>
  </si>
  <si>
    <t>DESPESA REALIZADO POR BIMESTRE NA EDUCAÇÃO EM 2.025</t>
  </si>
  <si>
    <t>Flávio Augustos Soares Barreiro</t>
  </si>
  <si>
    <t>ANEXO II DO CRONOGRAMA DE DESEMBOLSO PARA 2025</t>
  </si>
  <si>
    <t>RP PROCESSADOS - INSCRITOS</t>
  </si>
  <si>
    <t xml:space="preserve"> 6.3.1.1.0</t>
  </si>
  <si>
    <t>RP NÃO PROCESSADOS A LIQUIDAR</t>
  </si>
  <si>
    <t xml:space="preserve"> 6.3.1.2.0</t>
  </si>
  <si>
    <t>RP NÃO PROCESSADOS EM LIQUIDAÇÃO</t>
  </si>
  <si>
    <t xml:space="preserve"> 6.3.1.3.0</t>
  </si>
  <si>
    <t>RP NÃO PROCESSADOS LIQUIDADOS A PAGAR</t>
  </si>
  <si>
    <t>RP NÃO PROCESSADOS PAGOS</t>
  </si>
  <si>
    <t>OUTROS CANCELAMENTOS DE RP</t>
  </si>
  <si>
    <t xml:space="preserve"> 6.3.2.2.0</t>
  </si>
  <si>
    <t>RP PROCESSADOS PAGOS</t>
  </si>
  <si>
    <t>Saldos Iniciais</t>
  </si>
  <si>
    <t>Saldos Finais</t>
  </si>
  <si>
    <t>Pagtos:</t>
  </si>
  <si>
    <t>Totais dos Restos:</t>
  </si>
  <si>
    <t>Empenhos Restos em 31/12/2024</t>
  </si>
  <si>
    <t>Observação:</t>
  </si>
  <si>
    <t>RCL realizada no exercício anterior:</t>
  </si>
  <si>
    <t>das Individuais</t>
  </si>
  <si>
    <t>das de Bancada</t>
  </si>
  <si>
    <t>Valor de execução obrigatória de emendas parlamentárias para 2025</t>
  </si>
  <si>
    <t>Prevista p/ 2.025</t>
  </si>
  <si>
    <t>Exercício:2024</t>
  </si>
  <si>
    <t>Valor:</t>
  </si>
  <si>
    <t>Descrição:</t>
  </si>
  <si>
    <t>Destino:</t>
  </si>
  <si>
    <t>Percentual</t>
  </si>
  <si>
    <t>(R) Transf.p/ pgto aos Agentes de Combate as Endemias (367)</t>
  </si>
  <si>
    <t>Secretaria de Município de Gestão e Desenvolvimento Econômico</t>
  </si>
  <si>
    <t>Secretaria de Municipio de Inovação, Cultura e Turismo</t>
  </si>
  <si>
    <t>Secretaria de Município da Educação, Esportes e Lazer</t>
  </si>
  <si>
    <t>Secretaria de Município de Desenvolvimento Social e Trabalho</t>
  </si>
  <si>
    <t>Secretaria de Munic. da Agropecuária e Desenvolvimento Rural</t>
  </si>
  <si>
    <t>SGMGDE</t>
  </si>
  <si>
    <t>SMICT</t>
  </si>
  <si>
    <t>SMEEL</t>
  </si>
  <si>
    <t>SMDST</t>
  </si>
  <si>
    <t>SMADR</t>
  </si>
  <si>
    <t>14,84</t>
  </si>
  <si>
    <t>7.784,70</t>
  </si>
  <si>
    <t>(7.784,70)</t>
  </si>
  <si>
    <t>900.000,00</t>
  </si>
  <si>
    <t>TRANSFERÊNCIAS DE CAPITAL</t>
  </si>
  <si>
    <t>(900.000,00)</t>
  </si>
  <si>
    <t>68.908.465,34</t>
  </si>
  <si>
    <t>Dívida Consolidada Líquida (1º quadrimestre)¹</t>
  </si>
  <si>
    <t>100,00</t>
  </si>
  <si>
    <t xml:space="preserve">                    Prefeito Municipal                    160.810.809-00                      610.320.420-87                        </t>
  </si>
  <si>
    <t>3.200,00</t>
  </si>
  <si>
    <t>-32.711.961,92</t>
  </si>
  <si>
    <t>-32.827.405,55</t>
  </si>
  <si>
    <t>23.062.765,47</t>
  </si>
  <si>
    <t>63.703.283,15</t>
  </si>
  <si>
    <t>13.895.855,26</t>
  </si>
  <si>
    <t>11.451.274,64</t>
  </si>
  <si>
    <t>158.714,54</t>
  </si>
  <si>
    <t>142.527,96</t>
  </si>
  <si>
    <t>25- (-) SUPERÁVIT PERMITIDO NO EXERCÍCIO IMEDIATAMENTE ANTERIOR NÃO APLICADO NO EXERCÍCIO ATUAL = L19(x)</t>
  </si>
  <si>
    <t>768.279,43</t>
  </si>
  <si>
    <t>0,04</t>
  </si>
  <si>
    <t>215.539,83</t>
  </si>
  <si>
    <t>109.552,89</t>
  </si>
  <si>
    <t>10.592,45</t>
  </si>
  <si>
    <t>555,58</t>
  </si>
  <si>
    <t>4.856.827,90</t>
  </si>
  <si>
    <t>4.710.825,90</t>
  </si>
  <si>
    <t>949,90</t>
  </si>
  <si>
    <t>184.971,92</t>
  </si>
  <si>
    <t>35,58</t>
  </si>
  <si>
    <t>4.001,00</t>
  </si>
  <si>
    <t>JANEIRO A ABRIL 2025/BIMESTRE MARÇO-ABRIL</t>
  </si>
  <si>
    <t xml:space="preserve">                                  Marcelo Cordero Spode                 Flávio Augusto Soares Barreiro                                ARLEI LOPES SOUZA                   </t>
  </si>
  <si>
    <t xml:space="preserve">                CPF: 401.055.980-20              CPF:  160.810.809-00                                    CONTADOR: RS-068452/O-6               </t>
  </si>
  <si>
    <t>Prefeitura Municipal de Cacapava do Sul - RS - Poder Executivo</t>
  </si>
  <si>
    <t>566.235,16</t>
  </si>
  <si>
    <t>564.304,66</t>
  </si>
  <si>
    <t>(16.040,31)</t>
  </si>
  <si>
    <t>1.930,50</t>
  </si>
  <si>
    <t>72.000,00</t>
  </si>
  <si>
    <t>1.903,98</t>
  </si>
  <si>
    <t>3.166,72</t>
  </si>
  <si>
    <t>(146.427,42)</t>
  </si>
  <si>
    <t>957,95</t>
  </si>
  <si>
    <t>(147.385,37)</t>
  </si>
  <si>
    <t>49.867,08</t>
  </si>
  <si>
    <t>Disponibilidade Financeira do Recurso Vinculado - Abril de 2025</t>
  </si>
  <si>
    <t>756.310,47</t>
  </si>
  <si>
    <t>33.321.450,87</t>
  </si>
  <si>
    <t>116.683.797,38</t>
  </si>
  <si>
    <t>150.761.558,72</t>
  </si>
  <si>
    <t>38.458.009,88</t>
  </si>
  <si>
    <t>52.128.137,97</t>
  </si>
  <si>
    <t>90.586.147,85</t>
  </si>
  <si>
    <t>120.404.480,80</t>
  </si>
  <si>
    <t>-60.229.069,93</t>
  </si>
  <si>
    <t>0,00</t>
  </si>
  <si>
    <t>549.111,48</t>
  </si>
  <si>
    <t>260,79</t>
  </si>
  <si>
    <t>549.372,27</t>
  </si>
  <si>
    <t>261,36</t>
  </si>
  <si>
    <t>549.110,91</t>
  </si>
  <si>
    <t>746.228,42</t>
  </si>
  <si>
    <t>22.811.689,62</t>
  </si>
  <si>
    <t>35.009.192,68</t>
  </si>
  <si>
    <t>12.573.574,68</t>
  </si>
  <si>
    <t>757.393,00</t>
  </si>
  <si>
    <t>13.330.967,68</t>
  </si>
  <si>
    <t>26.081.732,93</t>
  </si>
  <si>
    <t>-4.403.507,93</t>
  </si>
  <si>
    <t>246.693,81</t>
  </si>
  <si>
    <t>158.771,14</t>
  </si>
  <si>
    <t>564.179,49</t>
  </si>
  <si>
    <t>82.710,72</t>
  </si>
  <si>
    <t>86.423,69</t>
  </si>
  <si>
    <t>169.134,41</t>
  </si>
  <si>
    <t>130.941,57</t>
  </si>
  <si>
    <t>264.103,51</t>
  </si>
  <si>
    <t>122.842,89</t>
  </si>
  <si>
    <t>1.372.137,98</t>
  </si>
  <si>
    <t>2.263.260,30</t>
  </si>
  <si>
    <t>695.445,93</t>
  </si>
  <si>
    <t>244.939,06</t>
  </si>
  <si>
    <t>940.384,99</t>
  </si>
  <si>
    <t>1.436.830,63</t>
  </si>
  <si>
    <t>-113.955,32</t>
  </si>
  <si>
    <t>0,01</t>
  </si>
  <si>
    <t>0,05</t>
  </si>
  <si>
    <t>3.410,13</t>
  </si>
  <si>
    <t>277.950,99</t>
  </si>
  <si>
    <t>496.900,95</t>
  </si>
  <si>
    <t>68.790,24</t>
  </si>
  <si>
    <t>277.978,71</t>
  </si>
  <si>
    <t>150.132,00</t>
  </si>
  <si>
    <t>1.205,65</t>
  </si>
  <si>
    <t>217.156,26</t>
  </si>
  <si>
    <t>327.914,80</t>
  </si>
  <si>
    <t>107.472,34</t>
  </si>
  <si>
    <t>582,00</t>
  </si>
  <si>
    <t>108.054,34</t>
  </si>
  <si>
    <t>218.216,86</t>
  </si>
  <si>
    <t>1.643,60</t>
  </si>
  <si>
    <t>365.391,60</t>
  </si>
  <si>
    <t>35.506,90</t>
  </si>
  <si>
    <t>411.490,95</t>
  </si>
  <si>
    <t>179.848,73</t>
  </si>
  <si>
    <t>424.379,19</t>
  </si>
  <si>
    <t>604.227,92</t>
  </si>
  <si>
    <t>37.049,94</t>
  </si>
  <si>
    <t>-229.786,91</t>
  </si>
  <si>
    <t>952.948,34</t>
  </si>
  <si>
    <t>28.830,92</t>
  </si>
  <si>
    <t>416.576,64</t>
  </si>
  <si>
    <t>1.398.355,90</t>
  </si>
  <si>
    <t>160.659,86</t>
  </si>
  <si>
    <t>238.186,77</t>
  </si>
  <si>
    <t>999.509,27</t>
  </si>
  <si>
    <t>31.910,76</t>
  </si>
  <si>
    <t>902.806,49</t>
  </si>
  <si>
    <t>1.549.264,65</t>
  </si>
  <si>
    <t>2.483.981,90</t>
  </si>
  <si>
    <t>920.225,56</t>
  </si>
  <si>
    <t>39.408,83</t>
  </si>
  <si>
    <t>959.634,39</t>
  </si>
  <si>
    <t>1.534.624,47</t>
  </si>
  <si>
    <t>-10.276,96</t>
  </si>
  <si>
    <t>18.241,47</t>
  </si>
  <si>
    <t>18.797,05</t>
  </si>
  <si>
    <t>802.815,27</t>
  </si>
  <si>
    <t>1.314.692,87</t>
  </si>
  <si>
    <t>3.525.355,73</t>
  </si>
  <si>
    <t>5.642.863,87</t>
  </si>
  <si>
    <t>1.460.114,02</t>
  </si>
  <si>
    <t>226.422,74</t>
  </si>
  <si>
    <t>1.686.536,76</t>
  </si>
  <si>
    <t>4.070.381,86</t>
  </si>
  <si>
    <t>-114.054,75</t>
  </si>
  <si>
    <t>441.071,93</t>
  </si>
  <si>
    <t>13.276,25</t>
  </si>
  <si>
    <t>454.348,18</t>
  </si>
  <si>
    <t>382.348,18</t>
  </si>
  <si>
    <t>4.128,99</t>
  </si>
  <si>
    <t>168,58</t>
  </si>
  <si>
    <t>4.297,57</t>
  </si>
  <si>
    <t>982,06</t>
  </si>
  <si>
    <t>3.315,51</t>
  </si>
  <si>
    <t>23.428,90</t>
  </si>
  <si>
    <t>762,21</t>
  </si>
  <si>
    <t>24.191,11</t>
  </si>
  <si>
    <t>33.355,05</t>
  </si>
  <si>
    <t>585.305,12</t>
  </si>
  <si>
    <t>582.912,00</t>
  </si>
  <si>
    <t>1.201.572,17</t>
  </si>
  <si>
    <t>576.784,65</t>
  </si>
  <si>
    <t>335,78</t>
  </si>
  <si>
    <t>577.120,43</t>
  </si>
  <si>
    <t>47.331,31</t>
  </si>
  <si>
    <t>22,40</t>
  </si>
  <si>
    <t>43.123,44</t>
  </si>
  <si>
    <t>77.033,33</t>
  </si>
  <si>
    <t>120.179,17</t>
  </si>
  <si>
    <t>41.668,69</t>
  </si>
  <si>
    <t>77.064,62</t>
  </si>
  <si>
    <t>1.445,86</t>
  </si>
  <si>
    <t>797.593,79</t>
  </si>
  <si>
    <t>439.319,58</t>
  </si>
  <si>
    <t>757.571,35</t>
  </si>
  <si>
    <t>1.994.484,72</t>
  </si>
  <si>
    <t>343.718,68</t>
  </si>
  <si>
    <t>8.881,31</t>
  </si>
  <si>
    <t>352.599,99</t>
  </si>
  <si>
    <t>1.053.822,26</t>
  </si>
  <si>
    <t>588.062,47</t>
  </si>
  <si>
    <t>22.888,45</t>
  </si>
  <si>
    <t>759,59</t>
  </si>
  <si>
    <t>23.648,04</t>
  </si>
  <si>
    <t>100.014,94</t>
  </si>
  <si>
    <t>486.349,56</t>
  </si>
  <si>
    <t>771.336,42</t>
  </si>
  <si>
    <t>258.449,89</t>
  </si>
  <si>
    <t>28.575,05</t>
  </si>
  <si>
    <t>287.024,94</t>
  </si>
  <si>
    <t>307.779,20</t>
  </si>
  <si>
    <t>176.532,28</t>
  </si>
  <si>
    <t>401.185,43</t>
  </si>
  <si>
    <t>124.517,13</t>
  </si>
  <si>
    <t>246.526,06</t>
  </si>
  <si>
    <t>772.228,62</t>
  </si>
  <si>
    <t>288.655,12</t>
  </si>
  <si>
    <t>20.174,59</t>
  </si>
  <si>
    <t>308.829,71</t>
  </si>
  <si>
    <t>250.733,91</t>
  </si>
  <si>
    <t>212.665,00</t>
  </si>
  <si>
    <t>291.116,58</t>
  </si>
  <si>
    <t>9.660,43</t>
  </si>
  <si>
    <t>300.777,01</t>
  </si>
  <si>
    <t>264,00</t>
  </si>
  <si>
    <t>300.513,01</t>
  </si>
  <si>
    <t>177.922,41</t>
  </si>
  <si>
    <t>5.666,13</t>
  </si>
  <si>
    <t>183.588,54</t>
  </si>
  <si>
    <t>19,98</t>
  </si>
  <si>
    <t>1.143.040,54</t>
  </si>
  <si>
    <t>37.838,92</t>
  </si>
  <si>
    <t>5.312,21</t>
  </si>
  <si>
    <t>1.186.191,67</t>
  </si>
  <si>
    <t>9.953,93</t>
  </si>
  <si>
    <t>1.170.925,53</t>
  </si>
  <si>
    <t>1.127.096,89</t>
  </si>
  <si>
    <t>24.357,71</t>
  </si>
  <si>
    <t>367.092,78</t>
  </si>
  <si>
    <t>1.518.547,38</t>
  </si>
  <si>
    <t>107.856,51</t>
  </si>
  <si>
    <t>691.838,60</t>
  </si>
  <si>
    <t>718.852,27</t>
  </si>
  <si>
    <t>3.891.424,93</t>
  </si>
  <si>
    <t>1.012.843,48</t>
  </si>
  <si>
    <t>1.050.446,08</t>
  </si>
  <si>
    <t>5.954.714,49</t>
  </si>
  <si>
    <t>76.936,20</t>
  </si>
  <si>
    <t>574.670,24</t>
  </si>
  <si>
    <t>651.606,44</t>
  </si>
  <si>
    <t>1.065.517,29</t>
  </si>
  <si>
    <t>4.237.590,76</t>
  </si>
  <si>
    <t>1.413.538,67</t>
  </si>
  <si>
    <t>637.756,61</t>
  </si>
  <si>
    <t>872.690,79</t>
  </si>
  <si>
    <t>2.923.986,07</t>
  </si>
  <si>
    <t>381.144,02</t>
  </si>
  <si>
    <t>887.551,42</t>
  </si>
  <si>
    <t>1.655.290,63</t>
  </si>
  <si>
    <t>214.476,18</t>
  </si>
  <si>
    <t>3.624,91</t>
  </si>
  <si>
    <t>218.101,09</t>
  </si>
  <si>
    <t>95.515,63</t>
  </si>
  <si>
    <t>100.357,42</t>
  </si>
  <si>
    <t>22.228,04</t>
  </si>
  <si>
    <t>2.529,14</t>
  </si>
  <si>
    <t>77,03</t>
  </si>
  <si>
    <t>2.606,17</t>
  </si>
  <si>
    <t>3.768,27</t>
  </si>
  <si>
    <t>114,77</t>
  </si>
  <si>
    <t>3.883,04</t>
  </si>
  <si>
    <t>4.865,89</t>
  </si>
  <si>
    <t>-982,85</t>
  </si>
  <si>
    <t>20.478,66</t>
  </si>
  <si>
    <t>623,73</t>
  </si>
  <si>
    <t>21.102,39</t>
  </si>
  <si>
    <t>528.963,19</t>
  </si>
  <si>
    <t>309.277,90</t>
  </si>
  <si>
    <t>770.468,29</t>
  </si>
  <si>
    <t>1.608.709,38</t>
  </si>
  <si>
    <t>667.241,41</t>
  </si>
  <si>
    <t>90.502,41</t>
  </si>
  <si>
    <t>757.743,82</t>
  </si>
  <si>
    <t>823.063,48</t>
  </si>
  <si>
    <t>27.902,08</t>
  </si>
  <si>
    <t>4.066.393,06</t>
  </si>
  <si>
    <t>2.201.338,74</t>
  </si>
  <si>
    <t>3.647.583,49</t>
  </si>
  <si>
    <t>9.915.315,29</t>
  </si>
  <si>
    <t>4.847.722,14</t>
  </si>
  <si>
    <t>440.295,96</t>
  </si>
  <si>
    <t>5.288.018,10</t>
  </si>
  <si>
    <t>3.658.601,94</t>
  </si>
  <si>
    <t>968.695,25</t>
  </si>
  <si>
    <t>59.948,35</t>
  </si>
  <si>
    <t>19.699,21</t>
  </si>
  <si>
    <t>17.584,17</t>
  </si>
  <si>
    <t>97.231,73</t>
  </si>
  <si>
    <t>17.668,46</t>
  </si>
  <si>
    <t>79.563,27</t>
  </si>
  <si>
    <t>685.773,98</t>
  </si>
  <si>
    <t>174.077,07</t>
  </si>
  <si>
    <t>859.851,05</t>
  </si>
  <si>
    <t>-859.851,05</t>
  </si>
  <si>
    <t>36.345,61</t>
  </si>
  <si>
    <t>15.425,31</t>
  </si>
  <si>
    <t>14.350,20</t>
  </si>
  <si>
    <t>66.121,12</t>
  </si>
  <si>
    <t>390,00</t>
  </si>
  <si>
    <t>2.980,00</t>
  </si>
  <si>
    <t>3.370,00</t>
  </si>
  <si>
    <t>48.400,92</t>
  </si>
  <si>
    <t>1.459,40</t>
  </si>
  <si>
    <t>5.903,06</t>
  </si>
  <si>
    <t>14.779,19</t>
  </si>
  <si>
    <t>22.141,65</t>
  </si>
  <si>
    <t>20.664,83</t>
  </si>
  <si>
    <t>3.775,40</t>
  </si>
  <si>
    <t>24.440,23</t>
  </si>
  <si>
    <t>9.498,91</t>
  </si>
  <si>
    <t>-11.797,49</t>
  </si>
  <si>
    <t>723.630,26</t>
  </si>
  <si>
    <t>241.095,43</t>
  </si>
  <si>
    <t>482.534,83</t>
  </si>
  <si>
    <t>633.406,22</t>
  </si>
  <si>
    <t>2.193.410,52</t>
  </si>
  <si>
    <t>424.565,59</t>
  </si>
  <si>
    <t>762.357,71</t>
  </si>
  <si>
    <t>3.380.333,82</t>
  </si>
  <si>
    <t>49.933,24</t>
  </si>
  <si>
    <t>84.718,14</t>
  </si>
  <si>
    <t>134.651,38</t>
  </si>
  <si>
    <t>774.081,83</t>
  </si>
  <si>
    <t>2.471.600,61</t>
  </si>
  <si>
    <t>60.796.737,83</t>
  </si>
  <si>
    <t>66.273.388,65</t>
  </si>
  <si>
    <t>140.965.981,74</t>
  </si>
  <si>
    <t>13.077.355,83</t>
  </si>
  <si>
    <t>53.085,39</t>
  </si>
  <si>
    <t>13.130.441,22</t>
  </si>
  <si>
    <t>70.394.458,73</t>
  </si>
  <si>
    <t>57.441.081,79</t>
  </si>
  <si>
    <t>280.005,93</t>
  </si>
  <si>
    <t>80.230,70</t>
  </si>
  <si>
    <t>2.796,96</t>
  </si>
  <si>
    <t>363.033,59</t>
  </si>
  <si>
    <t>4.475,00</t>
  </si>
  <si>
    <t>895,00</t>
  </si>
  <si>
    <t>5.370,00</t>
  </si>
  <si>
    <t>3.037,80</t>
  </si>
  <si>
    <t>354.625,79</t>
  </si>
  <si>
    <t>2.507.291,65</t>
  </si>
  <si>
    <t>90.193.246,22</t>
  </si>
  <si>
    <t>92.700.537,87</t>
  </si>
  <si>
    <t>90.036.741,26</t>
  </si>
  <si>
    <t>2.663.796,61</t>
  </si>
  <si>
    <t>158.889,39</t>
  </si>
  <si>
    <t>-158.889,39</t>
  </si>
  <si>
    <t>1.322.926,96</t>
  </si>
  <si>
    <t>-1.322.926,96</t>
  </si>
  <si>
    <t>10.086,18</t>
  </si>
  <si>
    <t>-10.086,18</t>
  </si>
  <si>
    <t>85.261.062,71</t>
  </si>
  <si>
    <t>313.914.587,38</t>
  </si>
  <si>
    <t>468.084.115,43</t>
  </si>
  <si>
    <t>77.359.008,31</t>
  </si>
  <si>
    <t>55.842.750,70</t>
  </si>
  <si>
    <t>133.201.759,01</t>
  </si>
  <si>
    <t>325.420.381,30</t>
  </si>
  <si>
    <t>9.461.975,12</t>
  </si>
  <si>
    <t>1.112.248,06</t>
  </si>
  <si>
    <t>16.040,31</t>
  </si>
  <si>
    <t>14.806,44</t>
  </si>
  <si>
    <t>51.279,24</t>
  </si>
  <si>
    <t>475,35</t>
  </si>
  <si>
    <t>1.187,08</t>
  </si>
  <si>
    <t>69.442,31</t>
  </si>
  <si>
    <t>664,83</t>
  </si>
  <si>
    <t>122.963,20</t>
  </si>
  <si>
    <t>86.165,45</t>
  </si>
  <si>
    <t>12.379,09</t>
  </si>
  <si>
    <t>29.230,97</t>
  </si>
  <si>
    <t>143.381,55</t>
  </si>
  <si>
    <t>5.939,84</t>
  </si>
  <si>
    <t>25.451,61</t>
  </si>
  <si>
    <t>17.011,47</t>
  </si>
  <si>
    <t>276.888,24</t>
  </si>
  <si>
    <t>95.515,19</t>
  </si>
  <si>
    <t>336.861,46</t>
  </si>
  <si>
    <t>3.445,40</t>
  </si>
  <si>
    <t>4.110,23</t>
  </si>
  <si>
    <t>84.016,54</t>
  </si>
  <si>
    <t>1.882,67</t>
  </si>
  <si>
    <t>2.3. RECEITAS diretamente arrecadadas pelo FASM (42) - F.R.: 1.749</t>
  </si>
  <si>
    <t>2.2. RECEITAS diretamente arrecadadas pelo FAPS/RPPS (151) (569)</t>
  </si>
  <si>
    <t>1º de Janeiro a 30 de Junho de 2025</t>
  </si>
  <si>
    <t>Janeiro a Junho 2025/Bimestre Maio-Junho</t>
  </si>
  <si>
    <r>
      <t xml:space="preserve">¹Fonte: Cálculo da </t>
    </r>
    <r>
      <rPr>
        <b/>
        <sz val="6"/>
        <color rgb="FF000000"/>
        <rFont val="Calibri"/>
        <family val="2"/>
        <charset val="1"/>
      </rPr>
      <t>RCL dos doze últimos meses</t>
    </r>
    <r>
      <rPr>
        <sz val="6"/>
        <color rgb="FF000000"/>
        <rFont val="Calibri"/>
        <family val="2"/>
        <charset val="1"/>
      </rPr>
      <t xml:space="preserve"> apurada pelo Setor Contábil foi de R$ 155.190.088,61; devido as deduções de receitas do FASM.</t>
    </r>
  </si>
  <si>
    <t>Período: Janeiro a Junho de 2025/Bimestre Maio-Junho</t>
  </si>
  <si>
    <t>3º BIMESTRE DE 2025</t>
  </si>
  <si>
    <t>Valor Total (Empenhos do período de janeiro a junho/2025):</t>
  </si>
  <si>
    <t>31.610.783,91</t>
  </si>
  <si>
    <t>16,30</t>
  </si>
  <si>
    <t>90.766.333,66</t>
  </si>
  <si>
    <t>46,80</t>
  </si>
  <si>
    <t>103.171.576,87</t>
  </si>
  <si>
    <t>31.600.783,91</t>
  </si>
  <si>
    <t>16,72</t>
  </si>
  <si>
    <t>89.856.333,66</t>
  </si>
  <si>
    <t>47,56</t>
  </si>
  <si>
    <t>99.096.095,05</t>
  </si>
  <si>
    <t>3.703.021,85</t>
  </si>
  <si>
    <t>14,96</t>
  </si>
  <si>
    <t>12.747.292,20</t>
  </si>
  <si>
    <t>51,49</t>
  </si>
  <si>
    <t>12.008.196,17</t>
  </si>
  <si>
    <t>3.612.623,46</t>
  </si>
  <si>
    <t>15,22</t>
  </si>
  <si>
    <t>12.263.881,12</t>
  </si>
  <si>
    <t>51,67</t>
  </si>
  <si>
    <t>11.470.003,83</t>
  </si>
  <si>
    <t>90.376,31</t>
  </si>
  <si>
    <t>8,85</t>
  </si>
  <si>
    <t>483.332,73</t>
  </si>
  <si>
    <t>47,31</t>
  </si>
  <si>
    <t>538.270,69</t>
  </si>
  <si>
    <t>22,08</t>
  </si>
  <si>
    <t>78,35</t>
  </si>
  <si>
    <t>(78,35)</t>
  </si>
  <si>
    <t>2.118.876,75</t>
  </si>
  <si>
    <t>19,54</t>
  </si>
  <si>
    <t>5.598.698,91</t>
  </si>
  <si>
    <t>51,62</t>
  </si>
  <si>
    <t>5.246.996,56</t>
  </si>
  <si>
    <t>1.730.785,72</t>
  </si>
  <si>
    <t>17,03</t>
  </si>
  <si>
    <t>4.984.402,25</t>
  </si>
  <si>
    <t>49,06</t>
  </si>
  <si>
    <t>5.176.406,23</t>
  </si>
  <si>
    <t>388.091,03</t>
  </si>
  <si>
    <t>56,66</t>
  </si>
  <si>
    <t>614.296,66</t>
  </si>
  <si>
    <t>89,69</t>
  </si>
  <si>
    <t>70.590,33</t>
  </si>
  <si>
    <t>1.999.157,33</t>
  </si>
  <si>
    <t>38,39</t>
  </si>
  <si>
    <t>5.237.400,79</t>
  </si>
  <si>
    <t>100,58</t>
  </si>
  <si>
    <t>(30.431,43)</t>
  </si>
  <si>
    <t>5.229.616,09</t>
  </si>
  <si>
    <t>100,43</t>
  </si>
  <si>
    <t>(22.646,73)</t>
  </si>
  <si>
    <t>8.363,43</t>
  </si>
  <si>
    <t>11,55</t>
  </si>
  <si>
    <t>14.837,20</t>
  </si>
  <si>
    <t>20,48</t>
  </si>
  <si>
    <t>57.602,29</t>
  </si>
  <si>
    <t>223.162,66</t>
  </si>
  <si>
    <t>21,78</t>
  </si>
  <si>
    <t>615.072,87</t>
  </si>
  <si>
    <t>60,04</t>
  </si>
  <si>
    <t>409.417,31</t>
  </si>
  <si>
    <t>95.025,11</t>
  </si>
  <si>
    <t>22,27</t>
  </si>
  <si>
    <t>275.233,86</t>
  </si>
  <si>
    <t>64,51</t>
  </si>
  <si>
    <t>151.416,26</t>
  </si>
  <si>
    <t>128.137,55</t>
  </si>
  <si>
    <t>21,43</t>
  </si>
  <si>
    <t>339.839,01</t>
  </si>
  <si>
    <t>56,84</t>
  </si>
  <si>
    <t>258.001,05</t>
  </si>
  <si>
    <t>22.014.257,60</t>
  </si>
  <si>
    <t>15,24</t>
  </si>
  <si>
    <t>63.360.991,65</t>
  </si>
  <si>
    <t>43,85</t>
  </si>
  <si>
    <t>81.132.195,34</t>
  </si>
  <si>
    <t>8.557.894,66</t>
  </si>
  <si>
    <t>12,05</t>
  </si>
  <si>
    <t>24.477.027,48</t>
  </si>
  <si>
    <t>34,47</t>
  </si>
  <si>
    <t>46.522.480,14</t>
  </si>
  <si>
    <t>7.330.208,49</t>
  </si>
  <si>
    <t>17,40</t>
  </si>
  <si>
    <t>21.337.851,08</t>
  </si>
  <si>
    <t>50,66</t>
  </si>
  <si>
    <t>20.782.902,50</t>
  </si>
  <si>
    <t>6.126.154,45</t>
  </si>
  <si>
    <t>19,58</t>
  </si>
  <si>
    <t>17.540.868,50</t>
  </si>
  <si>
    <t>56,07</t>
  </si>
  <si>
    <t>13.743.678,00</t>
  </si>
  <si>
    <t>1.533.944,29</t>
  </si>
  <si>
    <t>60,06</t>
  </si>
  <si>
    <t>2.282.040,04</t>
  </si>
  <si>
    <t>89,35</t>
  </si>
  <si>
    <t>272.118,81</t>
  </si>
  <si>
    <t>15.085,09</t>
  </si>
  <si>
    <t>16,04</t>
  </si>
  <si>
    <t>40.356,38</t>
  </si>
  <si>
    <t>42,90</t>
  </si>
  <si>
    <t>53.712,32</t>
  </si>
  <si>
    <t>76.756,17</t>
  </si>
  <si>
    <t>9,40</t>
  </si>
  <si>
    <t>147.888,93</t>
  </si>
  <si>
    <t>18,11</t>
  </si>
  <si>
    <t>668.877,34</t>
  </si>
  <si>
    <t>1.442.103,03</t>
  </si>
  <si>
    <t>90,47</t>
  </si>
  <si>
    <t>2.093.794,73</t>
  </si>
  <si>
    <t>131,35</t>
  </si>
  <si>
    <t>(499.732,77)</t>
  </si>
  <si>
    <t>10.000,00</t>
  </si>
  <si>
    <t>0,20</t>
  </si>
  <si>
    <t>910.000,00</t>
  </si>
  <si>
    <t>18,25</t>
  </si>
  <si>
    <t>4.075.481,82</t>
  </si>
  <si>
    <t>AMORTIZAÇÕES DE EMPRÉSTIMOS</t>
  </si>
  <si>
    <t>(10.000,00)</t>
  </si>
  <si>
    <t>4.990.114,14</t>
  </si>
  <si>
    <t>11,11</t>
  </si>
  <si>
    <t>14.743.029,73</t>
  </si>
  <si>
    <t>32,84</t>
  </si>
  <si>
    <t>30.153.027,21</t>
  </si>
  <si>
    <t>36.600.898,05</t>
  </si>
  <si>
    <t>15,32</t>
  </si>
  <si>
    <t>105.509.363,39</t>
  </si>
  <si>
    <t>44,18</t>
  </si>
  <si>
    <t>133.324.604,08</t>
  </si>
  <si>
    <t>FONTE: GOVBR - Responsabilidade Fiscal, GABINETE DO PREFEITO, 18/Jul/2025, 10h e 47m.</t>
  </si>
  <si>
    <t>7.446.881,31</t>
  </si>
  <si>
    <t>5.813.764,70</t>
  </si>
  <si>
    <t>16,53</t>
  </si>
  <si>
    <t>12.033.871,34</t>
  </si>
  <si>
    <t>34,21</t>
  </si>
  <si>
    <t>23.143.495,32</t>
  </si>
  <si>
    <t>(823.650,56)</t>
  </si>
  <si>
    <t>-8,47</t>
  </si>
  <si>
    <t>2.709.158,39</t>
  </si>
  <si>
    <t>27,88</t>
  </si>
  <si>
    <t>7.009.531,89</t>
  </si>
  <si>
    <t>39.815.649,06</t>
  </si>
  <si>
    <t>5.445.894,97</t>
  </si>
  <si>
    <t>15.932.753,95</t>
  </si>
  <si>
    <t>23.882.895,11</t>
  </si>
  <si>
    <t>10.652.020,04</t>
  </si>
  <si>
    <t>39.815.151,05</t>
  </si>
  <si>
    <t>23.882.397,10</t>
  </si>
  <si>
    <t>25.898.513,08</t>
  </si>
  <si>
    <t>3.221.854,36</t>
  </si>
  <si>
    <t>9.279.680,20</t>
  </si>
  <si>
    <t>16.618.832,88</t>
  </si>
  <si>
    <t>7.718.491,91</t>
  </si>
  <si>
    <t>13.915.636,97</t>
  </si>
  <si>
    <t>2.224.040,61</t>
  </si>
  <si>
    <t>6.653.073,75</t>
  </si>
  <si>
    <t>7.262.563,22</t>
  </si>
  <si>
    <t>2.933.528,13</t>
  </si>
  <si>
    <t xml:space="preserve">                    Prefeito Municipal                              160.810.809-00                                                      610.320.420-87                        </t>
  </si>
  <si>
    <t>82.088.677,92</t>
  </si>
  <si>
    <t>2.812.430,67</t>
  </si>
  <si>
    <t>4.293.897,82</t>
  </si>
  <si>
    <t>755.681,67</t>
  </si>
  <si>
    <t>4.401.870,96</t>
  </si>
  <si>
    <t>483.411,08</t>
  </si>
  <si>
    <t>2.818.785,19</t>
  </si>
  <si>
    <t>1.420.370,00</t>
  </si>
  <si>
    <t>1.412.585,30</t>
  </si>
  <si>
    <t>19.146.684,71</t>
  </si>
  <si>
    <t>14.783.205,72</t>
  </si>
  <si>
    <t>3.024.996,44</t>
  </si>
  <si>
    <t>101.242,63</t>
  </si>
  <si>
    <t>173.555,43</t>
  </si>
  <si>
    <t>17.683.396,46</t>
  </si>
  <si>
    <t>8.447.910,26</t>
  </si>
  <si>
    <t>1.741.238,88</t>
  </si>
  <si>
    <t>341.729,60</t>
  </si>
  <si>
    <t>1.399.509,28</t>
  </si>
  <si>
    <t>80.334.363,02</t>
  </si>
  <si>
    <t>18.693.654,68</t>
  </si>
  <si>
    <t>3.817.030,79</t>
  </si>
  <si>
    <t>99.928.017,70</t>
  </si>
  <si>
    <t>81.234.363,02</t>
  </si>
  <si>
    <t>174.889.533,48</t>
  </si>
  <si>
    <t>86.998.533,96</t>
  </si>
  <si>
    <t>73.638.217,97</t>
  </si>
  <si>
    <t>64.842.900,49</t>
  </si>
  <si>
    <t>8.177.011,79</t>
  </si>
  <si>
    <t>1.124.619,03</t>
  </si>
  <si>
    <t>1.103.738,03</t>
  </si>
  <si>
    <t>93.833.813,94</t>
  </si>
  <si>
    <t>43.617.759,58</t>
  </si>
  <si>
    <t>43.464.852,64</t>
  </si>
  <si>
    <t>40.819.209,22</t>
  </si>
  <si>
    <t>4.421.780,49</t>
  </si>
  <si>
    <t>415.502,48</t>
  </si>
  <si>
    <t>80.208.703,54</t>
  </si>
  <si>
    <t>42.548.774,38</t>
  </si>
  <si>
    <t>29.757.862,85</t>
  </si>
  <si>
    <t>23.608.188,79</t>
  </si>
  <si>
    <t>3.755.231,30</t>
  </si>
  <si>
    <t>Transferências Constitucionais e Legais</t>
  </si>
  <si>
    <t>174.042.517,48</t>
  </si>
  <si>
    <t>86.166.533,96</t>
  </si>
  <si>
    <t>73.222.715,49</t>
  </si>
  <si>
    <t>64.427.398,01</t>
  </si>
  <si>
    <t>21.463.974,02</t>
  </si>
  <si>
    <t>21.463.031,41</t>
  </si>
  <si>
    <t>21.454.891,53</t>
  </si>
  <si>
    <t>FONTE: GOVBR - Responsabilidade Fiscal, GABINETE DO PREFEITO, 18/Jul/2025, 11h e 06m.</t>
  </si>
  <si>
    <t>15.034.023,04</t>
  </si>
  <si>
    <t>4.615.609,79</t>
  </si>
  <si>
    <t>2.891.990,10</t>
  </si>
  <si>
    <t>2.793.531,62</t>
  </si>
  <si>
    <t>793.822,84</t>
  </si>
  <si>
    <t>364.568,72</t>
  </si>
  <si>
    <t>274.556,01</t>
  </si>
  <si>
    <t>14.393.183,03</t>
  </si>
  <si>
    <t>3.984.032,23</t>
  </si>
  <si>
    <t>2.576.291,35</t>
  </si>
  <si>
    <t>2.477.832,87</t>
  </si>
  <si>
    <t>790.322,84</t>
  </si>
  <si>
    <t>14.322,00</t>
  </si>
  <si>
    <t>6.580,00</t>
  </si>
  <si>
    <t>14.221,00</t>
  </si>
  <si>
    <t>312.498,75</t>
  </si>
  <si>
    <t>14.407.404,03</t>
  </si>
  <si>
    <t>3.990.612,23</t>
  </si>
  <si>
    <t>2.579.491,35</t>
  </si>
  <si>
    <t>2.481.032,87</t>
  </si>
  <si>
    <t>4.419.993,74</t>
  </si>
  <si>
    <t>238.779.190,26</t>
  </si>
  <si>
    <t>111.621.120,21</t>
  </si>
  <si>
    <t>97.265.238,25</t>
  </si>
  <si>
    <t>88.363.322,41</t>
  </si>
  <si>
    <t>8.972.717,30</t>
  </si>
  <si>
    <t>1.490.082,75</t>
  </si>
  <si>
    <t>1.379.189,04</t>
  </si>
  <si>
    <t>192.869.915,25</t>
  </si>
  <si>
    <t>90.157.146,19</t>
  </si>
  <si>
    <t>75.802.206,84</t>
  </si>
  <si>
    <t>66.908.430,88</t>
  </si>
  <si>
    <t>8.970.834,63</t>
  </si>
  <si>
    <t>1.489.187,75</t>
  </si>
  <si>
    <t>1.378.294,04</t>
  </si>
  <si>
    <t>1.212.788,95</t>
  </si>
  <si>
    <t>3.976.803,47</t>
  </si>
  <si>
    <t>413.502,48</t>
  </si>
  <si>
    <t>4.975.886,29</t>
  </si>
  <si>
    <t>14.965.745,10</t>
  </si>
  <si>
    <t>VARIAÇÃO SALDO RPP = (XLIV) = (XLIa - XLIb)</t>
  </si>
  <si>
    <t>-8.859.940,92</t>
  </si>
  <si>
    <t>RESULTADO NOMINAL (SEM RPPS) AJUSTADO - Abaixo da Linha (L) = [XLIII + ( XLIV - XLV + XLVI + XLVII + XLVIII) +/- (XLXIX)]</t>
  </si>
  <si>
    <t>6.105.804,18</t>
  </si>
  <si>
    <t>5.106.721,36</t>
  </si>
  <si>
    <t>22.388.120,22</t>
  </si>
  <si>
    <t>3.857.880,70</t>
  </si>
  <si>
    <t>2.679.938,52</t>
  </si>
  <si>
    <t>1.110.781,33</t>
  </si>
  <si>
    <t>67.160,85</t>
  </si>
  <si>
    <t>10.849.633,71</t>
  </si>
  <si>
    <t>10.259.601,71</t>
  </si>
  <si>
    <t>590.027,24</t>
  </si>
  <si>
    <t>4,76</t>
  </si>
  <si>
    <t>3.800.736,19</t>
  </si>
  <si>
    <t>3.879.869,62</t>
  </si>
  <si>
    <t>1.170.711,23</t>
  </si>
  <si>
    <t>19.678.961,83</t>
  </si>
  <si>
    <t>FONTE: GOVBR - Responsabilidade Fiscal, GABINETE DO PREFEITO, 18/Jul/2025, 11h e 32m.</t>
  </si>
  <si>
    <t>ADMINISTRAÇÃO DO REGIME PRÓPRIO DE PREVIDÊNCIA DOS SERVIDORES - RPPS</t>
  </si>
  <si>
    <t>105.627.679,68</t>
  </si>
  <si>
    <t>46.686.173,50</t>
  </si>
  <si>
    <t>50.227.936,74</t>
  </si>
  <si>
    <t>23.933.355,67</t>
  </si>
  <si>
    <t>1.687.717,42</t>
  </si>
  <si>
    <t>18.628.074,64</t>
  </si>
  <si>
    <t>216.944,29</t>
  </si>
  <si>
    <t>126.553,18</t>
  </si>
  <si>
    <t>3.781.245,72</t>
  </si>
  <si>
    <t>7.561.212,52</t>
  </si>
  <si>
    <t>129.361.564,63</t>
  </si>
  <si>
    <t>58.950.054,62</t>
  </si>
  <si>
    <t>20.787.992,45</t>
  </si>
  <si>
    <t>9.337.234,70</t>
  </si>
  <si>
    <t>11.552.398,71</t>
  </si>
  <si>
    <t>5.400.278,96</t>
  </si>
  <si>
    <t>17.764.690,64</t>
  </si>
  <si>
    <t>17.599.232,58</t>
  </si>
  <si>
    <t>58.364,08</t>
  </si>
  <si>
    <t>FONTE: GOVBR - Responsabilidade Fiscal, GABINETE DO PREFEITO, 18/Jul/2025, 11h e 42m.</t>
  </si>
  <si>
    <t>165.458,06</t>
  </si>
  <si>
    <t>22.930,10</t>
  </si>
  <si>
    <t>10.496.554,05</t>
  </si>
  <si>
    <t>8.203.633,80</t>
  </si>
  <si>
    <t>27- (-) CANCELAMENTO, NO EXERCÍCIO, DE RESTOS A PAGAR INSCRITOS COM DISPONIBILIDADE FINANCEIRA DE RECURSOS DE IMPOSTOS VINCULADOS AO ENSINO = L30.1(af)</t>
  </si>
  <si>
    <t>6.330.082,02</t>
  </si>
  <si>
    <t>3.136.061,06</t>
  </si>
  <si>
    <t>1.587.766,65</t>
  </si>
  <si>
    <t>1.099.586,08</t>
  </si>
  <si>
    <t>0,06</t>
  </si>
  <si>
    <t>362.221,84</t>
  </si>
  <si>
    <t>109.581,41</t>
  </si>
  <si>
    <t>16.377,26</t>
  </si>
  <si>
    <t>1.548.294,41</t>
  </si>
  <si>
    <t>31.5- RECEITA DE PRECATÓRIOS - FUNDEF E FUNDEB</t>
  </si>
  <si>
    <t>31.6- OUTRAS RECEITAS PARA FINANCIAMENTO DO ENSINO</t>
  </si>
  <si>
    <t>881,83</t>
  </si>
  <si>
    <t>Janeiro a Junho 2025/Meses Janeiro-Junho</t>
  </si>
  <si>
    <t>57,66</t>
  </si>
  <si>
    <t>81,57</t>
  </si>
  <si>
    <t>46,42</t>
  </si>
  <si>
    <t>50,71</t>
  </si>
  <si>
    <t>48,44</t>
  </si>
  <si>
    <t>49,31</t>
  </si>
  <si>
    <t>9,16</t>
  </si>
  <si>
    <t>69,72</t>
  </si>
  <si>
    <t>45,97</t>
  </si>
  <si>
    <t>42,79</t>
  </si>
  <si>
    <t>49,08</t>
  </si>
  <si>
    <t>2.143.200,16</t>
  </si>
  <si>
    <t>44,13</t>
  </si>
  <si>
    <t>1.698.467,43</t>
  </si>
  <si>
    <t>34,97</t>
  </si>
  <si>
    <t>1.580.973,64</t>
  </si>
  <si>
    <t>32,55</t>
  </si>
  <si>
    <t>45,50</t>
  </si>
  <si>
    <t>36,05</t>
  </si>
  <si>
    <t>33,56</t>
  </si>
  <si>
    <t>19.534.798,80</t>
  </si>
  <si>
    <t>19.372.638,24</t>
  </si>
  <si>
    <t>9.936.082,80</t>
  </si>
  <si>
    <t>51,29</t>
  </si>
  <si>
    <t>7.828.173,37</t>
  </si>
  <si>
    <t>40,41</t>
  </si>
  <si>
    <t>7.074.271,38</t>
  </si>
  <si>
    <t>36,52</t>
  </si>
  <si>
    <t>19.532.795,80</t>
  </si>
  <si>
    <t>19.370.635,24</t>
  </si>
  <si>
    <t>2.101.469,37</t>
  </si>
  <si>
    <t>506.356,84</t>
  </si>
  <si>
    <t>24,10</t>
  </si>
  <si>
    <t>352.123,51</t>
  </si>
  <si>
    <t>16,76</t>
  </si>
  <si>
    <t>309.989,04</t>
  </si>
  <si>
    <t>14,75</t>
  </si>
  <si>
    <t>732.321,75</t>
  </si>
  <si>
    <t>194.560,94</t>
  </si>
  <si>
    <t>26,57</t>
  </si>
  <si>
    <t>108.698,98</t>
  </si>
  <si>
    <t>93.424,26</t>
  </si>
  <si>
    <t>12,76</t>
  </si>
  <si>
    <t>672.221,75</t>
  </si>
  <si>
    <t>28,94</t>
  </si>
  <si>
    <t>16,17</t>
  </si>
  <si>
    <t>13,90</t>
  </si>
  <si>
    <t>317.554,20</t>
  </si>
  <si>
    <t>38,82</t>
  </si>
  <si>
    <t>304.668,44</t>
  </si>
  <si>
    <t>37,24</t>
  </si>
  <si>
    <t>6.676.965,15</t>
  </si>
  <si>
    <t>3.701.730,45</t>
  </si>
  <si>
    <t>55,44</t>
  </si>
  <si>
    <t>3.027.294,17</t>
  </si>
  <si>
    <t>45,34</t>
  </si>
  <si>
    <t>2.933.674,33</t>
  </si>
  <si>
    <t>43,94</t>
  </si>
  <si>
    <t>6.460.621,59</t>
  </si>
  <si>
    <t>3.519.122,99</t>
  </si>
  <si>
    <t>54,47</t>
  </si>
  <si>
    <t>3.026.125,27</t>
  </si>
  <si>
    <t>46,84</t>
  </si>
  <si>
    <t>2.932.724,43</t>
  </si>
  <si>
    <t>45,39</t>
  </si>
  <si>
    <t>FONTE: GOVBR - Responsabilidade Fiscal, GABINETE DO PREFEITO, 18/Jul/2025, 11h e 45m.</t>
  </si>
  <si>
    <t>216.343,56</t>
  </si>
  <si>
    <t>182.607,46</t>
  </si>
  <si>
    <t>84,41</t>
  </si>
  <si>
    <t>1.168,90</t>
  </si>
  <si>
    <t>0,54</t>
  </si>
  <si>
    <t>0,44</t>
  </si>
  <si>
    <t>34.558.325,49</t>
  </si>
  <si>
    <t>16.799.485,39</t>
  </si>
  <si>
    <t>48,61</t>
  </si>
  <si>
    <t>13.332.311,66</t>
  </si>
  <si>
    <t>38,58</t>
  </si>
  <si>
    <t>12.297.001,09</t>
  </si>
  <si>
    <t>8.842.508,19</t>
  </si>
  <si>
    <t>4.489.803,47</t>
  </si>
  <si>
    <t>3.454.492,90</t>
  </si>
  <si>
    <t>22,62</t>
  </si>
  <si>
    <t>3.608.917,57</t>
  </si>
  <si>
    <t>51,35</t>
  </si>
  <si>
    <t>2.927.250,22</t>
  </si>
  <si>
    <t>50,16</t>
  </si>
  <si>
    <t>681.667,35</t>
  </si>
  <si>
    <t>57,18</t>
  </si>
  <si>
    <t>282.417,00</t>
  </si>
  <si>
    <t>3.891.334,57</t>
  </si>
  <si>
    <t>55,37</t>
  </si>
  <si>
    <t>5.987.445,84</t>
  </si>
  <si>
    <t>2.952.124,74</t>
  </si>
  <si>
    <t>2.676.383,47</t>
  </si>
  <si>
    <t>44,70</t>
  </si>
  <si>
    <t>2.542.058,47</t>
  </si>
  <si>
    <t>42,46</t>
  </si>
  <si>
    <t>5.864.316,18</t>
  </si>
  <si>
    <t>50,34</t>
  </si>
  <si>
    <t>45,64</t>
  </si>
  <si>
    <t>43,35</t>
  </si>
  <si>
    <t>123.129,66</t>
  </si>
  <si>
    <t>1.563.502,53</t>
  </si>
  <si>
    <t>950.926,50</t>
  </si>
  <si>
    <t>60,82</t>
  </si>
  <si>
    <t>836.682,56</t>
  </si>
  <si>
    <t>53,51</t>
  </si>
  <si>
    <t>827.967,82</t>
  </si>
  <si>
    <t>52,96</t>
  </si>
  <si>
    <t>1.563.123,82</t>
  </si>
  <si>
    <t>60,84</t>
  </si>
  <si>
    <t>53,53</t>
  </si>
  <si>
    <t>52,97</t>
  </si>
  <si>
    <t>291.142,44</t>
  </si>
  <si>
    <t>278.222,62</t>
  </si>
  <si>
    <t>95,56</t>
  </si>
  <si>
    <t>238.980,47</t>
  </si>
  <si>
    <t>82,08</t>
  </si>
  <si>
    <t>226.633,44</t>
  </si>
  <si>
    <t>77,84</t>
  </si>
  <si>
    <t>291.140,44</t>
  </si>
  <si>
    <t>62.689,00</t>
  </si>
  <si>
    <t>43.935,77</t>
  </si>
  <si>
    <t>70,09</t>
  </si>
  <si>
    <t>42.026,69</t>
  </si>
  <si>
    <t>67,04</t>
  </si>
  <si>
    <t>12.779,85</t>
  </si>
  <si>
    <t>20,39</t>
  </si>
  <si>
    <t>58.688,00</t>
  </si>
  <si>
    <t>40.305,77</t>
  </si>
  <si>
    <t>68,68</t>
  </si>
  <si>
    <t>38.396,69</t>
  </si>
  <si>
    <t>65,43</t>
  </si>
  <si>
    <t>12.736,29</t>
  </si>
  <si>
    <t>21,70</t>
  </si>
  <si>
    <t>3.630,00</t>
  </si>
  <si>
    <t>90,73</t>
  </si>
  <si>
    <t>43,56</t>
  </si>
  <si>
    <t>1,09</t>
  </si>
  <si>
    <t>307.328,27</t>
  </si>
  <si>
    <t>112.073,33</t>
  </si>
  <si>
    <t>36,47</t>
  </si>
  <si>
    <t>108.052,37</t>
  </si>
  <si>
    <t>35,16</t>
  </si>
  <si>
    <t>237.324,27</t>
  </si>
  <si>
    <t>47,22</t>
  </si>
  <si>
    <t>45,53</t>
  </si>
  <si>
    <t>70.004,00</t>
  </si>
  <si>
    <t>180.137,20</t>
  </si>
  <si>
    <t>158.157,44</t>
  </si>
  <si>
    <t>87,80</t>
  </si>
  <si>
    <t>165.337,20</t>
  </si>
  <si>
    <t>95,66</t>
  </si>
  <si>
    <t>8.392.245,28</t>
  </si>
  <si>
    <t>4.495.440,40</t>
  </si>
  <si>
    <t>53,57</t>
  </si>
  <si>
    <t>3.902.125,56</t>
  </si>
  <si>
    <t>46,50</t>
  </si>
  <si>
    <t>3.717.491,95</t>
  </si>
  <si>
    <t>44,30</t>
  </si>
  <si>
    <t>10.844.273,74</t>
  </si>
  <si>
    <t>5.095.324,90</t>
  </si>
  <si>
    <t>46,99</t>
  </si>
  <si>
    <t>4.374.850,90</t>
  </si>
  <si>
    <t>40,34</t>
  </si>
  <si>
    <t>4.123.032,11</t>
  </si>
  <si>
    <t>38,02</t>
  </si>
  <si>
    <t>21.106.001,33</t>
  </si>
  <si>
    <t>20.936.140,77</t>
  </si>
  <si>
    <t>10.887.009,30</t>
  </si>
  <si>
    <t>52,00</t>
  </si>
  <si>
    <t>8.664.855,93</t>
  </si>
  <si>
    <t>41,39</t>
  </si>
  <si>
    <t>7.902.239,20</t>
  </si>
  <si>
    <t>37,74</t>
  </si>
  <si>
    <t>2.392.611,81</t>
  </si>
  <si>
    <t>784.579,46</t>
  </si>
  <si>
    <t>32,79</t>
  </si>
  <si>
    <t>591.103,98</t>
  </si>
  <si>
    <t>24,71</t>
  </si>
  <si>
    <t>536.622,48</t>
  </si>
  <si>
    <t>22,43</t>
  </si>
  <si>
    <t>795.010,75</t>
  </si>
  <si>
    <t>238.496,71</t>
  </si>
  <si>
    <t>30,00</t>
  </si>
  <si>
    <t>150.725,67</t>
  </si>
  <si>
    <t>18,96</t>
  </si>
  <si>
    <t>106.204,11</t>
  </si>
  <si>
    <t>13,36</t>
  </si>
  <si>
    <t>1.125.431,35</t>
  </si>
  <si>
    <t>429.627,53</t>
  </si>
  <si>
    <t>38,17</t>
  </si>
  <si>
    <t>425.606,57</t>
  </si>
  <si>
    <t>37,82</t>
  </si>
  <si>
    <t>412.720,81</t>
  </si>
  <si>
    <t>36,67</t>
  </si>
  <si>
    <t>6.857.102,35</t>
  </si>
  <si>
    <t>3.859.887,89</t>
  </si>
  <si>
    <t>56,29</t>
  </si>
  <si>
    <t>44,15</t>
  </si>
  <si>
    <t>42,78</t>
  </si>
  <si>
    <t>42.013.830,52</t>
  </si>
  <si>
    <t>42.950.570,77</t>
  </si>
  <si>
    <t>21.294.925,79</t>
  </si>
  <si>
    <t>49,58</t>
  </si>
  <si>
    <t>17.234.437,22</t>
  </si>
  <si>
    <t>40,13</t>
  </si>
  <si>
    <t>16.014.493,04</t>
  </si>
  <si>
    <t>37,29</t>
  </si>
  <si>
    <t>Janeiro a Junho 2025</t>
  </si>
  <si>
    <t>4.383.387,98</t>
  </si>
  <si>
    <t>43.884.442,99</t>
  </si>
  <si>
    <t>55.946,67</t>
  </si>
  <si>
    <t>16.046.661,49</t>
  </si>
  <si>
    <t>(55.603.663,17)</t>
  </si>
  <si>
    <t>4.247.091,70</t>
  </si>
  <si>
    <t>(55.739.959,45)</t>
  </si>
  <si>
    <t>136.296,28</t>
  </si>
  <si>
    <t>23.963.619,01</t>
  </si>
  <si>
    <t>687.289,13</t>
  </si>
  <si>
    <t>808.962,85</t>
  </si>
  <si>
    <t>2.179.858,51</t>
  </si>
  <si>
    <t>20.287.508,52</t>
  </si>
  <si>
    <t>2.271.825,25</t>
  </si>
  <si>
    <t>405.388,90</t>
  </si>
  <si>
    <t>64.295,98</t>
  </si>
  <si>
    <t>1.235.905,21</t>
  </si>
  <si>
    <t>262.479,10</t>
  </si>
  <si>
    <t>63.413,04</t>
  </si>
  <si>
    <t>(349.198,29)</t>
  </si>
  <si>
    <t>2.009.346,15</t>
  </si>
  <si>
    <t>421.429,21</t>
  </si>
  <si>
    <t>882,94</t>
  </si>
  <si>
    <t>1.585.103,50</t>
  </si>
  <si>
    <t>2.428.715,31</t>
  </si>
  <si>
    <t>157.114,77</t>
  </si>
  <si>
    <t>1.399,50</t>
  </si>
  <si>
    <t>96.217,73</t>
  </si>
  <si>
    <t>2.173.983,31</t>
  </si>
  <si>
    <t>2.283.751,49</t>
  </si>
  <si>
    <t>155.210,79</t>
  </si>
  <si>
    <t>(58.049,14)</t>
  </si>
  <si>
    <t>96.060,01</t>
  </si>
  <si>
    <t>2.090.529,83</t>
  </si>
  <si>
    <t>144.963,82</t>
  </si>
  <si>
    <t>157,72</t>
  </si>
  <si>
    <t>83.453,48</t>
  </si>
  <si>
    <t>886.999,40</t>
  </si>
  <si>
    <t>799,31</t>
  </si>
  <si>
    <t>883.033,37</t>
  </si>
  <si>
    <t>12.295.879,42</t>
  </si>
  <si>
    <t>(239.435,61)</t>
  </si>
  <si>
    <t>14.137,01</t>
  </si>
  <si>
    <t>12.667.605,44</t>
  </si>
  <si>
    <t>1.811.747,21</t>
  </si>
  <si>
    <t>1.760.535,42</t>
  </si>
  <si>
    <t>10.484.132,21</t>
  </si>
  <si>
    <t>(289.689,45)</t>
  </si>
  <si>
    <t>10.907.070,02</t>
  </si>
  <si>
    <t>2.743.293,07</t>
  </si>
  <si>
    <t>2.769.655,99</t>
  </si>
  <si>
    <t>2.599.034,83</t>
  </si>
  <si>
    <t>2.605.116,91</t>
  </si>
  <si>
    <t>144.258,24</t>
  </si>
  <si>
    <t>164.539,08</t>
  </si>
  <si>
    <t>3.336.906,56</t>
  </si>
  <si>
    <t>2.004.408,48</t>
  </si>
  <si>
    <t>1.332.498,08</t>
  </si>
  <si>
    <t>11.757,93</t>
  </si>
  <si>
    <t>85.670,65</t>
  </si>
  <si>
    <t>(125.115,44)</t>
  </si>
  <si>
    <t>28.358.764,92</t>
  </si>
  <si>
    <t>44.621.599,20</t>
  </si>
  <si>
    <t>866.245,16</t>
  </si>
  <si>
    <t>18.312.190,65</t>
  </si>
  <si>
    <t>(35.441.270,09)</t>
  </si>
  <si>
    <t>FONTE: GOVBR - Responsabilidade Fiscal, GABINETE DO PREFEITO, 18/Jul/2025, 11h e 52m.</t>
  </si>
  <si>
    <t>Período:Janeiro a Junho</t>
  </si>
  <si>
    <t>Restos a Pagar de exercícios anteriores pagos no período de Janeiro a Junho de 2025, totalizou:</t>
  </si>
  <si>
    <t>Diferença dos saldos iniciais dos Restos Não Processados p/ os saldos em 30/Jun:</t>
  </si>
  <si>
    <t>Diferença dos saldos iniciais dos Restos Processados para os saldos em 30/Jun:</t>
  </si>
  <si>
    <t>Fonte: Relatório Consolidado da "Situacao de Empenhos de Restos a Pagar por Orgãos -  Posicão até Jun/25"</t>
  </si>
  <si>
    <t>O saldo dos Restos a Pagar em 30 de Jun/25 ficou em</t>
  </si>
  <si>
    <t>Disponibilidade Financeira do Recurso Vinculado - Junho de 2025</t>
  </si>
  <si>
    <t>50.707.108,30</t>
  </si>
  <si>
    <t>179.146.496,15</t>
  </si>
  <si>
    <t>230.609.914,92</t>
  </si>
  <si>
    <t>45.311.946,76</t>
  </si>
  <si>
    <t>46.424.194,82</t>
  </si>
  <si>
    <t>185.312.194,96</t>
  </si>
  <si>
    <t>-1.126.474,86</t>
  </si>
  <si>
    <t>752.397,53</t>
  </si>
  <si>
    <t>2.950,99</t>
  </si>
  <si>
    <t>755.348,52</t>
  </si>
  <si>
    <t>2.279,01</t>
  </si>
  <si>
    <t>753.069,51</t>
  </si>
  <si>
    <t>35.236.888,42</t>
  </si>
  <si>
    <t>53.582.349,42</t>
  </si>
  <si>
    <t>18.953.236,43</t>
  </si>
  <si>
    <t>40.136.937,40</t>
  </si>
  <si>
    <t>-5.507.824,41</t>
  </si>
  <si>
    <t>570.923,01</t>
  </si>
  <si>
    <t>49.769,39</t>
  </si>
  <si>
    <t>65.809,70</t>
  </si>
  <si>
    <t>147.604,78</t>
  </si>
  <si>
    <t>357.508,53</t>
  </si>
  <si>
    <t>1.987.857,88</t>
  </si>
  <si>
    <t>3.210.286,85</t>
  </si>
  <si>
    <t>912.419,55</t>
  </si>
  <si>
    <t>102.544,07</t>
  </si>
  <si>
    <t>1.014.963,62</t>
  </si>
  <si>
    <t>2.058.010,67</t>
  </si>
  <si>
    <t>137.312,56</t>
  </si>
  <si>
    <t>0,07</t>
  </si>
  <si>
    <t>445.435,80</t>
  </si>
  <si>
    <t>811.067,77</t>
  </si>
  <si>
    <t>106.699,26</t>
  </si>
  <si>
    <t>445.763,10</t>
  </si>
  <si>
    <t>258.605,41</t>
  </si>
  <si>
    <t>327.943,32</t>
  </si>
  <si>
    <t>2.254,12</t>
  </si>
  <si>
    <t>56.987,30</t>
  </si>
  <si>
    <t>438.756,16</t>
  </si>
  <si>
    <t>43.998,56</t>
  </si>
  <si>
    <t>58.597,04</t>
  </si>
  <si>
    <t>336.160,56</t>
  </si>
  <si>
    <t>43.179,94</t>
  </si>
  <si>
    <t>752.449,66</t>
  </si>
  <si>
    <t>1.748.577,94</t>
  </si>
  <si>
    <t>39.450,84</t>
  </si>
  <si>
    <t>50.564,39</t>
  </si>
  <si>
    <t>90.015,23</t>
  </si>
  <si>
    <t>557.687,85</t>
  </si>
  <si>
    <t>1.100.874,86</t>
  </si>
  <si>
    <t>1.505.114,47</t>
  </si>
  <si>
    <t>2.730.993,56</t>
  </si>
  <si>
    <t>4.268.018,79</t>
  </si>
  <si>
    <t>1.399.374,52</t>
  </si>
  <si>
    <t>1.414.180,96</t>
  </si>
  <si>
    <t>2.717.639,36</t>
  </si>
  <si>
    <t>136.198,47</t>
  </si>
  <si>
    <t>19.123,30</t>
  </si>
  <si>
    <t>826.978,59</t>
  </si>
  <si>
    <t>1.968.725,73</t>
  </si>
  <si>
    <t>5.243.411,04</t>
  </si>
  <si>
    <t>8.039.115,36</t>
  </si>
  <si>
    <t>1.977.894,88</t>
  </si>
  <si>
    <t>2.029.174,12</t>
  </si>
  <si>
    <t>6.069.842,91</t>
  </si>
  <si>
    <t>-59.901,67</t>
  </si>
  <si>
    <t>21.544,85</t>
  </si>
  <si>
    <t>462.616,78</t>
  </si>
  <si>
    <t>70.600,50</t>
  </si>
  <si>
    <t>392.016,28</t>
  </si>
  <si>
    <t>270,78</t>
  </si>
  <si>
    <t>4.399,77</t>
  </si>
  <si>
    <t>1.206,59</t>
  </si>
  <si>
    <t>24.635,49</t>
  </si>
  <si>
    <t>9.191,73</t>
  </si>
  <si>
    <t>874.620,40</t>
  </si>
  <si>
    <t>871.332,00</t>
  </si>
  <si>
    <t>1.755.144,13</t>
  </si>
  <si>
    <t>869.689,46</t>
  </si>
  <si>
    <t>870.025,24</t>
  </si>
  <si>
    <t>15.429,43</t>
  </si>
  <si>
    <t>60.881,87</t>
  </si>
  <si>
    <t>106.399,93</t>
  </si>
  <si>
    <t>167.304,20</t>
  </si>
  <si>
    <t>59.314,29</t>
  </si>
  <si>
    <t>106.431,22</t>
  </si>
  <si>
    <t>1.558,69</t>
  </si>
  <si>
    <t>680.468,33</t>
  </si>
  <si>
    <t>1.160.830,08</t>
  </si>
  <si>
    <t>2.638.892,20</t>
  </si>
  <si>
    <t>494.726,06</t>
  </si>
  <si>
    <t>495.201,41</t>
  </si>
  <si>
    <t>1.597.048,36</t>
  </si>
  <si>
    <t>546.642,43</t>
  </si>
  <si>
    <t>1.199,02</t>
  </si>
  <si>
    <t>24.087,47</t>
  </si>
  <si>
    <t>1.501.160,31</t>
  </si>
  <si>
    <t>1.883.592,25</t>
  </si>
  <si>
    <t>254.887,40</t>
  </si>
  <si>
    <t>996.316,65</t>
  </si>
  <si>
    <t>632.388,20</t>
  </si>
  <si>
    <t>176.311,37</t>
  </si>
  <si>
    <t>358.281,43</t>
  </si>
  <si>
    <t>935.778,23</t>
  </si>
  <si>
    <t>191.454,95</t>
  </si>
  <si>
    <t>192.642,03</t>
  </si>
  <si>
    <t>364.609,01</t>
  </si>
  <si>
    <t>378.527,19</t>
  </si>
  <si>
    <t>15.249,09</t>
  </si>
  <si>
    <t>306.365,67</t>
  </si>
  <si>
    <t>8.982,88</t>
  </si>
  <si>
    <t>186.905,29</t>
  </si>
  <si>
    <t>57.965,82</t>
  </si>
  <si>
    <t>386.343,77</t>
  </si>
  <si>
    <t>1.587.350,13</t>
  </si>
  <si>
    <t>394.446,58</t>
  </si>
  <si>
    <t>1.192.903,55</t>
  </si>
  <si>
    <t>38.426,50</t>
  </si>
  <si>
    <t>1.532.616,17</t>
  </si>
  <si>
    <t>771.335,26</t>
  </si>
  <si>
    <t>1.094.112,21</t>
  </si>
  <si>
    <t>5.484.169,86</t>
  </si>
  <si>
    <t>10.469.707,00</t>
  </si>
  <si>
    <t>322.549,67</t>
  </si>
  <si>
    <t>5.851.749,34</t>
  </si>
  <si>
    <t>4.295.407,99</t>
  </si>
  <si>
    <t>973.625,46</t>
  </si>
  <si>
    <t>1.275.968,46</t>
  </si>
  <si>
    <t>3.663.132,59</t>
  </si>
  <si>
    <t>1.295.981,12</t>
  </si>
  <si>
    <t>1.986.007,45</t>
  </si>
  <si>
    <t>5.649,23</t>
  </si>
  <si>
    <t>220.125,41</t>
  </si>
  <si>
    <t>119.767,99</t>
  </si>
  <si>
    <t>122,27</t>
  </si>
  <si>
    <t>2.651,41</t>
  </si>
  <si>
    <t>182,17</t>
  </si>
  <si>
    <t>3.950,44</t>
  </si>
  <si>
    <t>989,99</t>
  </si>
  <si>
    <t>21.468,65</t>
  </si>
  <si>
    <t>457.632,57</t>
  </si>
  <si>
    <t>1.175.101,74</t>
  </si>
  <si>
    <t>2.161.697,50</t>
  </si>
  <si>
    <t>771.986,14</t>
  </si>
  <si>
    <t>1.252.966,41</t>
  </si>
  <si>
    <t>136.744,95</t>
  </si>
  <si>
    <t>3.360.297,33</t>
  </si>
  <si>
    <t>5.734.990,09</t>
  </si>
  <si>
    <t>13.161.680,48</t>
  </si>
  <si>
    <t>2.367.995,51</t>
  </si>
  <si>
    <t>5.734.574,47</t>
  </si>
  <si>
    <t>5.059.110,50</t>
  </si>
  <si>
    <t>21.080,26</t>
  </si>
  <si>
    <t>17.752,75</t>
  </si>
  <si>
    <t>98.781,36</t>
  </si>
  <si>
    <t>81.028,61</t>
  </si>
  <si>
    <t>572.434,73</t>
  </si>
  <si>
    <t>-572.434,73</t>
  </si>
  <si>
    <t>21.058,33</t>
  </si>
  <si>
    <t>18.884,14</t>
  </si>
  <si>
    <t>76.288,08</t>
  </si>
  <si>
    <t>57.013,94</t>
  </si>
  <si>
    <t>12.422,23</t>
  </si>
  <si>
    <t>28.660,82</t>
  </si>
  <si>
    <t>18.497,08</t>
  </si>
  <si>
    <t>968.836,44</t>
  </si>
  <si>
    <t>727.741,01</t>
  </si>
  <si>
    <t>502.096,28</t>
  </si>
  <si>
    <t>809.707,74</t>
  </si>
  <si>
    <t>3.505.214,54</t>
  </si>
  <si>
    <t>3.862,63</t>
  </si>
  <si>
    <t>828.841,47</t>
  </si>
  <si>
    <t>2.672.510,44</t>
  </si>
  <si>
    <t>104.351.337,12</t>
  </si>
  <si>
    <t>187.536.195,17</t>
  </si>
  <si>
    <t>21.458.556,41</t>
  </si>
  <si>
    <t>110.600.234,76</t>
  </si>
  <si>
    <t>55.477.404,00</t>
  </si>
  <si>
    <t>122.565,25</t>
  </si>
  <si>
    <t>5.577,00</t>
  </si>
  <si>
    <t>408.148,18</t>
  </si>
  <si>
    <t>5.834,76</t>
  </si>
  <si>
    <t>396.943,42</t>
  </si>
  <si>
    <t>145.959.900,90</t>
  </si>
  <si>
    <t>148.467.192,55</t>
  </si>
  <si>
    <t>145.726.800,06</t>
  </si>
  <si>
    <t>2.740.392,49</t>
  </si>
  <si>
    <t>133.400,56</t>
  </si>
  <si>
    <t>-133.400,56</t>
  </si>
  <si>
    <t>153.577,18</t>
  </si>
  <si>
    <t>-153.577,18</t>
  </si>
  <si>
    <t>172.491,56</t>
  </si>
  <si>
    <t>1.044.579,59</t>
  </si>
  <si>
    <t>89.017,78</t>
  </si>
  <si>
    <t>-961.105,81</t>
  </si>
  <si>
    <t>5.288,52</t>
  </si>
  <si>
    <t>-5.288,52</t>
  </si>
  <si>
    <t>496.720.335,49</t>
  </si>
  <si>
    <t>687.490.761,59</t>
  </si>
  <si>
    <t>97.993.239,48</t>
  </si>
  <si>
    <t>99.483.322,23</t>
  </si>
  <si>
    <t>514.519.078,42</t>
  </si>
  <si>
    <t>73.488.360,94</t>
  </si>
  <si>
    <t>33.124.874,66</t>
  </si>
  <si>
    <t>8.366.687,63</t>
  </si>
  <si>
    <t>41.491.562,29</t>
  </si>
  <si>
    <t>3.806.157,67</t>
  </si>
  <si>
    <t>13.107.769,35</t>
  </si>
  <si>
    <t>13.230.732,55</t>
  </si>
  <si>
    <t>214.679,47</t>
  </si>
  <si>
    <t>42.659,34</t>
  </si>
  <si>
    <t>128.824,79</t>
  </si>
  <si>
    <t>294.493,44</t>
  </si>
  <si>
    <t>702.591,09</t>
  </si>
  <si>
    <t>243.758,66</t>
  </si>
  <si>
    <t>946.349,75</t>
  </si>
  <si>
    <t>205.926,43</t>
  </si>
  <si>
    <t>93.427,25</t>
  </si>
  <si>
    <t>271.877,42</t>
  </si>
  <si>
    <t>1.672,12</t>
  </si>
  <si>
    <t>42.441,85</t>
  </si>
  <si>
    <t>54.820,94</t>
  </si>
  <si>
    <t>325.338,18</t>
  </si>
  <si>
    <t>160.658,51</t>
  </si>
  <si>
    <t>200.109,35</t>
  </si>
  <si>
    <t>990.780,74</t>
  </si>
  <si>
    <t>1.200.040,27</t>
  </si>
  <si>
    <t>1.229.271,24</t>
  </si>
  <si>
    <t>321.108,19</t>
  </si>
  <si>
    <t>1.411.876,46</t>
  </si>
  <si>
    <t>1.555.258,01</t>
  </si>
  <si>
    <t>414.014,44</t>
  </si>
  <si>
    <t>3.834,29</t>
  </si>
  <si>
    <t>458.782,49</t>
  </si>
  <si>
    <t>491.145,40</t>
  </si>
  <si>
    <t>491.481,18</t>
  </si>
  <si>
    <t>393.637,71</t>
  </si>
  <si>
    <t>328.863,31</t>
  </si>
  <si>
    <t>334.803,15</t>
  </si>
  <si>
    <t>707.040,69</t>
  </si>
  <si>
    <t>246.637,09</t>
  </si>
  <si>
    <t>272.088,70</t>
  </si>
  <si>
    <t>615.186,90</t>
  </si>
  <si>
    <t>160.449,29</t>
  </si>
  <si>
    <t>177.460,76</t>
  </si>
  <si>
    <t>393.708,46</t>
  </si>
  <si>
    <t>268.007,24</t>
  </si>
  <si>
    <t>544.895,48</t>
  </si>
  <si>
    <t>4.073.062,18</t>
  </si>
  <si>
    <t>362.753,82</t>
  </si>
  <si>
    <t>2.004.397,65</t>
  </si>
  <si>
    <t>24.252,80</t>
  </si>
  <si>
    <t>660.763,88</t>
  </si>
  <si>
    <t>751.266,29</t>
  </si>
  <si>
    <t>157.464,80</t>
  </si>
  <si>
    <t>2.229.499,63</t>
  </si>
  <si>
    <t>2.566.361,09</t>
  </si>
  <si>
    <t>4.860.744,92</t>
  </si>
  <si>
    <t>325.142,42</t>
  </si>
  <si>
    <t>499.219,49</t>
  </si>
  <si>
    <t>-499.219,49</t>
  </si>
  <si>
    <t>15.051,68</t>
  </si>
  <si>
    <t>87.879,17</t>
  </si>
  <si>
    <t>2.588.493,90</t>
  </si>
  <si>
    <t>15.209.130,57</t>
  </si>
  <si>
    <t>15.211.013,24</t>
  </si>
  <si>
    <t>61.724.947,17</t>
  </si>
  <si>
    <t>4.260,20</t>
  </si>
  <si>
    <t>5.155,20</t>
  </si>
  <si>
    <t>397.158,22</t>
  </si>
  <si>
    <t>146.723,81</t>
  </si>
  <si>
    <t>-146.723,81</t>
  </si>
  <si>
    <t>990.162,32</t>
  </si>
  <si>
    <t>-906.688,54</t>
  </si>
  <si>
    <t>5.227,78</t>
  </si>
  <si>
    <t>-5.227,78</t>
  </si>
  <si>
    <t>71.499.002,52</t>
  </si>
  <si>
    <t>10.351.906,34</t>
  </si>
  <si>
    <t>81.850.908,86</t>
  </si>
  <si>
    <t>91.120.774,31</t>
  </si>
  <si>
    <t>com a Educação representa 28,33% e de Nº 10 que lida com a Saúde 17,59%, respectivamente da Despesa Total Líquidada.</t>
  </si>
  <si>
    <t>POSIÇÃO DAS OBRIGAÇÕES REALIZADAS ATÉ JUNHO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</si>
</sst>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_ * #,##0.00_ ;_ * \-#,##0.00_ ;_ * \-??_ ;_ @_ "/>
    <numFmt numFmtId="167" formatCode="###,###,###,##0.00"/>
    <numFmt numFmtId="168" formatCode="##0.00"/>
    <numFmt numFmtId="169" formatCode="#,##0.00;\(#,##0.00\)"/>
    <numFmt numFmtId="170" formatCode="_-* #,##0.00_-;\-* #,##0.00_-;_-* \-??_-;_-@_-"/>
    <numFmt numFmtId="171" formatCode="_(* #,##0.00_);_(* \(#,##0.00\);_(* \-??_);_(@_)"/>
    <numFmt numFmtId="172" formatCode="&quot;  &quot;#,##0.00\ ;&quot;  (&quot;#,##0.00\);&quot;  - &quot;#\ ;@\ "/>
    <numFmt numFmtId="173" formatCode="_ * #,##0.0000_ ;_ * \-#,##0.0000_ ;_ * \-??_ ;_ @_ "/>
    <numFmt numFmtId="174" formatCode="0.0%"/>
  </numFmts>
  <fonts count="75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i/>
      <sz val="6"/>
      <color rgb="FF000000"/>
      <name val="Calibri"/>
      <family val="2"/>
      <charset val="1"/>
    </font>
    <font>
      <sz val="8"/>
      <color rgb="FF333333"/>
      <name val="Times New Roman"/>
      <family val="1"/>
      <charset val="1"/>
    </font>
    <font>
      <sz val="8"/>
      <name val="Arial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6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b/>
      <sz val="6"/>
      <name val="Arial"/>
      <family val="2"/>
      <charset val="1"/>
    </font>
    <font>
      <sz val="6"/>
      <name val="Arial"/>
      <family val="2"/>
      <charset val="1"/>
    </font>
    <font>
      <sz val="6"/>
      <name val="Courier New"/>
      <family val="2"/>
      <charset val="1"/>
    </font>
    <font>
      <sz val="8"/>
      <color rgb="FF0070C0"/>
      <name val="Calibri"/>
      <family val="2"/>
      <charset val="1"/>
    </font>
    <font>
      <sz val="7"/>
      <color rgb="FF000000"/>
      <name val="Calibri"/>
      <family val="2"/>
      <charset val="1"/>
    </font>
    <font>
      <sz val="8"/>
      <color rgb="FFFF0000"/>
      <name val="Arial"/>
      <family val="2"/>
      <charset val="1"/>
    </font>
    <font>
      <sz val="6"/>
      <color rgb="FFFF0000"/>
      <name val="Arial"/>
      <family val="2"/>
      <charset val="1"/>
    </font>
    <font>
      <b/>
      <sz val="6"/>
      <color rgb="FF000000"/>
      <name val="Calibri"/>
      <family val="2"/>
      <charset val="1"/>
    </font>
    <font>
      <b/>
      <sz val="8"/>
      <color rgb="FFFF0000"/>
      <name val="Calibri"/>
      <family val="2"/>
      <charset val="1"/>
    </font>
    <font>
      <b/>
      <sz val="8"/>
      <name val="Arial"/>
      <family val="2"/>
      <charset val="1"/>
    </font>
    <font>
      <sz val="12"/>
      <name val="Arial"/>
      <family val="2"/>
      <charset val="1"/>
    </font>
    <font>
      <b/>
      <sz val="8"/>
      <color rgb="FF333333"/>
      <name val="Times New Roman"/>
      <family val="1"/>
      <charset val="1"/>
    </font>
    <font>
      <sz val="6"/>
      <color rgb="FFFF0000"/>
      <name val="Calibri"/>
      <family val="2"/>
      <charset val="1"/>
    </font>
    <font>
      <sz val="6"/>
      <color rgb="FF333333"/>
      <name val="Times New Roman"/>
      <family val="1"/>
      <charset val="1"/>
    </font>
    <font>
      <b/>
      <sz val="10"/>
      <name val="Arial"/>
      <family val="2"/>
      <charset val="1"/>
    </font>
    <font>
      <sz val="8"/>
      <name val="Times New Roman"/>
      <family val="1"/>
      <charset val="1"/>
    </font>
    <font>
      <b/>
      <sz val="8"/>
      <name val="Times New Roman"/>
      <family val="1"/>
      <charset val="1"/>
    </font>
    <font>
      <b/>
      <sz val="7"/>
      <name val="Arial"/>
      <family val="2"/>
      <charset val="1"/>
    </font>
    <font>
      <b/>
      <sz val="8"/>
      <color rgb="FFFF0000"/>
      <name val="Arial"/>
      <family val="2"/>
      <charset val="1"/>
    </font>
    <font>
      <vertAlign val="superscript"/>
      <sz val="8"/>
      <color rgb="FF000000"/>
      <name val="Calibri"/>
      <family val="2"/>
      <charset val="1"/>
    </font>
    <font>
      <sz val="7"/>
      <color rgb="FF0070C0"/>
      <name val="Calibri"/>
      <family val="2"/>
      <charset val="1"/>
    </font>
    <font>
      <b/>
      <sz val="7"/>
      <color rgb="FFFF0000"/>
      <name val="Arial"/>
      <family val="2"/>
      <charset val="1"/>
    </font>
    <font>
      <sz val="7"/>
      <name val="Arial"/>
      <family val="2"/>
      <charset val="1"/>
    </font>
    <font>
      <sz val="7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</font>
    <font>
      <b/>
      <sz val="6"/>
      <color rgb="FF000000"/>
      <name val="Calibri"/>
      <family val="2"/>
    </font>
    <font>
      <b/>
      <sz val="6"/>
      <name val="Times New Roman"/>
      <family val="1"/>
      <charset val="1"/>
    </font>
    <font>
      <sz val="7"/>
      <name val="Times New Roman"/>
      <family val="1"/>
      <charset val="1"/>
    </font>
    <font>
      <b/>
      <u/>
      <sz val="6"/>
      <name val="Times New Roman"/>
      <family val="1"/>
      <charset val="1"/>
    </font>
    <font>
      <b/>
      <sz val="6"/>
      <color rgb="FFFF0000"/>
      <name val="Arial"/>
      <family val="2"/>
      <charset val="1"/>
    </font>
    <font>
      <sz val="7"/>
      <color rgb="FFFF0000"/>
      <name val="Calibri"/>
      <family val="2"/>
      <charset val="1"/>
    </font>
    <font>
      <b/>
      <sz val="6"/>
      <name val="Arial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sz val="6"/>
      <name val="Arial"/>
      <family val="2"/>
    </font>
    <font>
      <sz val="8"/>
      <name val="Calibri"/>
      <family val="2"/>
      <charset val="1"/>
    </font>
    <font>
      <sz val="6"/>
      <color rgb="FFFF0000"/>
      <name val="Arial"/>
      <family val="2"/>
      <scheme val="minor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u/>
      <sz val="6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Lucida Console"/>
      <family val="3"/>
    </font>
    <font>
      <b/>
      <sz val="11"/>
      <color rgb="FF000000"/>
      <name val="Calibri"/>
      <family val="2"/>
    </font>
    <font>
      <sz val="6"/>
      <color rgb="FF000000"/>
      <name val="Microsoft Sans Serif"/>
      <family val="2"/>
    </font>
    <font>
      <b/>
      <sz val="5"/>
      <color rgb="FF000000"/>
      <name val="Arial"/>
      <family val="2"/>
    </font>
    <font>
      <sz val="8"/>
      <color rgb="FFA9A9A9"/>
      <name val="Arial"/>
      <family val="2"/>
    </font>
    <font>
      <sz val="5"/>
      <color rgb="FF000000"/>
      <name val="Arial"/>
      <family val="2"/>
    </font>
    <font>
      <sz val="8"/>
      <color rgb="FF000000"/>
      <name val="Lucida Console"/>
      <family val="3"/>
    </font>
    <font>
      <sz val="8"/>
      <color rgb="FFFFFFFF"/>
      <name val="Arial"/>
      <family val="2"/>
    </font>
    <font>
      <sz val="8"/>
      <color rgb="FF000000"/>
      <name val="Arial"/>
    </font>
    <font>
      <sz val="7"/>
      <color rgb="FF000000"/>
      <name val="Arial"/>
      <charset val="1"/>
    </font>
    <font>
      <b/>
      <sz val="8"/>
      <color rgb="FF000000"/>
      <name val="Arial"/>
    </font>
    <font>
      <b/>
      <u/>
      <sz val="6"/>
      <color rgb="FF000000"/>
      <name val="Arial"/>
    </font>
    <font>
      <b/>
      <sz val="6"/>
      <color rgb="FF000000"/>
      <name val="Arial"/>
      <charset val="1"/>
    </font>
    <font>
      <sz val="6"/>
      <color rgb="FF000000"/>
      <name val="Arial"/>
      <charset val="1"/>
    </font>
    <font>
      <sz val="8"/>
      <color rgb="FF000000"/>
      <name val="Arial"/>
      <charset val="1"/>
    </font>
    <font>
      <sz val="6"/>
      <color rgb="FF000000"/>
      <name val="Arial"/>
    </font>
    <font>
      <sz val="6"/>
      <color rgb="FF000000"/>
      <name val="Lucida Console"/>
      <charset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D3D3D3"/>
      </patternFill>
    </fill>
    <fill>
      <patternFill patternType="solid">
        <fgColor rgb="FFDCE6F2"/>
        <bgColor rgb="FFE3E3E3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D3D3D3"/>
        <bgColor indexed="64"/>
      </patternFill>
    </fill>
  </fills>
  <borders count="4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166" fontId="39" fillId="0" borderId="0" applyBorder="0" applyProtection="0"/>
    <xf numFmtId="9" fontId="39" fillId="0" borderId="0" applyBorder="0" applyProtection="0"/>
    <xf numFmtId="171" fontId="39" fillId="0" borderId="0" applyBorder="0" applyProtection="0"/>
    <xf numFmtId="165" fontId="39" fillId="0" borderId="0" applyFont="0" applyFill="0" applyBorder="0" applyAlignment="0" applyProtection="0"/>
  </cellStyleXfs>
  <cellXfs count="1051">
    <xf numFmtId="0" fontId="0" fillId="0" borderId="0" xfId="0"/>
    <xf numFmtId="0" fontId="0" fillId="0" borderId="0" xfId="0" applyAlignment="1" applyProtection="1"/>
    <xf numFmtId="0" fontId="0" fillId="0" borderId="0" xfId="0" applyBorder="1" applyAlignment="1" applyProtection="1"/>
    <xf numFmtId="166" fontId="0" fillId="0" borderId="0" xfId="1" applyFont="1" applyBorder="1" applyAlignment="1" applyProtection="1"/>
    <xf numFmtId="166" fontId="2" fillId="0" borderId="0" xfId="1" applyFont="1" applyBorder="1" applyAlignment="1" applyProtection="1"/>
    <xf numFmtId="0" fontId="4" fillId="0" borderId="9" xfId="0" applyFont="1" applyBorder="1" applyAlignment="1" applyProtection="1"/>
    <xf numFmtId="166" fontId="4" fillId="0" borderId="0" xfId="1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Alignment="1" applyProtection="1"/>
    <xf numFmtId="0" fontId="2" fillId="0" borderId="0" xfId="0" applyFont="1" applyBorder="1" applyAlignment="1" applyProtection="1"/>
    <xf numFmtId="0" fontId="2" fillId="0" borderId="0" xfId="0" applyFont="1" applyAlignment="1" applyProtection="1"/>
    <xf numFmtId="0" fontId="6" fillId="0" borderId="0" xfId="0" applyFont="1" applyBorder="1" applyAlignment="1" applyProtection="1">
      <alignment horizontal="left"/>
    </xf>
    <xf numFmtId="167" fontId="4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0" fillId="0" borderId="16" xfId="0" applyBorder="1" applyAlignme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>
      <protection hidden="1"/>
    </xf>
    <xf numFmtId="0" fontId="3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3" fillId="3" borderId="18" xfId="0" applyFont="1" applyFill="1" applyBorder="1" applyAlignment="1" applyProtection="1">
      <alignment horizontal="center"/>
    </xf>
    <xf numFmtId="0" fontId="9" fillId="3" borderId="18" xfId="0" applyFont="1" applyFill="1" applyBorder="1" applyAlignment="1" applyProtection="1">
      <alignment horizontal="center"/>
    </xf>
    <xf numFmtId="0" fontId="9" fillId="0" borderId="0" xfId="0" applyFont="1" applyAlignment="1" applyProtection="1"/>
    <xf numFmtId="0" fontId="2" fillId="0" borderId="19" xfId="0" applyFont="1" applyBorder="1" applyAlignment="1" applyProtection="1"/>
    <xf numFmtId="0" fontId="0" fillId="0" borderId="17" xfId="0" applyBorder="1" applyAlignment="1" applyProtection="1"/>
    <xf numFmtId="167" fontId="2" fillId="0" borderId="20" xfId="0" applyNumberFormat="1" applyFont="1" applyBorder="1" applyAlignment="1" applyProtection="1">
      <alignment horizontal="right"/>
    </xf>
    <xf numFmtId="0" fontId="2" fillId="0" borderId="21" xfId="0" applyFont="1" applyBorder="1" applyAlignment="1" applyProtection="1"/>
    <xf numFmtId="0" fontId="2" fillId="0" borderId="22" xfId="0" applyFont="1" applyBorder="1" applyAlignment="1" applyProtection="1"/>
    <xf numFmtId="0" fontId="0" fillId="0" borderId="22" xfId="0" applyBorder="1" applyAlignment="1" applyProtection="1"/>
    <xf numFmtId="0" fontId="2" fillId="0" borderId="23" xfId="0" applyFont="1" applyBorder="1" applyAlignment="1" applyProtection="1"/>
    <xf numFmtId="0" fontId="2" fillId="0" borderId="16" xfId="0" applyFont="1" applyBorder="1" applyAlignment="1" applyProtection="1"/>
    <xf numFmtId="0" fontId="3" fillId="3" borderId="20" xfId="0" applyFont="1" applyFill="1" applyBorder="1" applyAlignment="1" applyProtection="1">
      <alignment horizontal="center"/>
    </xf>
    <xf numFmtId="0" fontId="9" fillId="3" borderId="20" xfId="0" applyFont="1" applyFill="1" applyBorder="1" applyAlignment="1" applyProtection="1">
      <alignment horizontal="center"/>
    </xf>
    <xf numFmtId="0" fontId="3" fillId="3" borderId="20" xfId="0" applyFont="1" applyFill="1" applyBorder="1" applyAlignment="1" applyProtection="1">
      <alignment horizontal="center" wrapText="1"/>
    </xf>
    <xf numFmtId="0" fontId="2" fillId="0" borderId="20" xfId="0" applyFont="1" applyBorder="1" applyAlignment="1" applyProtection="1"/>
    <xf numFmtId="0" fontId="0" fillId="0" borderId="20" xfId="0" applyBorder="1" applyAlignment="1" applyProtection="1"/>
    <xf numFmtId="166" fontId="0" fillId="0" borderId="20" xfId="1" applyFont="1" applyBorder="1" applyAlignment="1" applyProtection="1"/>
    <xf numFmtId="10" fontId="0" fillId="0" borderId="20" xfId="2" applyNumberFormat="1" applyFont="1" applyBorder="1" applyAlignment="1" applyProtection="1">
      <alignment horizontal="center"/>
    </xf>
    <xf numFmtId="2" fontId="0" fillId="0" borderId="20" xfId="0" applyNumberFormat="1" applyBorder="1" applyAlignment="1" applyProtection="1">
      <alignment horizontal="center"/>
    </xf>
    <xf numFmtId="0" fontId="3" fillId="3" borderId="20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166" fontId="3" fillId="3" borderId="20" xfId="1" applyFont="1" applyFill="1" applyBorder="1" applyAlignment="1" applyProtection="1">
      <alignment horizontal="center" wrapText="1"/>
    </xf>
    <xf numFmtId="166" fontId="3" fillId="3" borderId="20" xfId="1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/>
    <xf numFmtId="0" fontId="0" fillId="3" borderId="20" xfId="0" applyFill="1" applyBorder="1" applyAlignment="1" applyProtection="1"/>
    <xf numFmtId="0" fontId="0" fillId="3" borderId="20" xfId="0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center"/>
    </xf>
    <xf numFmtId="0" fontId="3" fillId="0" borderId="20" xfId="0" applyFont="1" applyBorder="1" applyAlignment="1" applyProtection="1"/>
    <xf numFmtId="10" fontId="0" fillId="0" borderId="20" xfId="1" applyNumberFormat="1" applyFont="1" applyBorder="1" applyAlignment="1" applyProtection="1"/>
    <xf numFmtId="166" fontId="0" fillId="0" borderId="20" xfId="1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16" fillId="0" borderId="0" xfId="0" applyFont="1" applyAlignment="1" applyProtection="1">
      <alignment horizontal="left"/>
    </xf>
    <xf numFmtId="0" fontId="17" fillId="0" borderId="0" xfId="0" applyFont="1" applyAlignment="1" applyProtection="1"/>
    <xf numFmtId="0" fontId="2" fillId="0" borderId="17" xfId="0" applyFont="1" applyBorder="1" applyAlignment="1" applyProtection="1"/>
    <xf numFmtId="0" fontId="2" fillId="0" borderId="18" xfId="0" applyFont="1" applyBorder="1" applyAlignment="1" applyProtection="1"/>
    <xf numFmtId="0" fontId="2" fillId="0" borderId="24" xfId="0" applyFont="1" applyBorder="1" applyAlignment="1" applyProtection="1"/>
    <xf numFmtId="166" fontId="2" fillId="0" borderId="25" xfId="1" applyFont="1" applyBorder="1" applyAlignment="1" applyProtection="1"/>
    <xf numFmtId="166" fontId="2" fillId="0" borderId="28" xfId="1" applyFont="1" applyBorder="1" applyAlignment="1" applyProtection="1"/>
    <xf numFmtId="166" fontId="2" fillId="0" borderId="26" xfId="1" applyFont="1" applyBorder="1" applyAlignment="1" applyProtection="1"/>
    <xf numFmtId="166" fontId="2" fillId="0" borderId="16" xfId="1" applyFont="1" applyBorder="1" applyAlignment="1" applyProtection="1"/>
    <xf numFmtId="166" fontId="2" fillId="0" borderId="29" xfId="1" applyFont="1" applyBorder="1" applyAlignment="1" applyProtection="1"/>
    <xf numFmtId="0" fontId="2" fillId="0" borderId="18" xfId="0" applyFont="1" applyBorder="1" applyAlignment="1" applyProtection="1">
      <alignment horizontal="center"/>
    </xf>
    <xf numFmtId="166" fontId="2" fillId="0" borderId="18" xfId="1" applyFont="1" applyBorder="1" applyAlignment="1" applyProtection="1"/>
    <xf numFmtId="166" fontId="2" fillId="0" borderId="17" xfId="1" applyFont="1" applyBorder="1" applyAlignment="1" applyProtection="1"/>
    <xf numFmtId="0" fontId="2" fillId="0" borderId="25" xfId="0" applyFont="1" applyBorder="1" applyAlignment="1" applyProtection="1"/>
    <xf numFmtId="166" fontId="2" fillId="0" borderId="20" xfId="1" applyFont="1" applyBorder="1" applyAlignment="1" applyProtection="1"/>
    <xf numFmtId="166" fontId="2" fillId="0" borderId="21" xfId="1" applyFont="1" applyBorder="1" applyAlignment="1" applyProtection="1"/>
    <xf numFmtId="166" fontId="2" fillId="0" borderId="22" xfId="1" applyFont="1" applyBorder="1" applyAlignment="1" applyProtection="1"/>
    <xf numFmtId="0" fontId="2" fillId="0" borderId="26" xfId="0" applyFont="1" applyBorder="1" applyAlignment="1" applyProtection="1"/>
    <xf numFmtId="0" fontId="2" fillId="0" borderId="21" xfId="0" applyFont="1" applyBorder="1" applyAlignment="1" applyProtection="1">
      <alignment horizontal="center"/>
    </xf>
    <xf numFmtId="166" fontId="2" fillId="0" borderId="0" xfId="0" applyNumberFormat="1" applyFont="1" applyAlignment="1" applyProtection="1"/>
    <xf numFmtId="166" fontId="5" fillId="0" borderId="0" xfId="1" applyFont="1" applyBorder="1" applyAlignment="1" applyProtection="1"/>
    <xf numFmtId="4" fontId="2" fillId="0" borderId="0" xfId="0" applyNumberFormat="1" applyFont="1" applyAlignment="1" applyProtection="1"/>
    <xf numFmtId="166" fontId="3" fillId="0" borderId="20" xfId="1" applyFont="1" applyBorder="1" applyAlignment="1" applyProtection="1"/>
    <xf numFmtId="166" fontId="2" fillId="0" borderId="30" xfId="1" applyFont="1" applyBorder="1" applyAlignment="1" applyProtection="1"/>
    <xf numFmtId="166" fontId="2" fillId="0" borderId="20" xfId="1" applyFont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0" fontId="2" fillId="0" borderId="20" xfId="0" applyFont="1" applyBorder="1" applyAlignment="1" applyProtection="1">
      <alignment horizontal="center"/>
    </xf>
    <xf numFmtId="0" fontId="0" fillId="0" borderId="19" xfId="0" applyFont="1" applyBorder="1" applyAlignment="1" applyProtection="1">
      <alignment horizontal="center"/>
    </xf>
    <xf numFmtId="0" fontId="0" fillId="0" borderId="25" xfId="0" applyFont="1" applyBorder="1" applyAlignment="1" applyProtection="1"/>
    <xf numFmtId="0" fontId="16" fillId="0" borderId="23" xfId="0" applyFont="1" applyBorder="1" applyAlignment="1" applyProtection="1">
      <alignment horizontal="center"/>
    </xf>
    <xf numFmtId="0" fontId="16" fillId="0" borderId="26" xfId="0" applyFont="1" applyBorder="1" applyAlignment="1" applyProtection="1">
      <alignment horizontal="center"/>
    </xf>
    <xf numFmtId="0" fontId="16" fillId="0" borderId="16" xfId="0" applyFont="1" applyBorder="1" applyAlignment="1" applyProtection="1">
      <alignment horizontal="center"/>
    </xf>
    <xf numFmtId="0" fontId="9" fillId="0" borderId="31" xfId="0" applyFont="1" applyBorder="1" applyAlignment="1" applyProtection="1"/>
    <xf numFmtId="170" fontId="2" fillId="0" borderId="32" xfId="1" applyNumberFormat="1" applyFont="1" applyBorder="1" applyAlignment="1" applyProtection="1"/>
    <xf numFmtId="170" fontId="3" fillId="0" borderId="33" xfId="1" applyNumberFormat="1" applyFont="1" applyBorder="1" applyAlignment="1" applyProtection="1"/>
    <xf numFmtId="171" fontId="13" fillId="0" borderId="20" xfId="1" applyNumberFormat="1" applyFont="1" applyBorder="1" applyAlignment="1" applyProtection="1"/>
    <xf numFmtId="0" fontId="0" fillId="0" borderId="26" xfId="0" applyFont="1" applyBorder="1" applyAlignment="1" applyProtection="1"/>
    <xf numFmtId="170" fontId="0" fillId="0" borderId="29" xfId="1" applyNumberFormat="1" applyFont="1" applyBorder="1" applyAlignment="1" applyProtection="1"/>
    <xf numFmtId="170" fontId="2" fillId="0" borderId="26" xfId="1" applyNumberFormat="1" applyFont="1" applyBorder="1" applyAlignment="1" applyProtection="1"/>
    <xf numFmtId="171" fontId="14" fillId="0" borderId="20" xfId="1" applyNumberFormat="1" applyFont="1" applyBorder="1" applyAlignment="1" applyProtection="1"/>
    <xf numFmtId="0" fontId="0" fillId="0" borderId="18" xfId="0" applyFont="1" applyBorder="1" applyAlignment="1" applyProtection="1"/>
    <xf numFmtId="170" fontId="0" fillId="0" borderId="27" xfId="1" applyNumberFormat="1" applyFont="1" applyBorder="1" applyAlignment="1" applyProtection="1"/>
    <xf numFmtId="170" fontId="2" fillId="0" borderId="18" xfId="1" applyNumberFormat="1" applyFont="1" applyBorder="1" applyAlignment="1" applyProtection="1"/>
    <xf numFmtId="170" fontId="9" fillId="0" borderId="32" xfId="1" applyNumberFormat="1" applyFont="1" applyBorder="1" applyAlignment="1" applyProtection="1"/>
    <xf numFmtId="170" fontId="9" fillId="0" borderId="29" xfId="1" applyNumberFormat="1" applyFont="1" applyBorder="1" applyAlignment="1" applyProtection="1"/>
    <xf numFmtId="170" fontId="3" fillId="0" borderId="29" xfId="1" applyNumberFormat="1" applyFont="1" applyBorder="1" applyAlignment="1" applyProtection="1"/>
    <xf numFmtId="0" fontId="4" fillId="0" borderId="20" xfId="0" applyFont="1" applyBorder="1" applyAlignment="1" applyProtection="1"/>
    <xf numFmtId="170" fontId="2" fillId="0" borderId="30" xfId="1" applyNumberFormat="1" applyFont="1" applyBorder="1" applyAlignment="1" applyProtection="1">
      <alignment horizontal="center"/>
    </xf>
    <xf numFmtId="170" fontId="2" fillId="0" borderId="20" xfId="1" applyNumberFormat="1" applyFont="1" applyBorder="1" applyAlignment="1" applyProtection="1"/>
    <xf numFmtId="171" fontId="14" fillId="0" borderId="18" xfId="1" applyNumberFormat="1" applyFont="1" applyBorder="1" applyAlignment="1" applyProtection="1"/>
    <xf numFmtId="171" fontId="10" fillId="0" borderId="20" xfId="1" applyNumberFormat="1" applyFont="1" applyBorder="1" applyAlignment="1" applyProtection="1"/>
    <xf numFmtId="170" fontId="2" fillId="0" borderId="30" xfId="1" applyNumberFormat="1" applyFont="1" applyBorder="1" applyAlignment="1" applyProtection="1"/>
    <xf numFmtId="171" fontId="3" fillId="0" borderId="20" xfId="0" applyNumberFormat="1" applyFont="1" applyBorder="1" applyAlignment="1" applyProtection="1"/>
    <xf numFmtId="171" fontId="20" fillId="0" borderId="20" xfId="1" applyNumberFormat="1" applyFont="1" applyBorder="1" applyAlignment="1" applyProtection="1"/>
    <xf numFmtId="170" fontId="9" fillId="0" borderId="30" xfId="1" applyNumberFormat="1" applyFont="1" applyBorder="1" applyAlignment="1" applyProtection="1"/>
    <xf numFmtId="170" fontId="3" fillId="0" borderId="20" xfId="1" applyNumberFormat="1" applyFont="1" applyBorder="1" applyAlignment="1" applyProtection="1"/>
    <xf numFmtId="4" fontId="10" fillId="0" borderId="20" xfId="1" applyNumberFormat="1" applyFont="1" applyBorder="1" applyAlignment="1" applyProtection="1"/>
    <xf numFmtId="171" fontId="2" fillId="0" borderId="0" xfId="0" applyNumberFormat="1" applyFont="1" applyAlignment="1" applyProtection="1"/>
    <xf numFmtId="4" fontId="2" fillId="0" borderId="20" xfId="0" applyNumberFormat="1" applyFont="1" applyBorder="1" applyAlignment="1" applyProtection="1"/>
    <xf numFmtId="170" fontId="3" fillId="0" borderId="30" xfId="1" applyNumberFormat="1" applyFont="1" applyBorder="1" applyAlignment="1" applyProtection="1"/>
    <xf numFmtId="4" fontId="2" fillId="0" borderId="26" xfId="0" applyNumberFormat="1" applyFont="1" applyBorder="1" applyAlignment="1" applyProtection="1"/>
    <xf numFmtId="0" fontId="9" fillId="0" borderId="11" xfId="0" applyFont="1" applyBorder="1" applyAlignment="1" applyProtection="1"/>
    <xf numFmtId="170" fontId="4" fillId="0" borderId="3" xfId="1" applyNumberFormat="1" applyFont="1" applyBorder="1" applyAlignment="1" applyProtection="1"/>
    <xf numFmtId="170" fontId="3" fillId="0" borderId="32" xfId="1" applyNumberFormat="1" applyFont="1" applyBorder="1" applyAlignment="1" applyProtection="1"/>
    <xf numFmtId="170" fontId="2" fillId="0" borderId="25" xfId="1" applyNumberFormat="1" applyFont="1" applyBorder="1" applyAlignment="1" applyProtection="1"/>
    <xf numFmtId="170" fontId="0" fillId="0" borderId="28" xfId="1" applyNumberFormat="1" applyFont="1" applyBorder="1" applyAlignment="1" applyProtection="1"/>
    <xf numFmtId="170" fontId="9" fillId="0" borderId="3" xfId="1" applyNumberFormat="1" applyFont="1" applyBorder="1" applyAlignment="1" applyProtection="1"/>
    <xf numFmtId="170" fontId="2" fillId="0" borderId="28" xfId="1" applyNumberFormat="1" applyFont="1" applyBorder="1" applyAlignment="1" applyProtection="1"/>
    <xf numFmtId="171" fontId="21" fillId="0" borderId="20" xfId="1" applyNumberFormat="1" applyFont="1" applyBorder="1" applyAlignment="1" applyProtection="1"/>
    <xf numFmtId="170" fontId="0" fillId="0" borderId="3" xfId="1" applyNumberFormat="1" applyFont="1" applyBorder="1" applyAlignment="1" applyProtection="1"/>
    <xf numFmtId="4" fontId="4" fillId="0" borderId="0" xfId="0" applyNumberFormat="1" applyFont="1" applyAlignment="1" applyProtection="1"/>
    <xf numFmtId="166" fontId="4" fillId="0" borderId="0" xfId="0" applyNumberFormat="1" applyFont="1" applyAlignment="1" applyProtection="1"/>
    <xf numFmtId="0" fontId="22" fillId="0" borderId="0" xfId="0" applyFont="1" applyAlignment="1" applyProtection="1"/>
    <xf numFmtId="166" fontId="22" fillId="0" borderId="0" xfId="0" applyNumberFormat="1" applyFont="1" applyAlignment="1" applyProtection="1"/>
    <xf numFmtId="170" fontId="2" fillId="0" borderId="0" xfId="1" applyNumberFormat="1" applyFont="1" applyBorder="1" applyAlignment="1" applyProtection="1"/>
    <xf numFmtId="17" fontId="16" fillId="0" borderId="18" xfId="0" applyNumberFormat="1" applyFont="1" applyBorder="1" applyAlignment="1" applyProtection="1">
      <alignment horizontal="center"/>
    </xf>
    <xf numFmtId="17" fontId="16" fillId="0" borderId="17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2" fillId="0" borderId="3" xfId="0" applyFont="1" applyBorder="1" applyAlignment="1" applyProtection="1"/>
    <xf numFmtId="171" fontId="15" fillId="0" borderId="20" xfId="1" applyNumberFormat="1" applyFont="1" applyBorder="1" applyAlignment="1" applyProtection="1"/>
    <xf numFmtId="171" fontId="16" fillId="0" borderId="20" xfId="1" applyNumberFormat="1" applyFont="1" applyBorder="1" applyAlignment="1" applyProtection="1"/>
    <xf numFmtId="171" fontId="4" fillId="0" borderId="0" xfId="0" applyNumberFormat="1" applyFont="1" applyAlignment="1" applyProtection="1"/>
    <xf numFmtId="166" fontId="4" fillId="0" borderId="20" xfId="1" applyFont="1" applyBorder="1" applyAlignment="1" applyProtection="1"/>
    <xf numFmtId="170" fontId="3" fillId="0" borderId="31" xfId="1" applyNumberFormat="1" applyFont="1" applyBorder="1" applyAlignment="1" applyProtection="1"/>
    <xf numFmtId="166" fontId="4" fillId="0" borderId="20" xfId="0" applyNumberFormat="1" applyFont="1" applyBorder="1" applyAlignment="1" applyProtection="1"/>
    <xf numFmtId="166" fontId="9" fillId="0" borderId="34" xfId="0" applyNumberFormat="1" applyFont="1" applyBorder="1" applyAlignment="1" applyProtection="1"/>
    <xf numFmtId="170" fontId="2" fillId="0" borderId="31" xfId="1" applyNumberFormat="1" applyFont="1" applyBorder="1" applyAlignment="1" applyProtection="1"/>
    <xf numFmtId="170" fontId="2" fillId="0" borderId="33" xfId="1" applyNumberFormat="1" applyFont="1" applyBorder="1" applyAlignment="1" applyProtection="1"/>
    <xf numFmtId="166" fontId="4" fillId="0" borderId="26" xfId="1" applyFont="1" applyBorder="1" applyAlignment="1" applyProtection="1"/>
    <xf numFmtId="4" fontId="4" fillId="0" borderId="20" xfId="0" applyNumberFormat="1" applyFont="1" applyBorder="1" applyAlignment="1" applyProtection="1"/>
    <xf numFmtId="0" fontId="9" fillId="0" borderId="33" xfId="0" applyFont="1" applyBorder="1" applyAlignment="1" applyProtection="1"/>
    <xf numFmtId="166" fontId="2" fillId="0" borderId="20" xfId="0" applyNumberFormat="1" applyFont="1" applyBorder="1" applyAlignment="1" applyProtection="1"/>
    <xf numFmtId="0" fontId="9" fillId="0" borderId="33" xfId="0" applyFont="1" applyBorder="1" applyAlignment="1" applyProtection="1">
      <alignment horizontal="center"/>
    </xf>
    <xf numFmtId="0" fontId="0" fillId="0" borderId="28" xfId="0" applyFont="1" applyBorder="1" applyAlignment="1" applyProtection="1"/>
    <xf numFmtId="4" fontId="23" fillId="0" borderId="0" xfId="0" applyNumberFormat="1" applyFont="1" applyAlignment="1" applyProtection="1"/>
    <xf numFmtId="0" fontId="5" fillId="0" borderId="0" xfId="0" applyFont="1" applyAlignment="1" applyProtection="1"/>
    <xf numFmtId="0" fontId="8" fillId="0" borderId="0" xfId="0" applyFont="1" applyAlignment="1" applyProtection="1"/>
    <xf numFmtId="0" fontId="16" fillId="0" borderId="0" xfId="0" applyFont="1" applyAlignment="1" applyProtection="1"/>
    <xf numFmtId="0" fontId="24" fillId="0" borderId="0" xfId="0" applyFont="1" applyAlignment="1" applyProtection="1">
      <alignment horizontal="center"/>
    </xf>
    <xf numFmtId="0" fontId="25" fillId="0" borderId="0" xfId="0" applyFont="1" applyAlignment="1" applyProtection="1"/>
    <xf numFmtId="171" fontId="16" fillId="0" borderId="0" xfId="1" applyNumberFormat="1" applyFont="1" applyBorder="1" applyAlignment="1" applyProtection="1"/>
    <xf numFmtId="0" fontId="16" fillId="0" borderId="4" xfId="0" applyFont="1" applyBorder="1" applyAlignment="1" applyProtection="1"/>
    <xf numFmtId="0" fontId="16" fillId="0" borderId="1" xfId="0" applyFont="1" applyBorder="1" applyAlignment="1" applyProtection="1"/>
    <xf numFmtId="17" fontId="16" fillId="0" borderId="2" xfId="0" applyNumberFormat="1" applyFont="1" applyBorder="1" applyAlignment="1" applyProtection="1">
      <alignment horizontal="center"/>
    </xf>
    <xf numFmtId="0" fontId="15" fillId="0" borderId="12" xfId="0" applyFont="1" applyBorder="1" applyAlignment="1" applyProtection="1"/>
    <xf numFmtId="0" fontId="16" fillId="0" borderId="15" xfId="0" applyFont="1" applyBorder="1" applyAlignment="1" applyProtection="1"/>
    <xf numFmtId="0" fontId="16" fillId="0" borderId="8" xfId="0" applyFont="1" applyBorder="1" applyAlignment="1" applyProtection="1">
      <alignment horizontal="center"/>
    </xf>
    <xf numFmtId="0" fontId="16" fillId="0" borderId="13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/>
    </xf>
    <xf numFmtId="171" fontId="16" fillId="0" borderId="0" xfId="0" applyNumberFormat="1" applyFont="1" applyAlignment="1" applyProtection="1"/>
    <xf numFmtId="166" fontId="16" fillId="0" borderId="0" xfId="1" applyFont="1" applyBorder="1" applyAlignment="1" applyProtection="1"/>
    <xf numFmtId="0" fontId="16" fillId="0" borderId="23" xfId="0" applyFont="1" applyBorder="1" applyAlignment="1" applyProtection="1"/>
    <xf numFmtId="171" fontId="16" fillId="0" borderId="26" xfId="0" applyNumberFormat="1" applyFont="1" applyBorder="1" applyAlignment="1" applyProtection="1"/>
    <xf numFmtId="171" fontId="16" fillId="0" borderId="26" xfId="1" applyNumberFormat="1" applyFont="1" applyBorder="1" applyAlignment="1" applyProtection="1"/>
    <xf numFmtId="10" fontId="16" fillId="0" borderId="0" xfId="2" applyNumberFormat="1" applyFont="1" applyBorder="1" applyAlignment="1" applyProtection="1"/>
    <xf numFmtId="0" fontId="16" fillId="0" borderId="21" xfId="0" applyFont="1" applyBorder="1" applyAlignment="1" applyProtection="1"/>
    <xf numFmtId="171" fontId="16" fillId="0" borderId="20" xfId="0" applyNumberFormat="1" applyFont="1" applyBorder="1" applyAlignment="1" applyProtection="1"/>
    <xf numFmtId="166" fontId="16" fillId="0" borderId="20" xfId="1" applyFont="1" applyBorder="1" applyAlignment="1" applyProtection="1"/>
    <xf numFmtId="0" fontId="15" fillId="0" borderId="21" xfId="0" applyFont="1" applyBorder="1" applyAlignment="1" applyProtection="1"/>
    <xf numFmtId="10" fontId="15" fillId="0" borderId="20" xfId="0" applyNumberFormat="1" applyFont="1" applyBorder="1" applyAlignment="1" applyProtection="1">
      <alignment horizontal="center"/>
    </xf>
    <xf numFmtId="10" fontId="16" fillId="0" borderId="20" xfId="0" applyNumberFormat="1" applyFont="1" applyBorder="1" applyAlignment="1" applyProtection="1">
      <alignment horizontal="center"/>
    </xf>
    <xf numFmtId="4" fontId="16" fillId="0" borderId="0" xfId="0" applyNumberFormat="1" applyFont="1" applyAlignment="1" applyProtection="1"/>
    <xf numFmtId="0" fontId="15" fillId="0" borderId="0" xfId="0" applyFont="1" applyAlignment="1" applyProtection="1">
      <alignment horizontal="right"/>
    </xf>
    <xf numFmtId="10" fontId="16" fillId="0" borderId="0" xfId="0" applyNumberFormat="1" applyFont="1" applyBorder="1" applyAlignment="1" applyProtection="1">
      <alignment horizontal="center"/>
    </xf>
    <xf numFmtId="10" fontId="16" fillId="0" borderId="0" xfId="0" applyNumberFormat="1" applyFont="1" applyBorder="1" applyAlignment="1" applyProtection="1"/>
    <xf numFmtId="0" fontId="15" fillId="0" borderId="0" xfId="0" applyFont="1" applyAlignment="1" applyProtection="1"/>
    <xf numFmtId="0" fontId="26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right"/>
    </xf>
    <xf numFmtId="0" fontId="4" fillId="0" borderId="22" xfId="0" applyFont="1" applyBorder="1" applyAlignment="1" applyProtection="1"/>
    <xf numFmtId="0" fontId="4" fillId="0" borderId="22" xfId="0" applyFont="1" applyBorder="1" applyAlignment="1" applyProtection="1">
      <alignment horizontal="center"/>
    </xf>
    <xf numFmtId="0" fontId="4" fillId="0" borderId="25" xfId="0" applyFont="1" applyBorder="1" applyAlignment="1" applyProtection="1"/>
    <xf numFmtId="0" fontId="4" fillId="0" borderId="20" xfId="0" applyFont="1" applyBorder="1" applyAlignment="1" applyProtection="1">
      <alignment horizontal="center"/>
    </xf>
    <xf numFmtId="0" fontId="4" fillId="0" borderId="21" xfId="0" applyFont="1" applyBorder="1" applyAlignment="1" applyProtection="1"/>
    <xf numFmtId="0" fontId="4" fillId="0" borderId="23" xfId="0" applyFont="1" applyBorder="1" applyAlignment="1" applyProtection="1"/>
    <xf numFmtId="0" fontId="4" fillId="0" borderId="16" xfId="0" applyFont="1" applyBorder="1" applyAlignment="1" applyProtection="1"/>
    <xf numFmtId="0" fontId="16" fillId="0" borderId="20" xfId="0" applyFont="1" applyBorder="1" applyAlignment="1" applyProtection="1"/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5" fillId="0" borderId="20" xfId="0" applyFont="1" applyBorder="1" applyAlignment="1" applyProtection="1"/>
    <xf numFmtId="166" fontId="16" fillId="0" borderId="0" xfId="1" applyFont="1" applyBorder="1" applyAlignment="1" applyProtection="1">
      <alignment horizontal="center"/>
    </xf>
    <xf numFmtId="166" fontId="16" fillId="0" borderId="0" xfId="0" applyNumberFormat="1" applyFont="1" applyAlignment="1" applyProtection="1">
      <alignment horizontal="center"/>
    </xf>
    <xf numFmtId="171" fontId="16" fillId="0" borderId="0" xfId="0" applyNumberFormat="1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10" fontId="16" fillId="0" borderId="20" xfId="0" applyNumberFormat="1" applyFont="1" applyBorder="1" applyAlignment="1" applyProtection="1"/>
    <xf numFmtId="171" fontId="16" fillId="0" borderId="20" xfId="3" applyFont="1" applyBorder="1" applyAlignment="1" applyProtection="1"/>
    <xf numFmtId="171" fontId="16" fillId="0" borderId="20" xfId="1" applyNumberFormat="1" applyFont="1" applyBorder="1" applyAlignment="1" applyProtection="1">
      <protection hidden="1"/>
    </xf>
    <xf numFmtId="171" fontId="15" fillId="0" borderId="0" xfId="1" applyNumberFormat="1" applyFont="1" applyBorder="1" applyAlignment="1" applyProtection="1"/>
    <xf numFmtId="166" fontId="16" fillId="0" borderId="0" xfId="0" applyNumberFormat="1" applyFont="1" applyAlignment="1" applyProtection="1"/>
    <xf numFmtId="0" fontId="16" fillId="0" borderId="30" xfId="0" applyFont="1" applyBorder="1" applyAlignment="1" applyProtection="1">
      <alignment horizontal="center"/>
    </xf>
    <xf numFmtId="0" fontId="15" fillId="0" borderId="21" xfId="0" applyFont="1" applyBorder="1" applyAlignment="1" applyProtection="1">
      <alignment horizontal="left"/>
    </xf>
    <xf numFmtId="0" fontId="15" fillId="0" borderId="30" xfId="0" applyFont="1" applyBorder="1" applyAlignment="1" applyProtection="1"/>
    <xf numFmtId="171" fontId="16" fillId="0" borderId="21" xfId="0" applyNumberFormat="1" applyFont="1" applyBorder="1" applyAlignment="1" applyProtection="1">
      <alignment horizontal="center"/>
    </xf>
    <xf numFmtId="171" fontId="16" fillId="0" borderId="22" xfId="0" applyNumberFormat="1" applyFont="1" applyBorder="1" applyAlignment="1" applyProtection="1">
      <alignment horizontal="center"/>
    </xf>
    <xf numFmtId="171" fontId="16" fillId="0" borderId="20" xfId="1" applyNumberFormat="1" applyFont="1" applyBorder="1" applyAlignment="1" applyProtection="1">
      <alignment horizontal="center"/>
    </xf>
    <xf numFmtId="171" fontId="15" fillId="0" borderId="20" xfId="1" applyNumberFormat="1" applyFont="1" applyBorder="1" applyAlignment="1" applyProtection="1">
      <alignment horizontal="center"/>
    </xf>
    <xf numFmtId="4" fontId="16" fillId="0" borderId="20" xfId="0" applyNumberFormat="1" applyFont="1" applyBorder="1" applyAlignment="1" applyProtection="1">
      <alignment horizontal="center"/>
    </xf>
    <xf numFmtId="2" fontId="16" fillId="0" borderId="20" xfId="0" applyNumberFormat="1" applyFont="1" applyBorder="1" applyAlignment="1" applyProtection="1"/>
    <xf numFmtId="0" fontId="16" fillId="0" borderId="22" xfId="0" applyFont="1" applyBorder="1" applyAlignment="1" applyProtection="1">
      <alignment horizontal="center"/>
    </xf>
    <xf numFmtId="0" fontId="15" fillId="0" borderId="26" xfId="0" applyFont="1" applyBorder="1" applyAlignment="1" applyProtection="1"/>
    <xf numFmtId="0" fontId="16" fillId="0" borderId="24" xfId="0" applyFont="1" applyBorder="1" applyAlignment="1" applyProtection="1">
      <alignment horizontal="left"/>
    </xf>
    <xf numFmtId="0" fontId="16" fillId="0" borderId="28" xfId="0" applyFont="1" applyBorder="1" applyAlignment="1" applyProtection="1"/>
    <xf numFmtId="171" fontId="16" fillId="0" borderId="30" xfId="1" applyNumberFormat="1" applyFont="1" applyBorder="1" applyAlignment="1" applyProtection="1"/>
    <xf numFmtId="0" fontId="16" fillId="0" borderId="21" xfId="0" applyFont="1" applyBorder="1" applyAlignment="1" applyProtection="1">
      <alignment horizontal="left"/>
    </xf>
    <xf numFmtId="0" fontId="16" fillId="0" borderId="30" xfId="0" applyFont="1" applyBorder="1" applyAlignment="1" applyProtection="1"/>
    <xf numFmtId="0" fontId="15" fillId="0" borderId="18" xfId="0" applyFont="1" applyBorder="1" applyAlignment="1" applyProtection="1"/>
    <xf numFmtId="0" fontId="15" fillId="0" borderId="22" xfId="0" applyFont="1" applyBorder="1" applyAlignment="1" applyProtection="1">
      <alignment horizontal="left"/>
    </xf>
    <xf numFmtId="0" fontId="16" fillId="0" borderId="22" xfId="0" applyFont="1" applyBorder="1" applyAlignment="1" applyProtection="1"/>
    <xf numFmtId="0" fontId="16" fillId="0" borderId="20" xfId="0" applyFont="1" applyBorder="1" applyAlignment="1" applyProtection="1">
      <alignment horizontal="left"/>
    </xf>
    <xf numFmtId="0" fontId="16" fillId="0" borderId="0" xfId="0" applyFont="1" applyAlignment="1" applyProtection="1">
      <alignment horizontal="right"/>
    </xf>
    <xf numFmtId="171" fontId="16" fillId="0" borderId="0" xfId="1" applyNumberFormat="1" applyFont="1" applyBorder="1" applyAlignment="1" applyProtection="1">
      <alignment horizontal="right"/>
    </xf>
    <xf numFmtId="0" fontId="15" fillId="0" borderId="22" xfId="0" applyFont="1" applyBorder="1" applyAlignment="1" applyProtection="1">
      <alignment horizontal="center"/>
    </xf>
    <xf numFmtId="171" fontId="15" fillId="0" borderId="22" xfId="1" applyNumberFormat="1" applyFont="1" applyBorder="1" applyAlignment="1" applyProtection="1"/>
    <xf numFmtId="0" fontId="28" fillId="0" borderId="0" xfId="0" applyFont="1" applyAlignment="1" applyProtection="1">
      <alignment horizontal="center"/>
    </xf>
    <xf numFmtId="0" fontId="16" fillId="0" borderId="0" xfId="0" applyFont="1" applyAlignment="1" applyProtection="1">
      <protection hidden="1"/>
    </xf>
    <xf numFmtId="0" fontId="28" fillId="0" borderId="0" xfId="0" applyFont="1" applyAlignment="1" applyProtection="1"/>
    <xf numFmtId="0" fontId="28" fillId="0" borderId="0" xfId="0" applyFont="1" applyAlignment="1" applyProtection="1">
      <alignment horizontal="center"/>
      <protection hidden="1"/>
    </xf>
    <xf numFmtId="166" fontId="16" fillId="0" borderId="0" xfId="0" applyNumberFormat="1" applyFont="1" applyAlignment="1" applyProtection="1">
      <alignment horizontal="left"/>
    </xf>
    <xf numFmtId="166" fontId="16" fillId="0" borderId="0" xfId="0" applyNumberFormat="1" applyFont="1" applyAlignment="1" applyProtection="1">
      <protection hidden="1"/>
    </xf>
    <xf numFmtId="4" fontId="16" fillId="0" borderId="20" xfId="0" applyNumberFormat="1" applyFont="1" applyBorder="1" applyAlignment="1" applyProtection="1"/>
    <xf numFmtId="171" fontId="16" fillId="0" borderId="0" xfId="1" applyNumberFormat="1" applyFont="1" applyBorder="1" applyAlignment="1" applyProtection="1">
      <alignment horizontal="center"/>
    </xf>
    <xf numFmtId="171" fontId="15" fillId="0" borderId="0" xfId="1" applyNumberFormat="1" applyFont="1" applyBorder="1" applyAlignment="1" applyProtection="1">
      <alignment horizontal="center"/>
    </xf>
    <xf numFmtId="166" fontId="14" fillId="0" borderId="20" xfId="1" applyFont="1" applyBorder="1" applyAlignment="1" applyProtection="1"/>
    <xf numFmtId="166" fontId="16" fillId="0" borderId="20" xfId="0" applyNumberFormat="1" applyFont="1" applyBorder="1" applyAlignment="1" applyProtection="1"/>
    <xf numFmtId="4" fontId="15" fillId="0" borderId="20" xfId="0" applyNumberFormat="1" applyFont="1" applyBorder="1" applyAlignment="1" applyProtection="1"/>
    <xf numFmtId="166" fontId="15" fillId="0" borderId="20" xfId="1" applyFont="1" applyBorder="1" applyAlignment="1" applyProtection="1"/>
    <xf numFmtId="0" fontId="15" fillId="0" borderId="17" xfId="0" applyFont="1" applyBorder="1" applyAlignment="1" applyProtection="1">
      <alignment horizontal="center"/>
    </xf>
    <xf numFmtId="0" fontId="15" fillId="0" borderId="18" xfId="0" applyFont="1" applyBorder="1" applyAlignment="1" applyProtection="1">
      <alignment horizontal="center"/>
    </xf>
    <xf numFmtId="0" fontId="16" fillId="0" borderId="17" xfId="0" applyFont="1" applyBorder="1" applyAlignment="1" applyProtection="1"/>
    <xf numFmtId="0" fontId="16" fillId="0" borderId="18" xfId="0" applyFont="1" applyBorder="1" applyAlignment="1" applyProtection="1">
      <alignment horizontal="center"/>
    </xf>
    <xf numFmtId="4" fontId="16" fillId="0" borderId="19" xfId="0" applyNumberFormat="1" applyFont="1" applyBorder="1" applyAlignment="1" applyProtection="1"/>
    <xf numFmtId="4" fontId="16" fillId="0" borderId="18" xfId="0" applyNumberFormat="1" applyFont="1" applyBorder="1" applyAlignment="1" applyProtection="1"/>
    <xf numFmtId="0" fontId="16" fillId="0" borderId="17" xfId="0" applyFont="1" applyBorder="1" applyAlignment="1" applyProtection="1">
      <alignment horizontal="center"/>
    </xf>
    <xf numFmtId="4" fontId="16" fillId="0" borderId="17" xfId="0" applyNumberFormat="1" applyFont="1" applyBorder="1" applyAlignment="1" applyProtection="1"/>
    <xf numFmtId="171" fontId="16" fillId="0" borderId="19" xfId="1" applyNumberFormat="1" applyFont="1" applyBorder="1" applyAlignment="1" applyProtection="1"/>
    <xf numFmtId="4" fontId="16" fillId="0" borderId="27" xfId="0" applyNumberFormat="1" applyFont="1" applyBorder="1" applyAlignment="1" applyProtection="1"/>
    <xf numFmtId="4" fontId="16" fillId="0" borderId="24" xfId="0" applyNumberFormat="1" applyFont="1" applyBorder="1" applyAlignment="1" applyProtection="1"/>
    <xf numFmtId="0" fontId="16" fillId="0" borderId="25" xfId="0" applyFont="1" applyBorder="1" applyAlignment="1" applyProtection="1"/>
    <xf numFmtId="0" fontId="16" fillId="0" borderId="0" xfId="0" applyFont="1" applyBorder="1" applyAlignment="1" applyProtection="1"/>
    <xf numFmtId="4" fontId="16" fillId="0" borderId="0" xfId="0" applyNumberFormat="1" applyFont="1" applyBorder="1" applyAlignment="1" applyProtection="1"/>
    <xf numFmtId="4" fontId="16" fillId="0" borderId="25" xfId="0" applyNumberFormat="1" applyFont="1" applyBorder="1" applyAlignment="1" applyProtection="1"/>
    <xf numFmtId="171" fontId="16" fillId="0" borderId="24" xfId="1" applyNumberFormat="1" applyFont="1" applyBorder="1" applyAlignment="1" applyProtection="1"/>
    <xf numFmtId="4" fontId="16" fillId="0" borderId="28" xfId="0" applyNumberFormat="1" applyFont="1" applyBorder="1" applyAlignment="1" applyProtection="1"/>
    <xf numFmtId="4" fontId="16" fillId="0" borderId="23" xfId="0" applyNumberFormat="1" applyFont="1" applyBorder="1" applyAlignment="1" applyProtection="1"/>
    <xf numFmtId="4" fontId="16" fillId="0" borderId="26" xfId="0" applyNumberFormat="1" applyFont="1" applyBorder="1" applyAlignment="1" applyProtection="1"/>
    <xf numFmtId="4" fontId="16" fillId="0" borderId="16" xfId="0" applyNumberFormat="1" applyFont="1" applyBorder="1" applyAlignment="1" applyProtection="1"/>
    <xf numFmtId="0" fontId="16" fillId="0" borderId="16" xfId="0" applyFont="1" applyBorder="1" applyAlignment="1" applyProtection="1"/>
    <xf numFmtId="166" fontId="16" fillId="0" borderId="25" xfId="1" applyFont="1" applyBorder="1" applyAlignment="1" applyProtection="1"/>
    <xf numFmtId="171" fontId="16" fillId="0" borderId="16" xfId="1" applyNumberFormat="1" applyFont="1" applyBorder="1" applyAlignment="1" applyProtection="1"/>
    <xf numFmtId="166" fontId="16" fillId="0" borderId="16" xfId="1" applyFont="1" applyBorder="1" applyAlignment="1" applyProtection="1"/>
    <xf numFmtId="166" fontId="16" fillId="0" borderId="21" xfId="1" applyFont="1" applyBorder="1" applyAlignment="1" applyProtection="1"/>
    <xf numFmtId="166" fontId="16" fillId="0" borderId="30" xfId="1" applyFont="1" applyBorder="1" applyAlignment="1" applyProtection="1"/>
    <xf numFmtId="0" fontId="16" fillId="0" borderId="21" xfId="0" applyFont="1" applyBorder="1" applyAlignment="1" applyProtection="1">
      <alignment horizontal="right"/>
    </xf>
    <xf numFmtId="171" fontId="16" fillId="0" borderId="22" xfId="1" applyNumberFormat="1" applyFont="1" applyBorder="1" applyAlignment="1" applyProtection="1"/>
    <xf numFmtId="0" fontId="15" fillId="0" borderId="21" xfId="0" applyFont="1" applyBorder="1" applyAlignment="1" applyProtection="1">
      <alignment horizontal="center"/>
    </xf>
    <xf numFmtId="0" fontId="15" fillId="0" borderId="19" xfId="0" applyFont="1" applyBorder="1" applyAlignment="1" applyProtection="1">
      <alignment horizontal="center"/>
    </xf>
    <xf numFmtId="0" fontId="16" fillId="0" borderId="27" xfId="0" applyFont="1" applyBorder="1" applyAlignment="1" applyProtection="1"/>
    <xf numFmtId="0" fontId="15" fillId="0" borderId="30" xfId="0" applyFont="1" applyBorder="1" applyAlignment="1" applyProtection="1">
      <alignment horizontal="center"/>
    </xf>
    <xf numFmtId="171" fontId="16" fillId="0" borderId="18" xfId="1" applyNumberFormat="1" applyFont="1" applyBorder="1" applyAlignment="1" applyProtection="1"/>
    <xf numFmtId="0" fontId="16" fillId="0" borderId="24" xfId="0" applyFont="1" applyBorder="1" applyAlignment="1" applyProtection="1"/>
    <xf numFmtId="171" fontId="16" fillId="0" borderId="25" xfId="1" applyNumberFormat="1" applyFont="1" applyBorder="1" applyAlignment="1" applyProtection="1"/>
    <xf numFmtId="0" fontId="16" fillId="0" borderId="29" xfId="0" applyFont="1" applyBorder="1" applyAlignment="1" applyProtection="1"/>
    <xf numFmtId="4" fontId="16" fillId="0" borderId="29" xfId="0" applyNumberFormat="1" applyFont="1" applyBorder="1" applyAlignment="1" applyProtection="1"/>
    <xf numFmtId="4" fontId="16" fillId="0" borderId="21" xfId="0" applyNumberFormat="1" applyFont="1" applyBorder="1" applyAlignment="1" applyProtection="1"/>
    <xf numFmtId="4" fontId="16" fillId="0" borderId="22" xfId="0" applyNumberFormat="1" applyFont="1" applyBorder="1" applyAlignment="1" applyProtection="1"/>
    <xf numFmtId="171" fontId="16" fillId="0" borderId="22" xfId="0" applyNumberFormat="1" applyFont="1" applyBorder="1" applyAlignment="1" applyProtection="1"/>
    <xf numFmtId="0" fontId="29" fillId="0" borderId="0" xfId="0" applyFont="1" applyAlignment="1" applyProtection="1"/>
    <xf numFmtId="0" fontId="24" fillId="0" borderId="0" xfId="0" applyFont="1" applyAlignment="1" applyProtection="1"/>
    <xf numFmtId="171" fontId="24" fillId="0" borderId="0" xfId="1" applyNumberFormat="1" applyFont="1" applyBorder="1" applyAlignment="1" applyProtection="1"/>
    <xf numFmtId="0" fontId="24" fillId="0" borderId="0" xfId="0" applyFont="1" applyAlignment="1" applyProtection="1">
      <alignment horizontal="right"/>
    </xf>
    <xf numFmtId="0" fontId="24" fillId="0" borderId="17" xfId="0" applyFont="1" applyBorder="1" applyAlignment="1" applyProtection="1">
      <alignment horizontal="left"/>
    </xf>
    <xf numFmtId="0" fontId="24" fillId="0" borderId="27" xfId="0" applyFont="1" applyBorder="1" applyAlignment="1" applyProtection="1">
      <alignment horizontal="center"/>
    </xf>
    <xf numFmtId="0" fontId="24" fillId="0" borderId="18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/>
    </xf>
    <xf numFmtId="0" fontId="24" fillId="0" borderId="17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right"/>
    </xf>
    <xf numFmtId="0" fontId="24" fillId="0" borderId="26" xfId="0" applyFont="1" applyBorder="1" applyAlignment="1" applyProtection="1">
      <alignment horizontal="center"/>
    </xf>
    <xf numFmtId="0" fontId="24" fillId="0" borderId="16" xfId="0" applyFont="1" applyBorder="1" applyAlignment="1" applyProtection="1">
      <alignment horizontal="center"/>
    </xf>
    <xf numFmtId="0" fontId="24" fillId="0" borderId="29" xfId="0" applyFont="1" applyBorder="1" applyAlignment="1" applyProtection="1">
      <alignment horizontal="center"/>
    </xf>
    <xf numFmtId="0" fontId="24" fillId="0" borderId="25" xfId="0" applyFont="1" applyBorder="1" applyAlignment="1" applyProtection="1">
      <alignment horizontal="center"/>
    </xf>
    <xf numFmtId="0" fontId="24" fillId="0" borderId="20" xfId="0" applyFont="1" applyBorder="1" applyAlignment="1" applyProtection="1">
      <alignment horizontal="center"/>
    </xf>
    <xf numFmtId="0" fontId="29" fillId="0" borderId="21" xfId="0" applyFont="1" applyBorder="1" applyAlignment="1" applyProtection="1">
      <alignment horizontal="center"/>
    </xf>
    <xf numFmtId="0" fontId="29" fillId="0" borderId="22" xfId="0" applyFont="1" applyBorder="1" applyAlignment="1" applyProtection="1">
      <alignment horizontal="center"/>
    </xf>
    <xf numFmtId="0" fontId="29" fillId="0" borderId="18" xfId="0" applyFont="1" applyBorder="1" applyAlignment="1" applyProtection="1">
      <alignment horizontal="center"/>
    </xf>
    <xf numFmtId="0" fontId="29" fillId="0" borderId="20" xfId="0" applyFont="1" applyBorder="1" applyAlignment="1" applyProtection="1">
      <alignment horizontal="center"/>
    </xf>
    <xf numFmtId="0" fontId="29" fillId="0" borderId="0" xfId="0" applyFont="1" applyAlignment="1" applyProtection="1">
      <alignment horizontal="center"/>
    </xf>
    <xf numFmtId="0" fontId="24" fillId="0" borderId="25" xfId="0" applyFont="1" applyBorder="1" applyAlignment="1" applyProtection="1"/>
    <xf numFmtId="0" fontId="8" fillId="0" borderId="19" xfId="0" applyFont="1" applyBorder="1" applyAlignment="1" applyProtection="1"/>
    <xf numFmtId="0" fontId="24" fillId="0" borderId="17" xfId="0" applyFont="1" applyBorder="1" applyAlignment="1" applyProtection="1"/>
    <xf numFmtId="0" fontId="29" fillId="0" borderId="27" xfId="0" applyFont="1" applyBorder="1" applyAlignment="1" applyProtection="1"/>
    <xf numFmtId="4" fontId="30" fillId="0" borderId="0" xfId="0" applyNumberFormat="1" applyFont="1" applyBorder="1" applyAlignment="1" applyProtection="1"/>
    <xf numFmtId="4" fontId="30" fillId="0" borderId="18" xfId="0" applyNumberFormat="1" applyFont="1" applyBorder="1" applyAlignment="1" applyProtection="1"/>
    <xf numFmtId="4" fontId="31" fillId="0" borderId="0" xfId="0" applyNumberFormat="1" applyFont="1" applyAlignment="1" applyProtection="1"/>
    <xf numFmtId="4" fontId="24" fillId="0" borderId="28" xfId="0" applyNumberFormat="1" applyFont="1" applyBorder="1" applyAlignment="1" applyProtection="1"/>
    <xf numFmtId="171" fontId="24" fillId="0" borderId="25" xfId="1" applyNumberFormat="1" applyFont="1" applyBorder="1" applyAlignment="1" applyProtection="1"/>
    <xf numFmtId="4" fontId="29" fillId="0" borderId="0" xfId="0" applyNumberFormat="1" applyFont="1" applyAlignment="1" applyProtection="1"/>
    <xf numFmtId="0" fontId="8" fillId="0" borderId="24" xfId="0" applyFont="1" applyBorder="1" applyAlignment="1" applyProtection="1"/>
    <xf numFmtId="0" fontId="24" fillId="0" borderId="0" xfId="0" applyFont="1" applyBorder="1" applyAlignment="1" applyProtection="1"/>
    <xf numFmtId="0" fontId="29" fillId="0" borderId="28" xfId="0" applyFont="1" applyBorder="1" applyAlignment="1" applyProtection="1"/>
    <xf numFmtId="4" fontId="30" fillId="0" borderId="25" xfId="0" applyNumberFormat="1" applyFont="1" applyBorder="1" applyAlignment="1" applyProtection="1"/>
    <xf numFmtId="171" fontId="8" fillId="0" borderId="25" xfId="1" applyNumberFormat="1" applyFont="1" applyBorder="1" applyAlignment="1" applyProtection="1"/>
    <xf numFmtId="4" fontId="24" fillId="0" borderId="0" xfId="0" applyNumberFormat="1" applyFont="1" applyAlignment="1" applyProtection="1"/>
    <xf numFmtId="171" fontId="29" fillId="0" borderId="0" xfId="1" applyNumberFormat="1" applyFont="1" applyBorder="1" applyAlignment="1" applyProtection="1"/>
    <xf numFmtId="0" fontId="29" fillId="0" borderId="0" xfId="0" applyFont="1" applyBorder="1" applyAlignment="1" applyProtection="1"/>
    <xf numFmtId="166" fontId="29" fillId="0" borderId="0" xfId="0" applyNumberFormat="1" applyFont="1" applyAlignment="1" applyProtection="1"/>
    <xf numFmtId="0" fontId="24" fillId="0" borderId="26" xfId="0" applyFont="1" applyBorder="1" applyAlignment="1" applyProtection="1"/>
    <xf numFmtId="0" fontId="8" fillId="0" borderId="23" xfId="0" applyFont="1" applyBorder="1" applyAlignment="1" applyProtection="1"/>
    <xf numFmtId="0" fontId="29" fillId="0" borderId="16" xfId="0" applyFont="1" applyBorder="1" applyAlignment="1" applyProtection="1"/>
    <xf numFmtId="0" fontId="29" fillId="0" borderId="29" xfId="0" applyFont="1" applyBorder="1" applyAlignment="1" applyProtection="1"/>
    <xf numFmtId="4" fontId="30" fillId="0" borderId="26" xfId="0" applyNumberFormat="1" applyFont="1" applyBorder="1" applyAlignment="1" applyProtection="1"/>
    <xf numFmtId="0" fontId="29" fillId="0" borderId="22" xfId="0" applyFont="1" applyBorder="1" applyAlignment="1" applyProtection="1"/>
    <xf numFmtId="0" fontId="29" fillId="0" borderId="30" xfId="0" applyFont="1" applyBorder="1" applyAlignment="1" applyProtection="1"/>
    <xf numFmtId="4" fontId="8" fillId="0" borderId="21" xfId="0" applyNumberFormat="1" applyFont="1" applyBorder="1" applyAlignment="1" applyProtection="1"/>
    <xf numFmtId="4" fontId="32" fillId="0" borderId="26" xfId="0" applyNumberFormat="1" applyFont="1" applyBorder="1" applyAlignment="1" applyProtection="1"/>
    <xf numFmtId="4" fontId="24" fillId="0" borderId="21" xfId="0" applyNumberFormat="1" applyFont="1" applyBorder="1" applyAlignment="1" applyProtection="1"/>
    <xf numFmtId="4" fontId="24" fillId="0" borderId="23" xfId="0" applyNumberFormat="1" applyFont="1" applyBorder="1" applyAlignment="1" applyProtection="1"/>
    <xf numFmtId="171" fontId="24" fillId="0" borderId="20" xfId="1" applyNumberFormat="1" applyFont="1" applyBorder="1" applyAlignment="1" applyProtection="1"/>
    <xf numFmtId="171" fontId="15" fillId="0" borderId="0" xfId="0" applyNumberFormat="1" applyFont="1" applyAlignment="1" applyProtection="1"/>
    <xf numFmtId="4" fontId="33" fillId="0" borderId="0" xfId="0" applyNumberFormat="1" applyFont="1" applyAlignment="1" applyProtection="1">
      <alignment horizontal="center"/>
    </xf>
    <xf numFmtId="0" fontId="8" fillId="0" borderId="0" xfId="0" applyFont="1" applyBorder="1" applyAlignment="1" applyProtection="1"/>
    <xf numFmtId="4" fontId="8" fillId="0" borderId="0" xfId="0" applyNumberFormat="1" applyFont="1" applyAlignment="1" applyProtection="1"/>
    <xf numFmtId="166" fontId="8" fillId="0" borderId="0" xfId="0" applyNumberFormat="1" applyFont="1" applyAlignment="1" applyProtection="1"/>
    <xf numFmtId="0" fontId="3" fillId="0" borderId="21" xfId="0" applyFont="1" applyBorder="1" applyAlignment="1" applyProtection="1"/>
    <xf numFmtId="0" fontId="8" fillId="0" borderId="20" xfId="0" applyFont="1" applyBorder="1" applyAlignment="1" applyProtection="1">
      <alignment horizontal="center"/>
    </xf>
    <xf numFmtId="0" fontId="24" fillId="0" borderId="20" xfId="0" applyFont="1" applyBorder="1" applyAlignment="1" applyProtection="1"/>
    <xf numFmtId="166" fontId="5" fillId="0" borderId="20" xfId="1" applyFont="1" applyBorder="1" applyAlignment="1" applyProtection="1"/>
    <xf numFmtId="166" fontId="19" fillId="0" borderId="20" xfId="1" applyFont="1" applyBorder="1" applyAlignment="1" applyProtection="1"/>
    <xf numFmtId="166" fontId="19" fillId="0" borderId="20" xfId="0" applyNumberFormat="1" applyFont="1" applyBorder="1" applyAlignment="1" applyProtection="1"/>
    <xf numFmtId="166" fontId="23" fillId="0" borderId="20" xfId="1" applyFont="1" applyBorder="1" applyAlignment="1" applyProtection="1"/>
    <xf numFmtId="166" fontId="18" fillId="0" borderId="20" xfId="1" applyFont="1" applyBorder="1" applyAlignment="1" applyProtection="1"/>
    <xf numFmtId="166" fontId="35" fillId="0" borderId="20" xfId="1" applyFont="1" applyBorder="1" applyAlignment="1" applyProtection="1"/>
    <xf numFmtId="0" fontId="24" fillId="0" borderId="20" xfId="0" applyFont="1" applyBorder="1" applyAlignment="1" applyProtection="1">
      <alignment horizontal="right"/>
    </xf>
    <xf numFmtId="0" fontId="24" fillId="0" borderId="28" xfId="0" applyFont="1" applyBorder="1" applyAlignment="1" applyProtection="1"/>
    <xf numFmtId="4" fontId="8" fillId="0" borderId="0" xfId="0" applyNumberFormat="1" applyFon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0" fontId="24" fillId="0" borderId="21" xfId="0" applyFont="1" applyBorder="1" applyAlignment="1" applyProtection="1"/>
    <xf numFmtId="4" fontId="2" fillId="0" borderId="22" xfId="0" applyNumberFormat="1" applyFont="1" applyBorder="1" applyAlignment="1" applyProtection="1"/>
    <xf numFmtId="166" fontId="2" fillId="0" borderId="22" xfId="0" applyNumberFormat="1" applyFont="1" applyBorder="1" applyAlignment="1" applyProtection="1"/>
    <xf numFmtId="0" fontId="3" fillId="0" borderId="30" xfId="0" applyFont="1" applyBorder="1" applyAlignment="1" applyProtection="1"/>
    <xf numFmtId="0" fontId="3" fillId="0" borderId="20" xfId="0" applyFont="1" applyBorder="1" applyAlignment="1" applyProtection="1">
      <alignment horizontal="right"/>
    </xf>
    <xf numFmtId="166" fontId="3" fillId="0" borderId="20" xfId="1" applyFont="1" applyBorder="1" applyAlignment="1" applyProtection="1">
      <alignment horizontal="center"/>
    </xf>
    <xf numFmtId="0" fontId="19" fillId="0" borderId="20" xfId="0" applyFont="1" applyBorder="1" applyAlignment="1" applyProtection="1">
      <alignment horizontal="center"/>
    </xf>
    <xf numFmtId="4" fontId="24" fillId="0" borderId="20" xfId="0" applyNumberFormat="1" applyFont="1" applyBorder="1" applyAlignment="1" applyProtection="1"/>
    <xf numFmtId="4" fontId="36" fillId="0" borderId="20" xfId="0" applyNumberFormat="1" applyFont="1" applyBorder="1" applyAlignment="1" applyProtection="1"/>
    <xf numFmtId="4" fontId="37" fillId="0" borderId="20" xfId="0" applyNumberFormat="1" applyFont="1" applyBorder="1" applyAlignment="1" applyProtection="1"/>
    <xf numFmtId="4" fontId="32" fillId="0" borderId="20" xfId="0" applyNumberFormat="1" applyFont="1" applyBorder="1" applyAlignment="1" applyProtection="1"/>
    <xf numFmtId="4" fontId="38" fillId="0" borderId="20" xfId="0" applyNumberFormat="1" applyFont="1" applyBorder="1" applyAlignment="1" applyProtection="1"/>
    <xf numFmtId="4" fontId="2" fillId="0" borderId="16" xfId="0" applyNumberFormat="1" applyFont="1" applyBorder="1" applyAlignment="1" applyProtection="1"/>
    <xf numFmtId="0" fontId="2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</xf>
    <xf numFmtId="171" fontId="8" fillId="0" borderId="0" xfId="1" applyNumberFormat="1" applyFont="1" applyBorder="1" applyAlignment="1" applyProtection="1"/>
    <xf numFmtId="171" fontId="8" fillId="0" borderId="27" xfId="1" applyNumberFormat="1" applyFont="1" applyBorder="1" applyAlignment="1" applyProtection="1"/>
    <xf numFmtId="171" fontId="8" fillId="0" borderId="18" xfId="1" applyNumberFormat="1" applyFont="1" applyBorder="1" applyAlignment="1" applyProtection="1"/>
    <xf numFmtId="171" fontId="8" fillId="0" borderId="28" xfId="1" applyNumberFormat="1" applyFont="1" applyBorder="1" applyAlignment="1" applyProtection="1"/>
    <xf numFmtId="171" fontId="37" fillId="0" borderId="25" xfId="1" applyNumberFormat="1" applyFont="1" applyBorder="1" applyAlignment="1" applyProtection="1"/>
    <xf numFmtId="0" fontId="20" fillId="0" borderId="0" xfId="0" applyFont="1" applyBorder="1" applyAlignment="1" applyProtection="1"/>
    <xf numFmtId="171" fontId="38" fillId="0" borderId="28" xfId="1" applyNumberFormat="1" applyFont="1" applyBorder="1" applyAlignment="1" applyProtection="1"/>
    <xf numFmtId="171" fontId="20" fillId="0" borderId="28" xfId="1" applyNumberFormat="1" applyFont="1" applyBorder="1" applyAlignment="1" applyProtection="1"/>
    <xf numFmtId="171" fontId="20" fillId="0" borderId="0" xfId="1" applyNumberFormat="1" applyFont="1" applyBorder="1" applyAlignment="1" applyProtection="1"/>
    <xf numFmtId="171" fontId="20" fillId="0" borderId="25" xfId="1" applyNumberFormat="1" applyFont="1" applyBorder="1" applyAlignment="1" applyProtection="1"/>
    <xf numFmtId="4" fontId="2" fillId="0" borderId="25" xfId="0" applyNumberFormat="1" applyFont="1" applyBorder="1" applyAlignment="1" applyProtection="1"/>
    <xf numFmtId="171" fontId="33" fillId="0" borderId="28" xfId="1" applyNumberFormat="1" applyFont="1" applyBorder="1" applyAlignment="1" applyProtection="1"/>
    <xf numFmtId="0" fontId="8" fillId="0" borderId="16" xfId="0" applyFont="1" applyBorder="1" applyAlignment="1" applyProtection="1"/>
    <xf numFmtId="4" fontId="8" fillId="0" borderId="28" xfId="0" applyNumberFormat="1" applyFont="1" applyBorder="1" applyAlignment="1" applyProtection="1"/>
    <xf numFmtId="4" fontId="8" fillId="0" borderId="25" xfId="0" applyNumberFormat="1" applyFont="1" applyBorder="1" applyAlignment="1" applyProtection="1"/>
    <xf numFmtId="4" fontId="8" fillId="0" borderId="0" xfId="0" applyNumberFormat="1" applyFont="1" applyBorder="1" applyAlignment="1" applyProtection="1"/>
    <xf numFmtId="0" fontId="8" fillId="0" borderId="25" xfId="0" applyFont="1" applyBorder="1" applyAlignment="1" applyProtection="1"/>
    <xf numFmtId="0" fontId="8" fillId="0" borderId="30" xfId="0" applyFont="1" applyBorder="1" applyAlignment="1" applyProtection="1">
      <alignment horizontal="center"/>
    </xf>
    <xf numFmtId="4" fontId="24" fillId="0" borderId="26" xfId="0" applyNumberFormat="1" applyFont="1" applyBorder="1" applyAlignment="1" applyProtection="1"/>
    <xf numFmtId="4" fontId="24" fillId="0" borderId="16" xfId="0" applyNumberFormat="1" applyFont="1" applyBorder="1" applyAlignment="1" applyProtection="1"/>
    <xf numFmtId="4" fontId="24" fillId="0" borderId="30" xfId="0" applyNumberFormat="1" applyFont="1" applyBorder="1" applyAlignment="1" applyProtection="1"/>
    <xf numFmtId="10" fontId="8" fillId="0" borderId="0" xfId="2" applyNumberFormat="1" applyFont="1" applyBorder="1" applyAlignment="1" applyProtection="1">
      <alignment horizontal="center"/>
    </xf>
    <xf numFmtId="171" fontId="8" fillId="0" borderId="20" xfId="1" applyNumberFormat="1" applyFont="1" applyBorder="1" applyAlignment="1" applyProtection="1"/>
    <xf numFmtId="171" fontId="8" fillId="0" borderId="0" xfId="0" applyNumberFormat="1" applyFont="1" applyAlignment="1" applyProtection="1"/>
    <xf numFmtId="171" fontId="37" fillId="0" borderId="20" xfId="1" applyNumberFormat="1" applyFont="1" applyBorder="1" applyAlignment="1" applyProtection="1"/>
    <xf numFmtId="0" fontId="8" fillId="0" borderId="20" xfId="0" applyFont="1" applyBorder="1" applyAlignment="1" applyProtection="1"/>
    <xf numFmtId="0" fontId="8" fillId="0" borderId="0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right"/>
    </xf>
    <xf numFmtId="171" fontId="8" fillId="0" borderId="20" xfId="0" applyNumberFormat="1" applyFont="1" applyBorder="1" applyAlignment="1" applyProtection="1"/>
    <xf numFmtId="166" fontId="8" fillId="0" borderId="0" xfId="1" applyFont="1" applyBorder="1" applyAlignment="1" applyProtection="1"/>
    <xf numFmtId="171" fontId="8" fillId="0" borderId="0" xfId="2" applyNumberFormat="1" applyFont="1" applyBorder="1" applyAlignment="1" applyProtection="1">
      <alignment horizontal="center"/>
    </xf>
    <xf numFmtId="171" fontId="24" fillId="4" borderId="20" xfId="1" applyNumberFormat="1" applyFont="1" applyFill="1" applyBorder="1" applyAlignment="1" applyProtection="1"/>
    <xf numFmtId="10" fontId="8" fillId="0" borderId="20" xfId="2" applyNumberFormat="1" applyFont="1" applyBorder="1" applyAlignment="1" applyProtection="1">
      <alignment horizontal="center"/>
    </xf>
    <xf numFmtId="10" fontId="8" fillId="0" borderId="20" xfId="2" applyNumberFormat="1" applyFont="1" applyBorder="1" applyAlignment="1" applyProtection="1"/>
    <xf numFmtId="171" fontId="8" fillId="0" borderId="20" xfId="1" applyNumberFormat="1" applyFont="1" applyBorder="1" applyAlignment="1" applyProtection="1">
      <alignment horizontal="right"/>
    </xf>
    <xf numFmtId="10" fontId="24" fillId="4" borderId="20" xfId="2" applyNumberFormat="1" applyFont="1" applyFill="1" applyBorder="1" applyAlignment="1" applyProtection="1">
      <alignment horizontal="center"/>
    </xf>
    <xf numFmtId="10" fontId="24" fillId="0" borderId="20" xfId="2" applyNumberFormat="1" applyFont="1" applyBorder="1" applyAlignment="1" applyProtection="1"/>
    <xf numFmtId="0" fontId="24" fillId="0" borderId="0" xfId="0" applyFont="1" applyAlignment="1" applyProtection="1">
      <alignment horizontal="left"/>
    </xf>
    <xf numFmtId="171" fontId="37" fillId="0" borderId="20" xfId="0" applyNumberFormat="1" applyFont="1" applyBorder="1" applyAlignment="1" applyProtection="1"/>
    <xf numFmtId="171" fontId="24" fillId="0" borderId="20" xfId="0" applyNumberFormat="1" applyFont="1" applyBorder="1" applyAlignment="1" applyProtection="1"/>
    <xf numFmtId="171" fontId="8" fillId="0" borderId="20" xfId="1" applyNumberFormat="1" applyFont="1" applyBorder="1" applyAlignment="1" applyProtection="1">
      <alignment horizontal="center"/>
    </xf>
    <xf numFmtId="10" fontId="8" fillId="0" borderId="0" xfId="2" applyNumberFormat="1" applyFont="1" applyBorder="1" applyAlignment="1" applyProtection="1"/>
    <xf numFmtId="171" fontId="15" fillId="0" borderId="20" xfId="0" applyNumberFormat="1" applyFont="1" applyBorder="1" applyAlignment="1" applyProtection="1"/>
    <xf numFmtId="171" fontId="8" fillId="0" borderId="0" xfId="1" applyNumberFormat="1" applyFont="1" applyBorder="1" applyAlignment="1" applyProtection="1">
      <alignment horizontal="center"/>
    </xf>
    <xf numFmtId="0" fontId="15" fillId="0" borderId="0" xfId="0" applyFont="1" applyBorder="1" applyAlignment="1" applyProtection="1"/>
    <xf numFmtId="4" fontId="15" fillId="0" borderId="0" xfId="0" applyNumberFormat="1" applyFont="1" applyAlignment="1" applyProtection="1"/>
    <xf numFmtId="166" fontId="40" fillId="0" borderId="20" xfId="1" applyFont="1" applyBorder="1" applyAlignment="1" applyProtection="1"/>
    <xf numFmtId="0" fontId="4" fillId="0" borderId="0" xfId="0" applyFont="1"/>
    <xf numFmtId="164" fontId="16" fillId="0" borderId="0" xfId="0" applyNumberFormat="1" applyFont="1" applyAlignment="1" applyProtection="1"/>
    <xf numFmtId="4" fontId="41" fillId="0" borderId="0" xfId="0" applyNumberFormat="1" applyFont="1" applyAlignment="1" applyProtection="1"/>
    <xf numFmtId="0" fontId="8" fillId="0" borderId="18" xfId="0" applyFont="1" applyBorder="1" applyAlignment="1" applyProtection="1">
      <alignment horizontal="center"/>
    </xf>
    <xf numFmtId="0" fontId="2" fillId="0" borderId="0" xfId="0" applyFont="1"/>
    <xf numFmtId="0" fontId="2" fillId="0" borderId="26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16" fillId="0" borderId="21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4" fontId="2" fillId="0" borderId="18" xfId="0" applyNumberFormat="1" applyFont="1" applyBorder="1" applyAlignment="1" applyProtection="1"/>
    <xf numFmtId="0" fontId="8" fillId="0" borderId="20" xfId="0" applyFont="1" applyBorder="1" applyAlignment="1" applyProtection="1">
      <alignment horizontal="left"/>
    </xf>
    <xf numFmtId="166" fontId="8" fillId="0" borderId="0" xfId="0" applyNumberFormat="1" applyFont="1" applyBorder="1" applyAlignment="1" applyProtection="1">
      <alignment horizontal="center"/>
    </xf>
    <xf numFmtId="166" fontId="2" fillId="0" borderId="0" xfId="1" applyFont="1" applyProtection="1"/>
    <xf numFmtId="164" fontId="8" fillId="0" borderId="0" xfId="0" applyNumberFormat="1" applyFont="1" applyAlignment="1" applyProtection="1"/>
    <xf numFmtId="166" fontId="24" fillId="0" borderId="20" xfId="1" applyFont="1" applyBorder="1" applyAlignment="1" applyProtection="1"/>
    <xf numFmtId="171" fontId="32" fillId="0" borderId="20" xfId="1" applyNumberFormat="1" applyFont="1" applyBorder="1" applyAlignment="1" applyProtection="1"/>
    <xf numFmtId="171" fontId="32" fillId="0" borderId="20" xfId="0" applyNumberFormat="1" applyFont="1" applyBorder="1" applyAlignment="1" applyProtection="1"/>
    <xf numFmtId="0" fontId="37" fillId="0" borderId="0" xfId="0" applyFont="1" applyAlignment="1" applyProtection="1"/>
    <xf numFmtId="0" fontId="37" fillId="0" borderId="0" xfId="0" applyFont="1" applyAlignment="1" applyProtection="1">
      <alignment horizontal="left"/>
    </xf>
    <xf numFmtId="171" fontId="37" fillId="0" borderId="0" xfId="1" applyNumberFormat="1" applyFont="1" applyBorder="1" applyAlignment="1" applyProtection="1"/>
    <xf numFmtId="0" fontId="19" fillId="0" borderId="0" xfId="0" applyFont="1"/>
    <xf numFmtId="4" fontId="37" fillId="0" borderId="0" xfId="0" applyNumberFormat="1" applyFont="1" applyAlignment="1" applyProtection="1"/>
    <xf numFmtId="4" fontId="15" fillId="0" borderId="21" xfId="0" applyNumberFormat="1" applyFont="1" applyBorder="1" applyAlignment="1" applyProtection="1"/>
    <xf numFmtId="166" fontId="4" fillId="0" borderId="0" xfId="1" applyFont="1" applyProtection="1"/>
    <xf numFmtId="0" fontId="16" fillId="0" borderId="20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4" fontId="42" fillId="0" borderId="20" xfId="0" applyNumberFormat="1" applyFont="1" applyBorder="1" applyAlignment="1" applyProtection="1"/>
    <xf numFmtId="4" fontId="43" fillId="0" borderId="18" xfId="0" applyNumberFormat="1" applyFont="1" applyBorder="1" applyAlignment="1" applyProtection="1"/>
    <xf numFmtId="4" fontId="43" fillId="0" borderId="20" xfId="0" applyNumberFormat="1" applyFont="1" applyBorder="1" applyAlignment="1" applyProtection="1"/>
    <xf numFmtId="0" fontId="44" fillId="0" borderId="0" xfId="0" applyFont="1" applyAlignment="1" applyProtection="1"/>
    <xf numFmtId="0" fontId="16" fillId="0" borderId="0" xfId="0" applyFont="1" applyBorder="1" applyAlignment="1" applyProtection="1">
      <alignment horizontal="left"/>
    </xf>
    <xf numFmtId="171" fontId="44" fillId="0" borderId="0" xfId="1" applyNumberFormat="1" applyFont="1" applyBorder="1" applyAlignment="1" applyProtection="1"/>
    <xf numFmtId="0" fontId="15" fillId="0" borderId="0" xfId="0" applyFont="1" applyBorder="1" applyAlignment="1" applyProtection="1">
      <alignment horizontal="right"/>
    </xf>
    <xf numFmtId="166" fontId="15" fillId="0" borderId="0" xfId="0" applyNumberFormat="1" applyFont="1" applyAlignment="1" applyProtection="1"/>
    <xf numFmtId="4" fontId="45" fillId="0" borderId="0" xfId="0" applyNumberFormat="1" applyFont="1" applyAlignment="1" applyProtection="1">
      <alignment horizontal="center"/>
    </xf>
    <xf numFmtId="10" fontId="15" fillId="0" borderId="0" xfId="2" applyNumberFormat="1" applyFont="1" applyBorder="1" applyAlignment="1" applyProtection="1"/>
    <xf numFmtId="171" fontId="15" fillId="0" borderId="0" xfId="0" applyNumberFormat="1" applyFont="1" applyBorder="1" applyAlignment="1" applyProtection="1"/>
    <xf numFmtId="166" fontId="24" fillId="0" borderId="0" xfId="0" applyNumberFormat="1" applyFont="1" applyAlignment="1" applyProtection="1"/>
    <xf numFmtId="166" fontId="24" fillId="0" borderId="0" xfId="1" applyFont="1" applyBorder="1" applyAlignment="1" applyProtection="1"/>
    <xf numFmtId="166" fontId="2" fillId="0" borderId="0" xfId="1" applyFont="1" applyBorder="1" applyProtection="1"/>
    <xf numFmtId="0" fontId="4" fillId="0" borderId="1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166" fontId="4" fillId="0" borderId="20" xfId="1" applyFont="1" applyBorder="1" applyProtection="1"/>
    <xf numFmtId="166" fontId="46" fillId="0" borderId="20" xfId="1" applyFont="1" applyBorder="1" applyAlignment="1" applyProtection="1"/>
    <xf numFmtId="0" fontId="47" fillId="0" borderId="0" xfId="0" applyFont="1" applyAlignment="1" applyProtection="1"/>
    <xf numFmtId="166" fontId="16" fillId="0" borderId="22" xfId="1" applyFont="1" applyBorder="1" applyAlignment="1" applyProtection="1"/>
    <xf numFmtId="0" fontId="27" fillId="0" borderId="0" xfId="0" applyFont="1" applyAlignment="1" applyProtection="1"/>
    <xf numFmtId="166" fontId="27" fillId="0" borderId="0" xfId="1" applyFont="1" applyProtection="1"/>
    <xf numFmtId="164" fontId="4" fillId="0" borderId="0" xfId="0" applyNumberFormat="1" applyFont="1" applyAlignment="1" applyProtection="1"/>
    <xf numFmtId="17" fontId="16" fillId="0" borderId="20" xfId="0" applyNumberFormat="1" applyFont="1" applyBorder="1" applyAlignment="1" applyProtection="1">
      <alignment horizontal="center"/>
    </xf>
    <xf numFmtId="0" fontId="1" fillId="0" borderId="20" xfId="0" applyFont="1" applyBorder="1" applyAlignment="1" applyProtection="1"/>
    <xf numFmtId="4" fontId="2" fillId="0" borderId="0" xfId="0" applyNumberFormat="1" applyFont="1"/>
    <xf numFmtId="0" fontId="2" fillId="0" borderId="17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wrapText="1"/>
    </xf>
    <xf numFmtId="166" fontId="39" fillId="0" borderId="0" xfId="1" applyProtection="1"/>
    <xf numFmtId="164" fontId="0" fillId="0" borderId="0" xfId="0" applyNumberFormat="1" applyAlignment="1" applyProtection="1"/>
    <xf numFmtId="166" fontId="2" fillId="0" borderId="0" xfId="1" applyFont="1"/>
    <xf numFmtId="166" fontId="4" fillId="0" borderId="22" xfId="1" applyFont="1" applyBorder="1" applyProtection="1"/>
    <xf numFmtId="166" fontId="4" fillId="0" borderId="30" xfId="1" applyFont="1" applyBorder="1" applyProtection="1"/>
    <xf numFmtId="164" fontId="4" fillId="0" borderId="0" xfId="0" applyNumberFormat="1" applyFont="1" applyAlignment="1" applyProtection="1"/>
    <xf numFmtId="0" fontId="0" fillId="0" borderId="0" xfId="0" applyAlignment="1">
      <alignment horizontal="left"/>
    </xf>
    <xf numFmtId="0" fontId="0" fillId="0" borderId="35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2" xfId="0" applyBorder="1" applyAlignment="1">
      <alignment horizontal="left"/>
    </xf>
    <xf numFmtId="164" fontId="0" fillId="0" borderId="20" xfId="0" applyNumberFormat="1" applyBorder="1" applyAlignment="1" applyProtection="1">
      <alignment horizontal="center"/>
    </xf>
    <xf numFmtId="166" fontId="4" fillId="0" borderId="0" xfId="1" applyFont="1" applyBorder="1" applyProtection="1"/>
    <xf numFmtId="4" fontId="48" fillId="0" borderId="0" xfId="0" applyNumberFormat="1" applyFont="1" applyAlignment="1" applyProtection="1"/>
    <xf numFmtId="170" fontId="49" fillId="0" borderId="30" xfId="1" applyNumberFormat="1" applyFont="1" applyBorder="1" applyAlignment="1" applyProtection="1"/>
    <xf numFmtId="170" fontId="4" fillId="0" borderId="0" xfId="0" applyNumberFormat="1" applyFont="1" applyAlignment="1" applyProtection="1"/>
    <xf numFmtId="166" fontId="5" fillId="0" borderId="0" xfId="1" applyFont="1" applyProtection="1"/>
    <xf numFmtId="4" fontId="27" fillId="0" borderId="0" xfId="0" applyNumberFormat="1" applyFont="1" applyAlignment="1" applyProtection="1"/>
    <xf numFmtId="164" fontId="27" fillId="0" borderId="0" xfId="0" applyNumberFormat="1" applyFont="1" applyAlignment="1" applyProtection="1"/>
    <xf numFmtId="164" fontId="41" fillId="0" borderId="0" xfId="0" applyNumberFormat="1" applyFont="1" applyAlignment="1" applyProtection="1"/>
    <xf numFmtId="164" fontId="2" fillId="0" borderId="0" xfId="0" applyNumberFormat="1" applyFont="1" applyAlignment="1" applyProtection="1"/>
    <xf numFmtId="4" fontId="22" fillId="0" borderId="18" xfId="0" applyNumberFormat="1" applyFont="1" applyBorder="1" applyAlignment="1" applyProtection="1"/>
    <xf numFmtId="9" fontId="16" fillId="0" borderId="0" xfId="0" applyNumberFormat="1" applyFont="1" applyAlignment="1" applyProtection="1"/>
    <xf numFmtId="173" fontId="2" fillId="0" borderId="0" xfId="1" applyNumberFormat="1" applyFont="1" applyProtection="1"/>
    <xf numFmtId="164" fontId="16" fillId="0" borderId="0" xfId="0" applyNumberFormat="1" applyFont="1" applyAlignment="1" applyProtection="1"/>
    <xf numFmtId="4" fontId="4" fillId="0" borderId="0" xfId="0" applyNumberFormat="1" applyFont="1"/>
    <xf numFmtId="0" fontId="16" fillId="0" borderId="0" xfId="0" applyFont="1" applyAlignment="1" applyProtection="1">
      <alignment wrapText="1"/>
    </xf>
    <xf numFmtId="166" fontId="2" fillId="0" borderId="24" xfId="1" applyFont="1" applyBorder="1" applyAlignment="1" applyProtection="1"/>
    <xf numFmtId="0" fontId="4" fillId="0" borderId="0" xfId="0" applyFont="1" applyAlignment="1" applyProtection="1">
      <alignment horizontal="center"/>
    </xf>
    <xf numFmtId="0" fontId="4" fillId="0" borderId="18" xfId="0" applyFont="1" applyBorder="1" applyAlignment="1" applyProtection="1"/>
    <xf numFmtId="0" fontId="4" fillId="0" borderId="26" xfId="0" applyFont="1" applyBorder="1" applyAlignment="1" applyProtection="1"/>
    <xf numFmtId="0" fontId="4" fillId="0" borderId="19" xfId="0" applyFont="1" applyBorder="1" applyAlignment="1" applyProtection="1"/>
    <xf numFmtId="0" fontId="4" fillId="0" borderId="17" xfId="0" applyFont="1" applyBorder="1" applyAlignment="1" applyProtection="1"/>
    <xf numFmtId="0" fontId="4" fillId="0" borderId="27" xfId="0" applyFont="1" applyBorder="1" applyAlignment="1" applyProtection="1"/>
    <xf numFmtId="0" fontId="4" fillId="0" borderId="29" xfId="0" applyFont="1" applyBorder="1" applyAlignment="1" applyProtection="1"/>
    <xf numFmtId="0" fontId="0" fillId="0" borderId="0" xfId="0" applyAlignment="1">
      <alignment horizontal="center"/>
    </xf>
    <xf numFmtId="0" fontId="15" fillId="0" borderId="20" xfId="0" applyFont="1" applyBorder="1" applyAlignment="1" applyProtection="1">
      <alignment horizontal="center"/>
    </xf>
    <xf numFmtId="0" fontId="4" fillId="0" borderId="21" xfId="0" applyFont="1" applyBorder="1" applyAlignment="1" applyProtection="1">
      <alignment horizontal="center"/>
    </xf>
    <xf numFmtId="166" fontId="4" fillId="0" borderId="21" xfId="1" applyFont="1" applyBorder="1" applyProtection="1"/>
    <xf numFmtId="0" fontId="22" fillId="0" borderId="20" xfId="0" applyFont="1" applyBorder="1" applyAlignment="1" applyProtection="1">
      <alignment horizontal="center"/>
    </xf>
    <xf numFmtId="171" fontId="50" fillId="0" borderId="20" xfId="1" applyNumberFormat="1" applyFont="1" applyBorder="1" applyAlignment="1" applyProtection="1">
      <alignment horizontal="center"/>
    </xf>
    <xf numFmtId="174" fontId="16" fillId="0" borderId="20" xfId="0" applyNumberFormat="1" applyFont="1" applyBorder="1" applyAlignment="1" applyProtection="1">
      <alignment horizontal="center"/>
    </xf>
    <xf numFmtId="4" fontId="12" fillId="0" borderId="20" xfId="0" applyNumberFormat="1" applyFont="1" applyBorder="1" applyAlignment="1" applyProtection="1">
      <alignment horizontal="right"/>
    </xf>
    <xf numFmtId="174" fontId="16" fillId="0" borderId="0" xfId="0" applyNumberFormat="1" applyFont="1" applyAlignment="1" applyProtection="1"/>
    <xf numFmtId="165" fontId="39" fillId="0" borderId="0" xfId="4" applyProtection="1"/>
    <xf numFmtId="165" fontId="3" fillId="0" borderId="0" xfId="0" applyNumberFormat="1" applyFont="1" applyAlignment="1" applyProtection="1"/>
    <xf numFmtId="165" fontId="2" fillId="0" borderId="0" xfId="4" applyFont="1" applyAlignment="1" applyProtection="1"/>
    <xf numFmtId="0" fontId="4" fillId="0" borderId="18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166" fontId="2" fillId="0" borderId="19" xfId="1" applyFont="1" applyBorder="1" applyAlignment="1" applyProtection="1">
      <alignment horizontal="center"/>
    </xf>
    <xf numFmtId="166" fontId="2" fillId="0" borderId="17" xfId="1" applyFont="1" applyBorder="1" applyAlignment="1" applyProtection="1">
      <alignment horizontal="center"/>
    </xf>
    <xf numFmtId="166" fontId="2" fillId="0" borderId="27" xfId="1" applyFont="1" applyBorder="1" applyAlignment="1" applyProtection="1">
      <alignment horizontal="center"/>
    </xf>
    <xf numFmtId="166" fontId="2" fillId="0" borderId="24" xfId="1" applyFont="1" applyBorder="1" applyAlignment="1" applyProtection="1">
      <alignment horizontal="center"/>
    </xf>
    <xf numFmtId="166" fontId="2" fillId="0" borderId="0" xfId="1" applyFont="1" applyBorder="1" applyAlignment="1" applyProtection="1">
      <alignment horizontal="center"/>
    </xf>
    <xf numFmtId="166" fontId="2" fillId="0" borderId="28" xfId="1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164" fontId="2" fillId="0" borderId="0" xfId="0" applyNumberFormat="1" applyFont="1" applyAlignment="1" applyProtection="1"/>
    <xf numFmtId="164" fontId="0" fillId="0" borderId="0" xfId="0" applyNumberFormat="1" applyAlignment="1" applyProtection="1"/>
    <xf numFmtId="0" fontId="4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/>
    </xf>
    <xf numFmtId="0" fontId="41" fillId="0" borderId="0" xfId="0" applyFont="1" applyAlignment="1" applyProtection="1">
      <alignment horizontal="left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left"/>
    </xf>
    <xf numFmtId="0" fontId="4" fillId="0" borderId="2" xfId="0" applyFont="1" applyBorder="1" applyAlignment="1" applyProtection="1"/>
    <xf numFmtId="0" fontId="4" fillId="0" borderId="4" xfId="0" applyFont="1" applyBorder="1" applyAlignment="1" applyProtection="1"/>
    <xf numFmtId="0" fontId="4" fillId="0" borderId="6" xfId="0" applyFont="1" applyBorder="1" applyAlignment="1" applyProtection="1">
      <alignment horizontal="left"/>
    </xf>
    <xf numFmtId="166" fontId="4" fillId="0" borderId="7" xfId="1" applyFont="1" applyBorder="1" applyAlignment="1" applyProtection="1"/>
    <xf numFmtId="166" fontId="4" fillId="0" borderId="6" xfId="1" applyFont="1" applyBorder="1" applyAlignment="1" applyProtection="1"/>
    <xf numFmtId="166" fontId="4" fillId="0" borderId="6" xfId="1" applyFont="1" applyBorder="1" applyProtection="1"/>
    <xf numFmtId="167" fontId="4" fillId="0" borderId="6" xfId="0" applyNumberFormat="1" applyFont="1" applyBorder="1" applyAlignment="1" applyProtection="1">
      <alignment horizontal="right"/>
    </xf>
    <xf numFmtId="167" fontId="4" fillId="0" borderId="7" xfId="0" applyNumberFormat="1" applyFont="1" applyBorder="1" applyAlignment="1" applyProtection="1">
      <alignment horizontal="right"/>
    </xf>
    <xf numFmtId="166" fontId="4" fillId="0" borderId="6" xfId="1" applyFont="1" applyBorder="1"/>
    <xf numFmtId="0" fontId="4" fillId="0" borderId="6" xfId="0" applyFont="1" applyBorder="1" applyAlignment="1" applyProtection="1">
      <alignment horizontal="center"/>
    </xf>
    <xf numFmtId="166" fontId="22" fillId="0" borderId="6" xfId="1" applyFont="1" applyBorder="1" applyAlignment="1" applyProtection="1">
      <alignment horizontal="center"/>
    </xf>
    <xf numFmtId="166" fontId="4" fillId="0" borderId="6" xfId="1" applyFont="1" applyBorder="1" applyAlignment="1" applyProtection="1">
      <alignment horizontal="center"/>
    </xf>
    <xf numFmtId="0" fontId="4" fillId="0" borderId="6" xfId="0" applyFont="1" applyBorder="1" applyAlignment="1" applyProtection="1"/>
    <xf numFmtId="0" fontId="4" fillId="0" borderId="7" xfId="0" applyFont="1" applyBorder="1" applyAlignment="1" applyProtection="1"/>
    <xf numFmtId="167" fontId="22" fillId="0" borderId="6" xfId="0" applyNumberFormat="1" applyFont="1" applyBorder="1" applyAlignment="1" applyProtection="1">
      <alignment horizontal="right"/>
    </xf>
    <xf numFmtId="166" fontId="4" fillId="0" borderId="8" xfId="1" applyFont="1" applyBorder="1" applyProtection="1"/>
    <xf numFmtId="167" fontId="4" fillId="0" borderId="4" xfId="0" applyNumberFormat="1" applyFont="1" applyBorder="1" applyAlignment="1" applyProtection="1"/>
    <xf numFmtId="167" fontId="4" fillId="0" borderId="2" xfId="0" applyNumberFormat="1" applyFont="1" applyBorder="1" applyAlignment="1" applyProtection="1">
      <alignment horizontal="right"/>
    </xf>
    <xf numFmtId="167" fontId="4" fillId="0" borderId="4" xfId="0" applyNumberFormat="1" applyFont="1" applyBorder="1" applyAlignment="1" applyProtection="1">
      <alignment horizontal="right"/>
    </xf>
    <xf numFmtId="167" fontId="4" fillId="0" borderId="7" xfId="0" applyNumberFormat="1" applyFont="1" applyBorder="1" applyAlignment="1" applyProtection="1"/>
    <xf numFmtId="167" fontId="4" fillId="0" borderId="8" xfId="0" applyNumberFormat="1" applyFont="1" applyBorder="1" applyAlignment="1" applyProtection="1">
      <alignment horizontal="right"/>
    </xf>
    <xf numFmtId="166" fontId="4" fillId="0" borderId="0" xfId="1" applyFont="1" applyBorder="1" applyAlignment="1" applyProtection="1">
      <alignment horizontal="center"/>
    </xf>
    <xf numFmtId="166" fontId="4" fillId="0" borderId="2" xfId="1" applyFont="1" applyBorder="1" applyProtection="1"/>
    <xf numFmtId="167" fontId="4" fillId="0" borderId="3" xfId="0" applyNumberFormat="1" applyFont="1" applyBorder="1" applyAlignment="1" applyProtection="1">
      <alignment horizontal="right"/>
    </xf>
    <xf numFmtId="167" fontId="27" fillId="0" borderId="3" xfId="0" applyNumberFormat="1" applyFont="1" applyBorder="1" applyAlignment="1" applyProtection="1">
      <alignment horizontal="right"/>
    </xf>
    <xf numFmtId="166" fontId="4" fillId="0" borderId="7" xfId="1" applyFont="1" applyBorder="1" applyProtection="1"/>
    <xf numFmtId="4" fontId="4" fillId="0" borderId="6" xfId="0" applyNumberFormat="1" applyFont="1" applyBorder="1" applyAlignment="1" applyProtection="1"/>
    <xf numFmtId="0" fontId="4" fillId="2" borderId="6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166" fontId="4" fillId="0" borderId="2" xfId="1" applyFont="1" applyBorder="1" applyAlignment="1" applyProtection="1"/>
    <xf numFmtId="10" fontId="4" fillId="0" borderId="2" xfId="2" applyNumberFormat="1" applyFont="1" applyBorder="1" applyProtection="1"/>
    <xf numFmtId="166" fontId="4" fillId="0" borderId="8" xfId="1" applyFont="1" applyBorder="1" applyAlignment="1" applyProtection="1"/>
    <xf numFmtId="10" fontId="4" fillId="0" borderId="8" xfId="2" applyNumberFormat="1" applyFont="1" applyBorder="1" applyProtection="1"/>
    <xf numFmtId="0" fontId="4" fillId="2" borderId="7" xfId="0" applyFont="1" applyFill="1" applyBorder="1" applyAlignment="1" applyProtection="1">
      <alignment horizontal="center"/>
    </xf>
    <xf numFmtId="0" fontId="4" fillId="0" borderId="9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167" fontId="4" fillId="0" borderId="11" xfId="0" applyNumberFormat="1" applyFont="1" applyBorder="1" applyAlignment="1" applyProtection="1">
      <alignment horizontal="right"/>
    </xf>
    <xf numFmtId="0" fontId="4" fillId="2" borderId="12" xfId="0" applyFont="1" applyFill="1" applyBorder="1" applyAlignment="1" applyProtection="1">
      <alignment horizontal="center"/>
    </xf>
    <xf numFmtId="166" fontId="4" fillId="0" borderId="2" xfId="1" applyFont="1" applyBorder="1" applyAlignment="1" applyProtection="1">
      <alignment horizontal="right"/>
    </xf>
    <xf numFmtId="9" fontId="4" fillId="0" borderId="2" xfId="2" applyFont="1" applyBorder="1" applyAlignment="1" applyProtection="1">
      <alignment horizontal="right"/>
    </xf>
    <xf numFmtId="166" fontId="4" fillId="0" borderId="6" xfId="1" applyFont="1" applyBorder="1" applyAlignment="1" applyProtection="1">
      <alignment horizontal="right"/>
    </xf>
    <xf numFmtId="9" fontId="4" fillId="0" borderId="6" xfId="2" applyFont="1" applyBorder="1" applyAlignment="1" applyProtection="1">
      <alignment horizontal="right"/>
    </xf>
    <xf numFmtId="9" fontId="4" fillId="0" borderId="6" xfId="0" applyNumberFormat="1" applyFont="1" applyBorder="1" applyAlignment="1" applyProtection="1">
      <alignment horizontal="right"/>
    </xf>
    <xf numFmtId="0" fontId="4" fillId="2" borderId="4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right"/>
    </xf>
    <xf numFmtId="0" fontId="4" fillId="0" borderId="12" xfId="0" applyFont="1" applyBorder="1" applyAlignment="1" applyProtection="1"/>
    <xf numFmtId="0" fontId="4" fillId="0" borderId="13" xfId="0" applyFont="1" applyBorder="1" applyAlignment="1" applyProtection="1">
      <alignment horizontal="left"/>
    </xf>
    <xf numFmtId="167" fontId="4" fillId="0" borderId="13" xfId="0" applyNumberFormat="1" applyFont="1" applyBorder="1" applyAlignment="1" applyProtection="1">
      <alignment horizontal="right"/>
    </xf>
    <xf numFmtId="0" fontId="4" fillId="2" borderId="11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13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right"/>
    </xf>
    <xf numFmtId="0" fontId="4" fillId="2" borderId="1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/>
    </xf>
    <xf numFmtId="0" fontId="4" fillId="0" borderId="12" xfId="0" applyFont="1" applyBorder="1" applyAlignment="1" applyProtection="1">
      <alignment horizontal="left"/>
    </xf>
    <xf numFmtId="0" fontId="4" fillId="0" borderId="15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9" fontId="4" fillId="0" borderId="3" xfId="0" applyNumberFormat="1" applyFont="1" applyBorder="1" applyAlignment="1" applyProtection="1">
      <alignment horizontal="right"/>
    </xf>
    <xf numFmtId="168" fontId="4" fillId="0" borderId="11" xfId="0" applyNumberFormat="1" applyFont="1" applyBorder="1" applyAlignment="1" applyProtection="1">
      <alignment horizontal="right"/>
    </xf>
    <xf numFmtId="0" fontId="4" fillId="2" borderId="11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center"/>
    </xf>
    <xf numFmtId="167" fontId="4" fillId="0" borderId="12" xfId="0" applyNumberFormat="1" applyFont="1" applyBorder="1" applyAlignment="1" applyProtection="1">
      <alignment horizontal="right"/>
    </xf>
    <xf numFmtId="167" fontId="4" fillId="0" borderId="15" xfId="0" applyNumberFormat="1" applyFont="1" applyBorder="1" applyAlignment="1" applyProtection="1">
      <alignment horizontal="right"/>
    </xf>
    <xf numFmtId="0" fontId="28" fillId="0" borderId="17" xfId="0" applyFont="1" applyBorder="1" applyAlignment="1" applyProtection="1">
      <alignment horizontal="left"/>
    </xf>
    <xf numFmtId="0" fontId="16" fillId="0" borderId="17" xfId="0" applyFont="1" applyBorder="1" applyAlignment="1" applyProtection="1">
      <protection hidden="1"/>
    </xf>
    <xf numFmtId="0" fontId="28" fillId="0" borderId="0" xfId="0" applyFont="1" applyAlignment="1" applyProtection="1">
      <alignment horizontal="left"/>
    </xf>
    <xf numFmtId="4" fontId="4" fillId="0" borderId="2" xfId="0" applyNumberFormat="1" applyFont="1" applyBorder="1" applyAlignment="1" applyProtection="1"/>
    <xf numFmtId="4" fontId="4" fillId="0" borderId="8" xfId="0" applyNumberFormat="1" applyFont="1" applyBorder="1" applyAlignment="1" applyProtection="1"/>
    <xf numFmtId="0" fontId="4" fillId="0" borderId="18" xfId="0" applyFont="1" applyBorder="1" applyAlignment="1" applyProtection="1">
      <alignment horizontal="center"/>
    </xf>
    <xf numFmtId="0" fontId="4" fillId="0" borderId="25" xfId="0" applyFont="1" applyBorder="1" applyAlignment="1" applyProtection="1">
      <alignment horizontal="center"/>
    </xf>
    <xf numFmtId="166" fontId="39" fillId="0" borderId="0" xfId="1"/>
    <xf numFmtId="164" fontId="4" fillId="0" borderId="0" xfId="0" applyNumberFormat="1" applyFont="1" applyAlignment="1" applyProtection="1"/>
    <xf numFmtId="167" fontId="4" fillId="0" borderId="6" xfId="0" applyNumberFormat="1" applyFont="1" applyBorder="1" applyAlignment="1" applyProtection="1"/>
    <xf numFmtId="0" fontId="4" fillId="0" borderId="11" xfId="0" applyFont="1" applyBorder="1" applyAlignment="1" applyProtection="1">
      <alignment horizontal="left"/>
    </xf>
    <xf numFmtId="0" fontId="4" fillId="0" borderId="14" xfId="0" applyFont="1" applyBorder="1" applyAlignment="1" applyProtection="1">
      <alignment horizontal="left"/>
    </xf>
    <xf numFmtId="167" fontId="4" fillId="0" borderId="14" xfId="0" applyNumberFormat="1" applyFont="1" applyBorder="1" applyAlignment="1" applyProtection="1">
      <alignment horizontal="right"/>
    </xf>
    <xf numFmtId="167" fontId="4" fillId="0" borderId="10" xfId="0" applyNumberFormat="1" applyFont="1" applyBorder="1" applyAlignment="1" applyProtection="1">
      <alignment horizontal="right"/>
    </xf>
    <xf numFmtId="0" fontId="15" fillId="0" borderId="20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164" fontId="16" fillId="0" borderId="0" xfId="0" applyNumberFormat="1" applyFont="1" applyAlignment="1" applyProtection="1"/>
    <xf numFmtId="166" fontId="39" fillId="0" borderId="20" xfId="1" applyBorder="1" applyProtection="1"/>
    <xf numFmtId="0" fontId="15" fillId="0" borderId="16" xfId="0" applyFont="1" applyBorder="1" applyAlignment="1" applyProtection="1">
      <alignment horizontal="right"/>
    </xf>
    <xf numFmtId="0" fontId="15" fillId="0" borderId="16" xfId="0" applyFont="1" applyBorder="1" applyAlignment="1" applyProtection="1"/>
    <xf numFmtId="171" fontId="15" fillId="0" borderId="16" xfId="1" applyNumberFormat="1" applyFont="1" applyBorder="1" applyAlignment="1" applyProtection="1"/>
    <xf numFmtId="0" fontId="52" fillId="0" borderId="0" xfId="0" applyFont="1" applyBorder="1"/>
    <xf numFmtId="166" fontId="52" fillId="0" borderId="0" xfId="1" applyFont="1" applyBorder="1"/>
    <xf numFmtId="0" fontId="10" fillId="0" borderId="0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left"/>
    </xf>
    <xf numFmtId="166" fontId="5" fillId="0" borderId="0" xfId="1" applyFont="1" applyBorder="1" applyProtection="1"/>
    <xf numFmtId="172" fontId="11" fillId="0" borderId="0" xfId="0" applyNumberFormat="1" applyFont="1" applyBorder="1" applyAlignment="1" applyProtection="1">
      <alignment horizontal="right"/>
    </xf>
    <xf numFmtId="4" fontId="8" fillId="0" borderId="22" xfId="0" applyNumberFormat="1" applyFont="1" applyBorder="1" applyAlignment="1" applyProtection="1">
      <alignment horizontal="left"/>
    </xf>
    <xf numFmtId="166" fontId="2" fillId="0" borderId="22" xfId="1" applyFont="1" applyBorder="1" applyProtection="1"/>
    <xf numFmtId="164" fontId="2" fillId="0" borderId="22" xfId="0" applyNumberFormat="1" applyFont="1" applyBorder="1" applyAlignment="1" applyProtection="1"/>
    <xf numFmtId="0" fontId="2" fillId="0" borderId="0" xfId="0" applyFont="1" applyBorder="1" applyAlignment="1" applyProtection="1">
      <alignment horizontal="right"/>
    </xf>
    <xf numFmtId="4" fontId="41" fillId="0" borderId="18" xfId="0" applyNumberFormat="1" applyFont="1" applyBorder="1" applyAlignment="1" applyProtection="1">
      <alignment horizontal="center"/>
    </xf>
    <xf numFmtId="4" fontId="41" fillId="0" borderId="25" xfId="0" applyNumberFormat="1" applyFont="1" applyBorder="1" applyAlignment="1" applyProtection="1"/>
    <xf numFmtId="166" fontId="4" fillId="0" borderId="25" xfId="1" applyFont="1" applyBorder="1" applyProtection="1"/>
    <xf numFmtId="164" fontId="2" fillId="0" borderId="25" xfId="0" applyNumberFormat="1" applyFont="1" applyBorder="1" applyAlignment="1" applyProtection="1"/>
    <xf numFmtId="166" fontId="2" fillId="0" borderId="25" xfId="0" applyNumberFormat="1" applyFont="1" applyBorder="1" applyAlignment="1" applyProtection="1"/>
    <xf numFmtId="166" fontId="16" fillId="0" borderId="0" xfId="0" applyNumberFormat="1" applyFont="1" applyAlignment="1" applyProtection="1">
      <alignment horizontal="right"/>
    </xf>
    <xf numFmtId="166" fontId="3" fillId="0" borderId="0" xfId="0" applyNumberFormat="1" applyFont="1"/>
    <xf numFmtId="10" fontId="2" fillId="0" borderId="0" xfId="0" applyNumberFormat="1" applyFont="1"/>
    <xf numFmtId="166" fontId="2" fillId="0" borderId="0" xfId="0" applyNumberFormat="1" applyFont="1"/>
    <xf numFmtId="0" fontId="3" fillId="0" borderId="0" xfId="0" applyFont="1"/>
    <xf numFmtId="166" fontId="41" fillId="0" borderId="20" xfId="1" applyFont="1" applyBorder="1" applyProtection="1"/>
    <xf numFmtId="0" fontId="2" fillId="0" borderId="20" xfId="0" applyFont="1" applyBorder="1" applyAlignment="1" applyProtection="1">
      <alignment horizontal="center"/>
    </xf>
    <xf numFmtId="0" fontId="50" fillId="0" borderId="20" xfId="0" applyFont="1" applyBorder="1" applyAlignment="1" applyProtection="1"/>
    <xf numFmtId="0" fontId="57" fillId="0" borderId="36" xfId="0" applyFont="1" applyBorder="1" applyAlignment="1">
      <alignment horizontal="left" vertical="center"/>
    </xf>
    <xf numFmtId="167" fontId="22" fillId="0" borderId="8" xfId="0" applyNumberFormat="1" applyFont="1" applyBorder="1" applyAlignment="1" applyProtection="1">
      <alignment horizontal="right"/>
    </xf>
    <xf numFmtId="0" fontId="59" fillId="0" borderId="0" xfId="0" applyFont="1"/>
    <xf numFmtId="166" fontId="59" fillId="0" borderId="0" xfId="1" applyFont="1"/>
    <xf numFmtId="0" fontId="60" fillId="0" borderId="36" xfId="0" applyFont="1" applyBorder="1" applyAlignment="1">
      <alignment horizontal="justify" vertical="center"/>
    </xf>
    <xf numFmtId="0" fontId="56" fillId="0" borderId="46" xfId="0" applyFont="1" applyBorder="1" applyAlignment="1">
      <alignment horizontal="left" vertical="center" wrapText="1"/>
    </xf>
    <xf numFmtId="0" fontId="56" fillId="0" borderId="41" xfId="0" applyFont="1" applyBorder="1" applyAlignment="1">
      <alignment horizontal="left" vertical="center" wrapText="1"/>
    </xf>
    <xf numFmtId="0" fontId="56" fillId="6" borderId="36" xfId="0" applyFont="1" applyFill="1" applyBorder="1" applyAlignment="1">
      <alignment horizontal="left" vertical="center" wrapText="1"/>
    </xf>
    <xf numFmtId="0" fontId="56" fillId="0" borderId="36" xfId="0" applyFont="1" applyBorder="1" applyAlignment="1">
      <alignment horizontal="left" vertical="center"/>
    </xf>
    <xf numFmtId="0" fontId="41" fillId="0" borderId="0" xfId="0" applyFont="1" applyAlignment="1" applyProtection="1"/>
    <xf numFmtId="166" fontId="41" fillId="0" borderId="0" xfId="1" applyFont="1" applyProtection="1"/>
    <xf numFmtId="0" fontId="59" fillId="0" borderId="0" xfId="0" applyFont="1" applyAlignment="1" applyProtection="1"/>
    <xf numFmtId="10" fontId="2" fillId="0" borderId="0" xfId="2" applyNumberFormat="1" applyFont="1" applyProtection="1"/>
    <xf numFmtId="166" fontId="39" fillId="0" borderId="0" xfId="1" applyBorder="1" applyProtection="1"/>
    <xf numFmtId="0" fontId="57" fillId="0" borderId="0" xfId="0" applyFont="1" applyAlignment="1">
      <alignment horizontal="left"/>
    </xf>
    <xf numFmtId="0" fontId="56" fillId="5" borderId="36" xfId="0" applyFont="1" applyFill="1" applyBorder="1" applyAlignment="1">
      <alignment horizontal="center" vertical="center" wrapText="1"/>
    </xf>
    <xf numFmtId="0" fontId="56" fillId="5" borderId="41" xfId="0" applyFont="1" applyFill="1" applyBorder="1" applyAlignment="1">
      <alignment horizontal="center" vertical="center" wrapText="1"/>
    </xf>
    <xf numFmtId="0" fontId="56" fillId="5" borderId="36" xfId="0" applyFont="1" applyFill="1" applyBorder="1" applyAlignment="1">
      <alignment horizontal="center" vertical="center"/>
    </xf>
    <xf numFmtId="0" fontId="57" fillId="0" borderId="46" xfId="0" applyFont="1" applyBorder="1" applyAlignment="1">
      <alignment horizontal="right" vertical="center"/>
    </xf>
    <xf numFmtId="0" fontId="57" fillId="0" borderId="47" xfId="0" applyFont="1" applyBorder="1" applyAlignment="1">
      <alignment horizontal="right" vertical="center"/>
    </xf>
    <xf numFmtId="0" fontId="57" fillId="0" borderId="41" xfId="0" applyFont="1" applyBorder="1" applyAlignment="1">
      <alignment horizontal="right" vertical="center"/>
    </xf>
    <xf numFmtId="0" fontId="57" fillId="0" borderId="43" xfId="0" applyFont="1" applyBorder="1" applyAlignment="1">
      <alignment horizontal="right" vertical="center"/>
    </xf>
    <xf numFmtId="4" fontId="57" fillId="0" borderId="41" xfId="0" applyNumberFormat="1" applyFont="1" applyBorder="1" applyAlignment="1">
      <alignment horizontal="right" vertical="center"/>
    </xf>
    <xf numFmtId="4" fontId="57" fillId="0" borderId="46" xfId="0" applyNumberFormat="1" applyFont="1" applyBorder="1" applyAlignment="1">
      <alignment horizontal="right" vertical="center"/>
    </xf>
    <xf numFmtId="0" fontId="57" fillId="0" borderId="44" xfId="0" applyFont="1" applyBorder="1" applyAlignment="1">
      <alignment horizontal="right" vertical="center"/>
    </xf>
    <xf numFmtId="0" fontId="57" fillId="0" borderId="37" xfId="0" applyFont="1" applyBorder="1" applyAlignment="1">
      <alignment horizontal="right" vertical="center"/>
    </xf>
    <xf numFmtId="4" fontId="57" fillId="0" borderId="44" xfId="0" applyNumberFormat="1" applyFont="1" applyBorder="1" applyAlignment="1">
      <alignment horizontal="right" vertical="center"/>
    </xf>
    <xf numFmtId="0" fontId="57" fillId="0" borderId="46" xfId="0" applyFont="1" applyBorder="1" applyAlignment="1">
      <alignment horizontal="left" vertical="center" wrapText="1"/>
    </xf>
    <xf numFmtId="0" fontId="57" fillId="0" borderId="41" xfId="0" applyFont="1" applyBorder="1" applyAlignment="1">
      <alignment horizontal="left" vertical="center" wrapText="1"/>
    </xf>
    <xf numFmtId="0" fontId="53" fillId="0" borderId="0" xfId="0" applyFont="1" applyAlignment="1">
      <alignment horizontal="right" vertical="top"/>
    </xf>
    <xf numFmtId="0" fontId="57" fillId="0" borderId="44" xfId="0" applyFont="1" applyBorder="1" applyAlignment="1">
      <alignment horizontal="left" vertical="center" wrapText="1"/>
    </xf>
    <xf numFmtId="0" fontId="57" fillId="0" borderId="36" xfId="0" applyFont="1" applyBorder="1" applyAlignment="1">
      <alignment horizontal="right" vertical="center"/>
    </xf>
    <xf numFmtId="0" fontId="57" fillId="5" borderId="36" xfId="0" applyFont="1" applyFill="1" applyBorder="1" applyAlignment="1">
      <alignment horizontal="right" vertical="center"/>
    </xf>
    <xf numFmtId="0" fontId="57" fillId="0" borderId="46" xfId="0" applyFont="1" applyBorder="1" applyAlignment="1">
      <alignment horizontal="left" vertical="center"/>
    </xf>
    <xf numFmtId="0" fontId="57" fillId="0" borderId="41" xfId="0" applyFont="1" applyBorder="1" applyAlignment="1">
      <alignment horizontal="left" vertical="center"/>
    </xf>
    <xf numFmtId="0" fontId="57" fillId="0" borderId="44" xfId="0" applyFont="1" applyBorder="1" applyAlignment="1">
      <alignment horizontal="left" vertical="center"/>
    </xf>
    <xf numFmtId="4" fontId="56" fillId="6" borderId="36" xfId="0" applyNumberFormat="1" applyFont="1" applyFill="1" applyBorder="1" applyAlignment="1">
      <alignment horizontal="right" vertical="center"/>
    </xf>
    <xf numFmtId="4" fontId="56" fillId="0" borderId="46" xfId="0" applyNumberFormat="1" applyFont="1" applyBorder="1" applyAlignment="1">
      <alignment horizontal="right" vertical="center"/>
    </xf>
    <xf numFmtId="4" fontId="56" fillId="0" borderId="44" xfId="0" applyNumberFormat="1" applyFont="1" applyBorder="1" applyAlignment="1">
      <alignment horizontal="right" vertical="center"/>
    </xf>
    <xf numFmtId="0" fontId="56" fillId="6" borderId="36" xfId="0" applyFont="1" applyFill="1" applyBorder="1" applyAlignment="1">
      <alignment horizontal="right" vertical="center"/>
    </xf>
    <xf numFmtId="0" fontId="56" fillId="6" borderId="36" xfId="0" applyFont="1" applyFill="1" applyBorder="1" applyAlignment="1">
      <alignment horizontal="left" vertical="center"/>
    </xf>
    <xf numFmtId="0" fontId="63" fillId="0" borderId="41" xfId="0" applyFont="1" applyBorder="1" applyAlignment="1">
      <alignment horizontal="left" vertical="center"/>
    </xf>
    <xf numFmtId="0" fontId="63" fillId="0" borderId="46" xfId="0" applyFont="1" applyBorder="1" applyAlignment="1">
      <alignment horizontal="left" vertical="center"/>
    </xf>
    <xf numFmtId="0" fontId="56" fillId="5" borderId="36" xfId="0" applyFont="1" applyFill="1" applyBorder="1" applyAlignment="1">
      <alignment horizontal="left" vertical="center"/>
    </xf>
    <xf numFmtId="0" fontId="56" fillId="0" borderId="44" xfId="0" applyFont="1" applyBorder="1" applyAlignment="1">
      <alignment horizontal="left" vertical="center"/>
    </xf>
    <xf numFmtId="0" fontId="56" fillId="0" borderId="46" xfId="0" applyFont="1" applyBorder="1" applyAlignment="1">
      <alignment horizontal="left" vertical="center"/>
    </xf>
    <xf numFmtId="0" fontId="56" fillId="0" borderId="36" xfId="0" applyFont="1" applyBorder="1" applyAlignment="1">
      <alignment horizontal="right" vertical="center"/>
    </xf>
    <xf numFmtId="0" fontId="56" fillId="5" borderId="44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right" vertical="top"/>
    </xf>
    <xf numFmtId="0" fontId="70" fillId="5" borderId="36" xfId="0" applyFont="1" applyFill="1" applyBorder="1" applyAlignment="1">
      <alignment horizontal="center" vertical="center" wrapText="1"/>
    </xf>
    <xf numFmtId="0" fontId="71" fillId="0" borderId="44" xfId="0" applyFont="1" applyBorder="1" applyAlignment="1">
      <alignment horizontal="left" vertical="center"/>
    </xf>
    <xf numFmtId="0" fontId="71" fillId="0" borderId="44" xfId="0" applyFont="1" applyBorder="1" applyAlignment="1">
      <alignment horizontal="right" vertical="center"/>
    </xf>
    <xf numFmtId="0" fontId="71" fillId="0" borderId="46" xfId="0" applyFont="1" applyBorder="1" applyAlignment="1">
      <alignment horizontal="left" vertical="center"/>
    </xf>
    <xf numFmtId="0" fontId="71" fillId="0" borderId="46" xfId="0" applyFont="1" applyBorder="1" applyAlignment="1">
      <alignment horizontal="right" vertical="center"/>
    </xf>
    <xf numFmtId="0" fontId="71" fillId="0" borderId="41" xfId="0" applyFont="1" applyBorder="1" applyAlignment="1">
      <alignment horizontal="left" vertical="center"/>
    </xf>
    <xf numFmtId="0" fontId="71" fillId="0" borderId="41" xfId="0" applyFont="1" applyBorder="1" applyAlignment="1">
      <alignment horizontal="right" vertical="center"/>
    </xf>
    <xf numFmtId="4" fontId="71" fillId="0" borderId="44" xfId="0" applyNumberFormat="1" applyFont="1" applyBorder="1" applyAlignment="1">
      <alignment horizontal="right" vertical="center"/>
    </xf>
    <xf numFmtId="0" fontId="72" fillId="0" borderId="40" xfId="0" applyFont="1" applyBorder="1" applyAlignment="1">
      <alignment horizontal="left" vertical="top"/>
    </xf>
    <xf numFmtId="4" fontId="71" fillId="0" borderId="46" xfId="0" applyNumberFormat="1" applyFont="1" applyBorder="1" applyAlignment="1">
      <alignment horizontal="right" vertical="center"/>
    </xf>
    <xf numFmtId="4" fontId="71" fillId="0" borderId="41" xfId="0" applyNumberFormat="1" applyFont="1" applyBorder="1" applyAlignment="1">
      <alignment horizontal="right" vertical="center"/>
    </xf>
    <xf numFmtId="0" fontId="73" fillId="0" borderId="36" xfId="0" applyFont="1" applyBorder="1" applyAlignment="1">
      <alignment horizontal="left" vertical="center"/>
    </xf>
    <xf numFmtId="4" fontId="71" fillId="0" borderId="36" xfId="0" applyNumberFormat="1" applyFont="1" applyBorder="1" applyAlignment="1">
      <alignment horizontal="right" vertical="center"/>
    </xf>
    <xf numFmtId="0" fontId="73" fillId="6" borderId="36" xfId="0" applyFont="1" applyFill="1" applyBorder="1" applyAlignment="1">
      <alignment horizontal="left" vertical="center"/>
    </xf>
    <xf numFmtId="4" fontId="71" fillId="6" borderId="36" xfId="0" applyNumberFormat="1" applyFont="1" applyFill="1" applyBorder="1" applyAlignment="1">
      <alignment horizontal="right" vertical="center"/>
    </xf>
    <xf numFmtId="0" fontId="71" fillId="0" borderId="36" xfId="0" applyFont="1" applyBorder="1" applyAlignment="1">
      <alignment horizontal="left" vertical="center"/>
    </xf>
    <xf numFmtId="0" fontId="40" fillId="0" borderId="35" xfId="0" applyFont="1" applyBorder="1" applyAlignment="1">
      <alignment horizontal="left" vertical="top"/>
    </xf>
    <xf numFmtId="0" fontId="40" fillId="0" borderId="40" xfId="0" applyFont="1" applyBorder="1" applyAlignment="1">
      <alignment horizontal="left" vertical="top"/>
    </xf>
    <xf numFmtId="166" fontId="19" fillId="0" borderId="20" xfId="1" applyFont="1" applyBorder="1" applyProtection="1"/>
    <xf numFmtId="166" fontId="19" fillId="0" borderId="21" xfId="1" applyFont="1" applyBorder="1" applyProtection="1"/>
    <xf numFmtId="0" fontId="40" fillId="0" borderId="0" xfId="0" applyFont="1" applyAlignment="1">
      <alignment horizontal="left" vertical="top"/>
    </xf>
    <xf numFmtId="43" fontId="2" fillId="0" borderId="0" xfId="0" applyNumberFormat="1" applyFont="1" applyAlignment="1" applyProtection="1"/>
    <xf numFmtId="0" fontId="49" fillId="0" borderId="0" xfId="0" applyFont="1" applyBorder="1" applyAlignment="1" applyProtection="1">
      <alignment horizontal="right"/>
    </xf>
    <xf numFmtId="4" fontId="41" fillId="0" borderId="0" xfId="0" applyNumberFormat="1" applyFont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0" fontId="4" fillId="2" borderId="10" xfId="0" applyFont="1" applyFill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 wrapText="1"/>
    </xf>
    <xf numFmtId="0" fontId="4" fillId="0" borderId="11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wrapText="1"/>
    </xf>
    <xf numFmtId="0" fontId="3" fillId="3" borderId="18" xfId="0" applyFont="1" applyFill="1" applyBorder="1" applyAlignment="1" applyProtection="1">
      <alignment horizontal="center"/>
    </xf>
    <xf numFmtId="0" fontId="71" fillId="0" borderId="41" xfId="0" applyFont="1" applyBorder="1" applyAlignment="1">
      <alignment horizontal="right" vertical="center"/>
    </xf>
    <xf numFmtId="0" fontId="71" fillId="0" borderId="43" xfId="0" applyFont="1" applyBorder="1" applyAlignment="1">
      <alignment horizontal="right" vertical="center"/>
    </xf>
    <xf numFmtId="0" fontId="71" fillId="0" borderId="35" xfId="0" applyFont="1" applyBorder="1" applyAlignment="1">
      <alignment horizontal="right" vertical="center"/>
    </xf>
    <xf numFmtId="4" fontId="71" fillId="0" borderId="36" xfId="0" applyNumberFormat="1" applyFont="1" applyBorder="1" applyAlignment="1">
      <alignment horizontal="right" vertical="center"/>
    </xf>
    <xf numFmtId="4" fontId="71" fillId="0" borderId="39" xfId="0" applyNumberFormat="1" applyFont="1" applyBorder="1" applyAlignment="1">
      <alignment horizontal="right" vertical="center"/>
    </xf>
    <xf numFmtId="4" fontId="71" fillId="0" borderId="38" xfId="0" applyNumberFormat="1" applyFont="1" applyBorder="1" applyAlignment="1">
      <alignment horizontal="right" vertical="center"/>
    </xf>
    <xf numFmtId="0" fontId="69" fillId="5" borderId="36" xfId="0" applyFont="1" applyFill="1" applyBorder="1" applyAlignment="1">
      <alignment horizontal="center" vertical="center"/>
    </xf>
    <xf numFmtId="0" fontId="69" fillId="5" borderId="41" xfId="0" applyFont="1" applyFill="1" applyBorder="1" applyAlignment="1">
      <alignment horizontal="center" vertical="center"/>
    </xf>
    <xf numFmtId="0" fontId="70" fillId="5" borderId="36" xfId="0" applyFont="1" applyFill="1" applyBorder="1" applyAlignment="1">
      <alignment horizontal="center" vertical="center" wrapText="1"/>
    </xf>
    <xf numFmtId="0" fontId="70" fillId="5" borderId="37" xfId="0" applyFont="1" applyFill="1" applyBorder="1" applyAlignment="1">
      <alignment horizontal="center" vertical="center" wrapText="1"/>
    </xf>
    <xf numFmtId="0" fontId="70" fillId="5" borderId="42" xfId="0" applyFont="1" applyFill="1" applyBorder="1" applyAlignment="1">
      <alignment horizontal="center" vertical="center" wrapText="1"/>
    </xf>
    <xf numFmtId="0" fontId="70" fillId="5" borderId="43" xfId="0" applyFont="1" applyFill="1" applyBorder="1" applyAlignment="1">
      <alignment horizontal="center" vertical="center" wrapText="1"/>
    </xf>
    <xf numFmtId="0" fontId="70" fillId="5" borderId="41" xfId="0" applyFont="1" applyFill="1" applyBorder="1" applyAlignment="1">
      <alignment horizontal="center" vertical="center" wrapText="1"/>
    </xf>
    <xf numFmtId="0" fontId="70" fillId="5" borderId="36" xfId="0" applyFont="1" applyFill="1" applyBorder="1" applyAlignment="1">
      <alignment horizontal="center" vertical="center"/>
    </xf>
    <xf numFmtId="0" fontId="70" fillId="5" borderId="38" xfId="0" applyFont="1" applyFill="1" applyBorder="1" applyAlignment="1">
      <alignment horizontal="center" vertical="center"/>
    </xf>
    <xf numFmtId="0" fontId="70" fillId="5" borderId="39" xfId="0" applyFont="1" applyFill="1" applyBorder="1" applyAlignment="1">
      <alignment horizontal="center" vertical="center"/>
    </xf>
    <xf numFmtId="0" fontId="70" fillId="5" borderId="45" xfId="0" applyFont="1" applyFill="1" applyBorder="1" applyAlignment="1">
      <alignment horizontal="center" vertical="center" wrapText="1"/>
    </xf>
    <xf numFmtId="0" fontId="70" fillId="5" borderId="35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left"/>
    </xf>
    <xf numFmtId="0" fontId="66" fillId="0" borderId="0" xfId="0" applyFont="1" applyAlignment="1">
      <alignment horizontal="left" vertical="top"/>
    </xf>
    <xf numFmtId="0" fontId="66" fillId="0" borderId="35" xfId="0" applyFont="1" applyBorder="1" applyAlignment="1">
      <alignment horizontal="left" vertical="top"/>
    </xf>
    <xf numFmtId="0" fontId="67" fillId="0" borderId="35" xfId="0" applyFont="1" applyBorder="1" applyAlignment="1">
      <alignment horizontal="right" vertical="top" wrapText="1"/>
    </xf>
    <xf numFmtId="0" fontId="71" fillId="0" borderId="46" xfId="0" applyFont="1" applyBorder="1" applyAlignment="1">
      <alignment horizontal="right" vertical="center"/>
    </xf>
    <xf numFmtId="0" fontId="71" fillId="0" borderId="0" xfId="0" applyFont="1" applyAlignment="1">
      <alignment horizontal="right" vertical="center"/>
    </xf>
    <xf numFmtId="0" fontId="71" fillId="0" borderId="47" xfId="0" applyFont="1" applyBorder="1" applyAlignment="1">
      <alignment horizontal="right" vertical="center"/>
    </xf>
    <xf numFmtId="0" fontId="71" fillId="0" borderId="45" xfId="0" applyFont="1" applyBorder="1" applyAlignment="1">
      <alignment horizontal="left"/>
    </xf>
    <xf numFmtId="4" fontId="71" fillId="0" borderId="41" xfId="0" applyNumberFormat="1" applyFont="1" applyBorder="1" applyAlignment="1">
      <alignment horizontal="right" vertical="center"/>
    </xf>
    <xf numFmtId="4" fontId="71" fillId="0" borderId="43" xfId="0" applyNumberFormat="1" applyFont="1" applyBorder="1" applyAlignment="1">
      <alignment horizontal="right" vertical="center"/>
    </xf>
    <xf numFmtId="4" fontId="71" fillId="6" borderId="36" xfId="0" applyNumberFormat="1" applyFont="1" applyFill="1" applyBorder="1" applyAlignment="1">
      <alignment horizontal="right" vertical="center"/>
    </xf>
    <xf numFmtId="4" fontId="71" fillId="6" borderId="39" xfId="0" applyNumberFormat="1" applyFont="1" applyFill="1" applyBorder="1" applyAlignment="1">
      <alignment horizontal="right" vertical="center"/>
    </xf>
    <xf numFmtId="4" fontId="71" fillId="6" borderId="38" xfId="0" applyNumberFormat="1" applyFont="1" applyFill="1" applyBorder="1" applyAlignment="1">
      <alignment horizontal="right" vertical="center"/>
    </xf>
    <xf numFmtId="4" fontId="71" fillId="0" borderId="46" xfId="0" applyNumberFormat="1" applyFont="1" applyBorder="1" applyAlignment="1">
      <alignment horizontal="right" vertical="center"/>
    </xf>
    <xf numFmtId="4" fontId="71" fillId="0" borderId="47" xfId="0" applyNumberFormat="1" applyFont="1" applyBorder="1" applyAlignment="1">
      <alignment horizontal="right" vertical="center"/>
    </xf>
    <xf numFmtId="0" fontId="70" fillId="5" borderId="38" xfId="0" applyFont="1" applyFill="1" applyBorder="1" applyAlignment="1">
      <alignment horizontal="center" vertical="center" wrapText="1"/>
    </xf>
    <xf numFmtId="0" fontId="70" fillId="5" borderId="39" xfId="0" applyFont="1" applyFill="1" applyBorder="1" applyAlignment="1">
      <alignment horizontal="center" vertical="center" wrapText="1"/>
    </xf>
    <xf numFmtId="0" fontId="71" fillId="0" borderId="44" xfId="0" applyFont="1" applyBorder="1" applyAlignment="1">
      <alignment horizontal="right" vertical="center"/>
    </xf>
    <xf numFmtId="0" fontId="71" fillId="0" borderId="37" xfId="0" applyFont="1" applyBorder="1" applyAlignment="1">
      <alignment horizontal="right" vertical="center"/>
    </xf>
    <xf numFmtId="0" fontId="71" fillId="0" borderId="45" xfId="0" applyFont="1" applyBorder="1" applyAlignment="1">
      <alignment horizontal="right" vertical="center"/>
    </xf>
    <xf numFmtId="0" fontId="74" fillId="0" borderId="0" xfId="0" applyFont="1" applyAlignment="1">
      <alignment horizontal="left" vertical="center" wrapText="1"/>
    </xf>
    <xf numFmtId="4" fontId="71" fillId="0" borderId="44" xfId="0" applyNumberFormat="1" applyFont="1" applyBorder="1" applyAlignment="1">
      <alignment horizontal="right" vertical="center"/>
    </xf>
    <xf numFmtId="4" fontId="71" fillId="0" borderId="37" xfId="0" applyNumberFormat="1" applyFont="1" applyBorder="1" applyAlignment="1">
      <alignment horizontal="right" vertical="center"/>
    </xf>
    <xf numFmtId="0" fontId="68" fillId="0" borderId="0" xfId="0" applyFont="1" applyAlignment="1">
      <alignment horizontal="left" vertical="top"/>
    </xf>
    <xf numFmtId="4" fontId="71" fillId="0" borderId="0" xfId="0" applyNumberFormat="1" applyFont="1" applyAlignment="1">
      <alignment horizontal="right" vertical="center"/>
    </xf>
    <xf numFmtId="4" fontId="71" fillId="0" borderId="45" xfId="0" applyNumberFormat="1" applyFont="1" applyBorder="1" applyAlignment="1">
      <alignment horizontal="right" vertical="center"/>
    </xf>
    <xf numFmtId="4" fontId="71" fillId="0" borderId="35" xfId="0" applyNumberFormat="1" applyFont="1" applyBorder="1" applyAlignment="1">
      <alignment horizontal="right" vertical="center"/>
    </xf>
    <xf numFmtId="0" fontId="67" fillId="0" borderId="0" xfId="0" applyFont="1" applyAlignment="1">
      <alignment horizontal="right" vertical="top" wrapText="1"/>
    </xf>
    <xf numFmtId="0" fontId="57" fillId="0" borderId="0" xfId="0" applyFont="1" applyAlignment="1">
      <alignment horizontal="left"/>
    </xf>
    <xf numFmtId="0" fontId="40" fillId="0" borderId="0" xfId="0" applyFont="1" applyAlignment="1">
      <alignment horizontal="left" vertical="top"/>
    </xf>
    <xf numFmtId="0" fontId="53" fillId="0" borderId="0" xfId="0" applyFont="1" applyAlignment="1">
      <alignment horizontal="right" vertical="top"/>
    </xf>
    <xf numFmtId="0" fontId="56" fillId="5" borderId="36" xfId="0" applyFont="1" applyFill="1" applyBorder="1" applyAlignment="1">
      <alignment horizontal="center" vertical="center"/>
    </xf>
    <xf numFmtId="0" fontId="56" fillId="5" borderId="39" xfId="0" applyFont="1" applyFill="1" applyBorder="1" applyAlignment="1">
      <alignment horizontal="center" vertical="center"/>
    </xf>
    <xf numFmtId="0" fontId="57" fillId="5" borderId="36" xfId="0" applyFont="1" applyFill="1" applyBorder="1" applyAlignment="1">
      <alignment horizontal="center" vertical="center"/>
    </xf>
    <xf numFmtId="0" fontId="57" fillId="5" borderId="38" xfId="0" applyFont="1" applyFill="1" applyBorder="1" applyAlignment="1">
      <alignment horizontal="center" vertical="center"/>
    </xf>
    <xf numFmtId="0" fontId="57" fillId="5" borderId="39" xfId="0" applyFont="1" applyFill="1" applyBorder="1" applyAlignment="1">
      <alignment horizontal="center" vertical="center"/>
    </xf>
    <xf numFmtId="0" fontId="57" fillId="0" borderId="37" xfId="0" applyFont="1" applyBorder="1" applyAlignment="1">
      <alignment horizontal="right" vertical="center"/>
    </xf>
    <xf numFmtId="0" fontId="57" fillId="0" borderId="45" xfId="0" applyFont="1" applyBorder="1" applyAlignment="1">
      <alignment horizontal="right" vertical="center"/>
    </xf>
    <xf numFmtId="0" fontId="57" fillId="0" borderId="46" xfId="0" applyFont="1" applyBorder="1" applyAlignment="1">
      <alignment horizontal="right" vertical="center"/>
    </xf>
    <xf numFmtId="0" fontId="57" fillId="0" borderId="0" xfId="0" applyFont="1" applyAlignment="1">
      <alignment horizontal="right" vertical="center"/>
    </xf>
    <xf numFmtId="0" fontId="57" fillId="0" borderId="47" xfId="0" applyFont="1" applyBorder="1" applyAlignment="1">
      <alignment horizontal="right" vertical="center"/>
    </xf>
    <xf numFmtId="169" fontId="57" fillId="0" borderId="46" xfId="0" applyNumberFormat="1" applyFont="1" applyBorder="1" applyAlignment="1">
      <alignment horizontal="right" vertical="center"/>
    </xf>
    <xf numFmtId="169" fontId="57" fillId="0" borderId="0" xfId="0" applyNumberFormat="1" applyFont="1" applyAlignment="1">
      <alignment horizontal="right" vertical="center"/>
    </xf>
    <xf numFmtId="169" fontId="57" fillId="0" borderId="47" xfId="0" applyNumberFormat="1" applyFont="1" applyBorder="1" applyAlignment="1">
      <alignment horizontal="right" vertical="center"/>
    </xf>
    <xf numFmtId="0" fontId="57" fillId="0" borderId="41" xfId="0" applyFont="1" applyBorder="1" applyAlignment="1">
      <alignment horizontal="left" vertical="center" wrapText="1"/>
    </xf>
    <xf numFmtId="0" fontId="57" fillId="0" borderId="43" xfId="0" applyFont="1" applyBorder="1" applyAlignment="1">
      <alignment horizontal="left" vertical="center" wrapText="1"/>
    </xf>
    <xf numFmtId="0" fontId="57" fillId="0" borderId="41" xfId="0" applyFont="1" applyBorder="1" applyAlignment="1">
      <alignment horizontal="right" vertical="center"/>
    </xf>
    <xf numFmtId="0" fontId="57" fillId="0" borderId="35" xfId="0" applyFont="1" applyBorder="1" applyAlignment="1">
      <alignment horizontal="right" vertical="center"/>
    </xf>
    <xf numFmtId="0" fontId="57" fillId="0" borderId="43" xfId="0" applyFont="1" applyBorder="1" applyAlignment="1">
      <alignment horizontal="right" vertical="center"/>
    </xf>
    <xf numFmtId="169" fontId="57" fillId="0" borderId="41" xfId="0" applyNumberFormat="1" applyFont="1" applyBorder="1" applyAlignment="1">
      <alignment horizontal="right" vertical="center"/>
    </xf>
    <xf numFmtId="169" fontId="57" fillId="0" borderId="35" xfId="0" applyNumberFormat="1" applyFont="1" applyBorder="1" applyAlignment="1">
      <alignment horizontal="right" vertical="center"/>
    </xf>
    <xf numFmtId="169" fontId="57" fillId="0" borderId="43" xfId="0" applyNumberFormat="1" applyFont="1" applyBorder="1" applyAlignment="1">
      <alignment horizontal="right" vertical="center"/>
    </xf>
    <xf numFmtId="0" fontId="40" fillId="0" borderId="36" xfId="0" applyFont="1" applyBorder="1" applyAlignment="1">
      <alignment horizontal="left" vertical="top"/>
    </xf>
    <xf numFmtId="0" fontId="40" fillId="0" borderId="38" xfId="0" applyFont="1" applyBorder="1" applyAlignment="1">
      <alignment horizontal="left" vertical="top"/>
    </xf>
    <xf numFmtId="0" fontId="40" fillId="0" borderId="39" xfId="0" applyFont="1" applyBorder="1" applyAlignment="1">
      <alignment horizontal="left" vertical="top"/>
    </xf>
    <xf numFmtId="0" fontId="56" fillId="5" borderId="38" xfId="0" applyFont="1" applyFill="1" applyBorder="1" applyAlignment="1">
      <alignment horizontal="center" vertical="center"/>
    </xf>
    <xf numFmtId="0" fontId="57" fillId="0" borderId="36" xfId="0" applyFont="1" applyBorder="1" applyAlignment="1">
      <alignment horizontal="left" vertical="center" wrapText="1"/>
    </xf>
    <xf numFmtId="0" fontId="57" fillId="0" borderId="39" xfId="0" applyFont="1" applyBorder="1" applyAlignment="1">
      <alignment horizontal="left" vertical="center" wrapText="1"/>
    </xf>
    <xf numFmtId="0" fontId="56" fillId="5" borderId="37" xfId="0" applyFont="1" applyFill="1" applyBorder="1" applyAlignment="1">
      <alignment horizontal="center" vertical="center"/>
    </xf>
    <xf numFmtId="0" fontId="56" fillId="5" borderId="42" xfId="0" applyFont="1" applyFill="1" applyBorder="1" applyAlignment="1">
      <alignment horizontal="center" vertical="center"/>
    </xf>
    <xf numFmtId="0" fontId="56" fillId="5" borderId="43" xfId="0" applyFont="1" applyFill="1" applyBorder="1" applyAlignment="1">
      <alignment horizontal="center" vertical="center"/>
    </xf>
    <xf numFmtId="0" fontId="57" fillId="0" borderId="44" xfId="0" applyFont="1" applyBorder="1" applyAlignment="1">
      <alignment horizontal="left" vertical="center" wrapText="1"/>
    </xf>
    <xf numFmtId="0" fontId="57" fillId="0" borderId="37" xfId="0" applyFont="1" applyBorder="1" applyAlignment="1">
      <alignment horizontal="left" vertical="center" wrapText="1"/>
    </xf>
    <xf numFmtId="0" fontId="57" fillId="0" borderId="44" xfId="0" applyFont="1" applyBorder="1" applyAlignment="1">
      <alignment horizontal="right" vertical="center"/>
    </xf>
    <xf numFmtId="0" fontId="56" fillId="5" borderId="36" xfId="0" applyFont="1" applyFill="1" applyBorder="1" applyAlignment="1">
      <alignment horizontal="left" vertical="center" wrapText="1"/>
    </xf>
    <xf numFmtId="0" fontId="56" fillId="5" borderId="39" xfId="0" applyFont="1" applyFill="1" applyBorder="1" applyAlignment="1">
      <alignment horizontal="left" vertical="center" wrapText="1"/>
    </xf>
    <xf numFmtId="0" fontId="57" fillId="5" borderId="36" xfId="0" applyFont="1" applyFill="1" applyBorder="1" applyAlignment="1">
      <alignment horizontal="right" vertical="center"/>
    </xf>
    <xf numFmtId="0" fontId="57" fillId="5" borderId="38" xfId="0" applyFont="1" applyFill="1" applyBorder="1" applyAlignment="1">
      <alignment horizontal="right" vertical="center"/>
    </xf>
    <xf numFmtId="0" fontId="57" fillId="5" borderId="39" xfId="0" applyFont="1" applyFill="1" applyBorder="1" applyAlignment="1">
      <alignment horizontal="right" vertical="center"/>
    </xf>
    <xf numFmtId="0" fontId="57" fillId="0" borderId="46" xfId="0" applyFont="1" applyBorder="1" applyAlignment="1">
      <alignment horizontal="left" vertical="center" wrapText="1"/>
    </xf>
    <xf numFmtId="0" fontId="57" fillId="0" borderId="47" xfId="0" applyFont="1" applyBorder="1" applyAlignment="1">
      <alignment horizontal="left" vertical="center" wrapText="1"/>
    </xf>
    <xf numFmtId="0" fontId="54" fillId="0" borderId="0" xfId="0" applyFont="1" applyAlignment="1">
      <alignment horizontal="left" vertical="top"/>
    </xf>
    <xf numFmtId="0" fontId="58" fillId="0" borderId="0" xfId="0" applyFont="1" applyAlignment="1">
      <alignment horizontal="left" vertical="center" wrapText="1"/>
    </xf>
    <xf numFmtId="0" fontId="56" fillId="5" borderId="36" xfId="0" applyFont="1" applyFill="1" applyBorder="1" applyAlignment="1">
      <alignment horizontal="right" vertical="center"/>
    </xf>
    <xf numFmtId="0" fontId="56" fillId="5" borderId="38" xfId="0" applyFont="1" applyFill="1" applyBorder="1" applyAlignment="1">
      <alignment horizontal="right" vertical="center"/>
    </xf>
    <xf numFmtId="0" fontId="56" fillId="5" borderId="39" xfId="0" applyFont="1" applyFill="1" applyBorder="1" applyAlignment="1">
      <alignment horizontal="right" vertical="center"/>
    </xf>
    <xf numFmtId="0" fontId="57" fillId="0" borderId="36" xfId="0" applyFont="1" applyBorder="1" applyAlignment="1">
      <alignment horizontal="right" vertical="center"/>
    </xf>
    <xf numFmtId="0" fontId="57" fillId="0" borderId="38" xfId="0" applyFont="1" applyBorder="1" applyAlignment="1">
      <alignment horizontal="right" vertical="center"/>
    </xf>
    <xf numFmtId="0" fontId="57" fillId="0" borderId="39" xfId="0" applyFont="1" applyBorder="1" applyAlignment="1">
      <alignment horizontal="right" vertical="center"/>
    </xf>
    <xf numFmtId="169" fontId="57" fillId="0" borderId="44" xfId="0" applyNumberFormat="1" applyFont="1" applyBorder="1" applyAlignment="1">
      <alignment horizontal="right" vertical="center"/>
    </xf>
    <xf numFmtId="169" fontId="57" fillId="0" borderId="45" xfId="0" applyNumberFormat="1" applyFont="1" applyBorder="1" applyAlignment="1">
      <alignment horizontal="right" vertical="center"/>
    </xf>
    <xf numFmtId="169" fontId="57" fillId="0" borderId="37" xfId="0" applyNumberFormat="1" applyFont="1" applyBorder="1" applyAlignment="1">
      <alignment horizontal="right" vertical="center"/>
    </xf>
    <xf numFmtId="0" fontId="56" fillId="5" borderId="44" xfId="0" applyFont="1" applyFill="1" applyBorder="1" applyAlignment="1">
      <alignment horizontal="center" vertical="center"/>
    </xf>
    <xf numFmtId="0" fontId="56" fillId="5" borderId="45" xfId="0" applyFont="1" applyFill="1" applyBorder="1" applyAlignment="1">
      <alignment horizontal="center" vertical="center"/>
    </xf>
    <xf numFmtId="0" fontId="56" fillId="5" borderId="41" xfId="0" applyFont="1" applyFill="1" applyBorder="1" applyAlignment="1">
      <alignment horizontal="center" vertical="center"/>
    </xf>
    <xf numFmtId="0" fontId="56" fillId="5" borderId="35" xfId="0" applyFont="1" applyFill="1" applyBorder="1" applyAlignment="1">
      <alignment horizontal="center" vertical="center"/>
    </xf>
    <xf numFmtId="0" fontId="56" fillId="5" borderId="40" xfId="0" applyFont="1" applyFill="1" applyBorder="1" applyAlignment="1">
      <alignment horizontal="center" vertical="center"/>
    </xf>
    <xf numFmtId="0" fontId="56" fillId="5" borderId="47" xfId="0" applyFont="1" applyFill="1" applyBorder="1" applyAlignment="1">
      <alignment horizontal="center" vertical="center"/>
    </xf>
    <xf numFmtId="169" fontId="57" fillId="0" borderId="36" xfId="0" applyNumberFormat="1" applyFont="1" applyBorder="1" applyAlignment="1">
      <alignment horizontal="right" vertical="center"/>
    </xf>
    <xf numFmtId="169" fontId="57" fillId="0" borderId="38" xfId="0" applyNumberFormat="1" applyFont="1" applyBorder="1" applyAlignment="1">
      <alignment horizontal="right" vertical="center"/>
    </xf>
    <xf numFmtId="169" fontId="57" fillId="0" borderId="39" xfId="0" applyNumberFormat="1" applyFont="1" applyBorder="1" applyAlignment="1">
      <alignment horizontal="right" vertical="center"/>
    </xf>
    <xf numFmtId="0" fontId="57" fillId="0" borderId="42" xfId="0" applyFont="1" applyBorder="1" applyAlignment="1">
      <alignment horizontal="right" vertical="center"/>
    </xf>
    <xf numFmtId="0" fontId="57" fillId="5" borderId="36" xfId="0" applyFont="1" applyFill="1" applyBorder="1" applyAlignment="1">
      <alignment horizontal="left" vertical="center" wrapText="1"/>
    </xf>
    <xf numFmtId="0" fontId="57" fillId="5" borderId="39" xfId="0" applyFont="1" applyFill="1" applyBorder="1" applyAlignment="1">
      <alignment horizontal="left" vertical="center" wrapText="1"/>
    </xf>
    <xf numFmtId="0" fontId="57" fillId="0" borderId="40" xfId="0" applyFont="1" applyBorder="1" applyAlignment="1">
      <alignment horizontal="right" vertical="center"/>
    </xf>
    <xf numFmtId="0" fontId="57" fillId="0" borderId="48" xfId="0" applyFont="1" applyBorder="1" applyAlignment="1">
      <alignment horizontal="right" vertical="center"/>
    </xf>
    <xf numFmtId="0" fontId="57" fillId="0" borderId="46" xfId="0" applyFont="1" applyBorder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57" fillId="0" borderId="47" xfId="0" applyFont="1" applyBorder="1" applyAlignment="1">
      <alignment horizontal="left" vertical="center"/>
    </xf>
    <xf numFmtId="0" fontId="57" fillId="0" borderId="41" xfId="0" applyFont="1" applyBorder="1" applyAlignment="1">
      <alignment horizontal="left" vertical="center"/>
    </xf>
    <xf numFmtId="0" fontId="57" fillId="0" borderId="35" xfId="0" applyFont="1" applyBorder="1" applyAlignment="1">
      <alignment horizontal="left" vertical="center"/>
    </xf>
    <xf numFmtId="0" fontId="57" fillId="0" borderId="43" xfId="0" applyFont="1" applyBorder="1" applyAlignment="1">
      <alignment horizontal="left" vertical="center"/>
    </xf>
    <xf numFmtId="0" fontId="57" fillId="5" borderId="36" xfId="0" applyFont="1" applyFill="1" applyBorder="1" applyAlignment="1">
      <alignment horizontal="left" vertical="center"/>
    </xf>
    <xf numFmtId="0" fontId="57" fillId="5" borderId="38" xfId="0" applyFont="1" applyFill="1" applyBorder="1" applyAlignment="1">
      <alignment horizontal="left" vertical="center"/>
    </xf>
    <xf numFmtId="0" fontId="57" fillId="5" borderId="39" xfId="0" applyFont="1" applyFill="1" applyBorder="1" applyAlignment="1">
      <alignment horizontal="left" vertical="center"/>
    </xf>
    <xf numFmtId="0" fontId="57" fillId="5" borderId="36" xfId="0" applyFont="1" applyFill="1" applyBorder="1" applyAlignment="1">
      <alignment horizontal="center" vertical="center" wrapText="1"/>
    </xf>
    <xf numFmtId="0" fontId="57" fillId="5" borderId="46" xfId="0" applyFont="1" applyFill="1" applyBorder="1" applyAlignment="1">
      <alignment horizontal="center" vertical="center" wrapText="1"/>
    </xf>
    <xf numFmtId="0" fontId="57" fillId="5" borderId="41" xfId="0" applyFont="1" applyFill="1" applyBorder="1" applyAlignment="1">
      <alignment horizontal="center" vertical="center" wrapText="1"/>
    </xf>
    <xf numFmtId="0" fontId="57" fillId="5" borderId="37" xfId="0" applyFont="1" applyFill="1" applyBorder="1" applyAlignment="1">
      <alignment horizontal="center" vertical="center" wrapText="1"/>
    </xf>
    <xf numFmtId="0" fontId="57" fillId="5" borderId="40" xfId="0" applyFont="1" applyFill="1" applyBorder="1" applyAlignment="1">
      <alignment horizontal="center" vertical="center" wrapText="1"/>
    </xf>
    <xf numFmtId="0" fontId="57" fillId="5" borderId="47" xfId="0" applyFont="1" applyFill="1" applyBorder="1" applyAlignment="1">
      <alignment horizontal="center" vertical="center" wrapText="1"/>
    </xf>
    <xf numFmtId="0" fontId="57" fillId="5" borderId="42" xfId="0" applyFont="1" applyFill="1" applyBorder="1" applyAlignment="1">
      <alignment horizontal="center" vertical="center" wrapText="1"/>
    </xf>
    <xf numFmtId="0" fontId="57" fillId="5" borderId="43" xfId="0" applyFont="1" applyFill="1" applyBorder="1" applyAlignment="1">
      <alignment horizontal="center" vertical="center" wrapText="1"/>
    </xf>
    <xf numFmtId="0" fontId="57" fillId="5" borderId="44" xfId="0" applyFont="1" applyFill="1" applyBorder="1" applyAlignment="1">
      <alignment horizontal="center" vertical="center" wrapText="1"/>
    </xf>
    <xf numFmtId="0" fontId="57" fillId="5" borderId="38" xfId="0" applyFont="1" applyFill="1" applyBorder="1" applyAlignment="1">
      <alignment horizontal="center" vertical="center" wrapText="1"/>
    </xf>
    <xf numFmtId="0" fontId="57" fillId="5" borderId="39" xfId="0" applyFont="1" applyFill="1" applyBorder="1" applyAlignment="1">
      <alignment horizontal="center" vertical="center" wrapText="1"/>
    </xf>
    <xf numFmtId="0" fontId="57" fillId="0" borderId="44" xfId="0" applyFont="1" applyBorder="1" applyAlignment="1">
      <alignment horizontal="left" vertical="center"/>
    </xf>
    <xf numFmtId="0" fontId="57" fillId="0" borderId="45" xfId="0" applyFont="1" applyBorder="1" applyAlignment="1">
      <alignment horizontal="left" vertical="center"/>
    </xf>
    <xf numFmtId="0" fontId="57" fillId="0" borderId="37" xfId="0" applyFont="1" applyBorder="1" applyAlignment="1">
      <alignment horizontal="left" vertical="center"/>
    </xf>
    <xf numFmtId="0" fontId="53" fillId="0" borderId="35" xfId="0" applyFont="1" applyBorder="1" applyAlignment="1">
      <alignment horizontal="right" vertical="top" wrapText="1"/>
    </xf>
    <xf numFmtId="0" fontId="56" fillId="5" borderId="0" xfId="0" applyFont="1" applyFill="1" applyAlignment="1">
      <alignment horizontal="center" vertical="center"/>
    </xf>
    <xf numFmtId="0" fontId="57" fillId="5" borderId="44" xfId="0" applyFont="1" applyFill="1" applyBorder="1" applyAlignment="1">
      <alignment horizontal="center" vertical="center"/>
    </xf>
    <xf numFmtId="0" fontId="57" fillId="5" borderId="45" xfId="0" applyFont="1" applyFill="1" applyBorder="1" applyAlignment="1">
      <alignment horizontal="center" vertical="center"/>
    </xf>
    <xf numFmtId="0" fontId="57" fillId="5" borderId="37" xfId="0" applyFont="1" applyFill="1" applyBorder="1" applyAlignment="1">
      <alignment horizontal="center" vertical="center"/>
    </xf>
    <xf numFmtId="0" fontId="57" fillId="5" borderId="41" xfId="0" applyFont="1" applyFill="1" applyBorder="1" applyAlignment="1">
      <alignment horizontal="center" vertical="center"/>
    </xf>
    <xf numFmtId="0" fontId="57" fillId="5" borderId="35" xfId="0" applyFont="1" applyFill="1" applyBorder="1" applyAlignment="1">
      <alignment horizontal="center" vertical="center"/>
    </xf>
    <xf numFmtId="0" fontId="57" fillId="5" borderId="43" xfId="0" applyFont="1" applyFill="1" applyBorder="1" applyAlignment="1">
      <alignment horizontal="center" vertical="center"/>
    </xf>
    <xf numFmtId="4" fontId="56" fillId="6" borderId="36" xfId="0" applyNumberFormat="1" applyFont="1" applyFill="1" applyBorder="1" applyAlignment="1">
      <alignment horizontal="right" vertical="center"/>
    </xf>
    <xf numFmtId="4" fontId="56" fillId="6" borderId="39" xfId="0" applyNumberFormat="1" applyFont="1" applyFill="1" applyBorder="1" applyAlignment="1">
      <alignment horizontal="right" vertical="center"/>
    </xf>
    <xf numFmtId="4" fontId="56" fillId="6" borderId="38" xfId="0" applyNumberFormat="1" applyFont="1" applyFill="1" applyBorder="1" applyAlignment="1">
      <alignment horizontal="right" vertical="center"/>
    </xf>
    <xf numFmtId="4" fontId="57" fillId="0" borderId="36" xfId="0" applyNumberFormat="1" applyFont="1" applyBorder="1" applyAlignment="1">
      <alignment horizontal="right" vertical="center"/>
    </xf>
    <xf numFmtId="4" fontId="57" fillId="0" borderId="38" xfId="0" applyNumberFormat="1" applyFont="1" applyBorder="1" applyAlignment="1">
      <alignment horizontal="right" vertical="center"/>
    </xf>
    <xf numFmtId="4" fontId="57" fillId="0" borderId="39" xfId="0" applyNumberFormat="1" applyFont="1" applyBorder="1" applyAlignment="1">
      <alignment horizontal="right" vertical="center"/>
    </xf>
    <xf numFmtId="0" fontId="57" fillId="0" borderId="0" xfId="0" applyFont="1" applyAlignment="1">
      <alignment horizontal="left" vertical="top" wrapText="1"/>
    </xf>
    <xf numFmtId="0" fontId="40" fillId="0" borderId="35" xfId="0" applyFont="1" applyBorder="1" applyAlignment="1">
      <alignment horizontal="left" vertical="top"/>
    </xf>
    <xf numFmtId="4" fontId="57" fillId="0" borderId="46" xfId="0" applyNumberFormat="1" applyFont="1" applyBorder="1" applyAlignment="1">
      <alignment horizontal="right" vertical="center"/>
    </xf>
    <xf numFmtId="4" fontId="57" fillId="0" borderId="47" xfId="0" applyNumberFormat="1" applyFont="1" applyBorder="1" applyAlignment="1">
      <alignment horizontal="right" vertical="center"/>
    </xf>
    <xf numFmtId="4" fontId="57" fillId="0" borderId="0" xfId="0" applyNumberFormat="1" applyFont="1" applyAlignment="1">
      <alignment horizontal="right" vertical="center"/>
    </xf>
    <xf numFmtId="4" fontId="57" fillId="0" borderId="41" xfId="0" applyNumberFormat="1" applyFont="1" applyBorder="1" applyAlignment="1">
      <alignment horizontal="right" vertical="center"/>
    </xf>
    <xf numFmtId="4" fontId="57" fillId="0" borderId="43" xfId="0" applyNumberFormat="1" applyFont="1" applyBorder="1" applyAlignment="1">
      <alignment horizontal="right" vertical="center"/>
    </xf>
    <xf numFmtId="4" fontId="57" fillId="0" borderId="35" xfId="0" applyNumberFormat="1" applyFont="1" applyBorder="1" applyAlignment="1">
      <alignment horizontal="right" vertical="center"/>
    </xf>
    <xf numFmtId="0" fontId="56" fillId="5" borderId="36" xfId="0" applyFont="1" applyFill="1" applyBorder="1" applyAlignment="1">
      <alignment horizontal="center" vertical="center" wrapText="1"/>
    </xf>
    <xf numFmtId="0" fontId="56" fillId="5" borderId="39" xfId="0" applyFont="1" applyFill="1" applyBorder="1" applyAlignment="1">
      <alignment horizontal="center" vertical="center" wrapText="1"/>
    </xf>
    <xf numFmtId="0" fontId="56" fillId="5" borderId="38" xfId="0" applyFont="1" applyFill="1" applyBorder="1" applyAlignment="1">
      <alignment horizontal="center" vertical="center" wrapText="1"/>
    </xf>
    <xf numFmtId="4" fontId="57" fillId="0" borderId="44" xfId="0" applyNumberFormat="1" applyFont="1" applyBorder="1" applyAlignment="1">
      <alignment horizontal="right" vertical="center"/>
    </xf>
    <xf numFmtId="4" fontId="57" fillId="0" borderId="37" xfId="0" applyNumberFormat="1" applyFont="1" applyBorder="1" applyAlignment="1">
      <alignment horizontal="right" vertical="center"/>
    </xf>
    <xf numFmtId="4" fontId="57" fillId="0" borderId="45" xfId="0" applyNumberFormat="1" applyFont="1" applyBorder="1" applyAlignment="1">
      <alignment horizontal="right" vertical="center"/>
    </xf>
    <xf numFmtId="4" fontId="56" fillId="0" borderId="46" xfId="0" applyNumberFormat="1" applyFont="1" applyBorder="1" applyAlignment="1">
      <alignment horizontal="right" vertical="center"/>
    </xf>
    <xf numFmtId="4" fontId="56" fillId="0" borderId="47" xfId="0" applyNumberFormat="1" applyFont="1" applyBorder="1" applyAlignment="1">
      <alignment horizontal="right" vertical="center"/>
    </xf>
    <xf numFmtId="4" fontId="56" fillId="0" borderId="0" xfId="0" applyNumberFormat="1" applyFont="1" applyAlignment="1">
      <alignment horizontal="right" vertical="center"/>
    </xf>
    <xf numFmtId="4" fontId="56" fillId="0" borderId="44" xfId="0" applyNumberFormat="1" applyFont="1" applyBorder="1" applyAlignment="1">
      <alignment horizontal="right" vertical="center"/>
    </xf>
    <xf numFmtId="4" fontId="56" fillId="0" borderId="37" xfId="0" applyNumberFormat="1" applyFont="1" applyBorder="1" applyAlignment="1">
      <alignment horizontal="right" vertical="center"/>
    </xf>
    <xf numFmtId="4" fontId="56" fillId="0" borderId="45" xfId="0" applyNumberFormat="1" applyFont="1" applyBorder="1" applyAlignment="1">
      <alignment horizontal="right" vertical="center"/>
    </xf>
    <xf numFmtId="0" fontId="40" fillId="0" borderId="45" xfId="0" applyFont="1" applyBorder="1" applyAlignment="1">
      <alignment horizontal="left" vertical="top"/>
    </xf>
    <xf numFmtId="0" fontId="40" fillId="0" borderId="40" xfId="0" applyFont="1" applyBorder="1" applyAlignment="1">
      <alignment horizontal="left" vertical="top"/>
    </xf>
    <xf numFmtId="0" fontId="56" fillId="6" borderId="36" xfId="0" applyFont="1" applyFill="1" applyBorder="1" applyAlignment="1">
      <alignment horizontal="right" vertical="center"/>
    </xf>
    <xf numFmtId="0" fontId="56" fillId="6" borderId="38" xfId="0" applyFont="1" applyFill="1" applyBorder="1" applyAlignment="1">
      <alignment horizontal="right" vertical="center"/>
    </xf>
    <xf numFmtId="0" fontId="56" fillId="6" borderId="39" xfId="0" applyFont="1" applyFill="1" applyBorder="1" applyAlignment="1">
      <alignment horizontal="right" vertical="center"/>
    </xf>
    <xf numFmtId="0" fontId="56" fillId="0" borderId="46" xfId="0" applyFont="1" applyBorder="1" applyAlignment="1">
      <alignment horizontal="right" vertical="center"/>
    </xf>
    <xf numFmtId="0" fontId="56" fillId="0" borderId="0" xfId="0" applyFont="1" applyAlignment="1">
      <alignment horizontal="right" vertical="center"/>
    </xf>
    <xf numFmtId="0" fontId="56" fillId="0" borderId="47" xfId="0" applyFont="1" applyBorder="1" applyAlignment="1">
      <alignment horizontal="right" vertical="center"/>
    </xf>
    <xf numFmtId="0" fontId="56" fillId="0" borderId="44" xfId="0" applyFont="1" applyBorder="1" applyAlignment="1">
      <alignment horizontal="right" vertical="center"/>
    </xf>
    <xf numFmtId="0" fontId="56" fillId="0" borderId="45" xfId="0" applyFont="1" applyBorder="1" applyAlignment="1">
      <alignment horizontal="right" vertical="center"/>
    </xf>
    <xf numFmtId="0" fontId="56" fillId="0" borderId="37" xfId="0" applyFont="1" applyBorder="1" applyAlignment="1">
      <alignment horizontal="right" vertical="center"/>
    </xf>
    <xf numFmtId="0" fontId="57" fillId="0" borderId="45" xfId="0" applyFont="1" applyBorder="1" applyAlignment="1">
      <alignment horizontal="left" vertical="top" wrapText="1"/>
    </xf>
    <xf numFmtId="0" fontId="64" fillId="0" borderId="0" xfId="0" applyFont="1" applyAlignment="1">
      <alignment horizontal="left" vertical="center" wrapText="1"/>
    </xf>
    <xf numFmtId="4" fontId="62" fillId="7" borderId="40" xfId="0" applyNumberFormat="1" applyFont="1" applyFill="1" applyBorder="1" applyAlignment="1">
      <alignment horizontal="right" vertical="center"/>
    </xf>
    <xf numFmtId="4" fontId="62" fillId="7" borderId="0" xfId="0" applyNumberFormat="1" applyFont="1" applyFill="1" applyAlignment="1">
      <alignment horizontal="right" vertical="center"/>
    </xf>
    <xf numFmtId="0" fontId="61" fillId="5" borderId="36" xfId="0" applyFont="1" applyFill="1" applyBorder="1" applyAlignment="1">
      <alignment horizontal="center" vertical="center" wrapText="1"/>
    </xf>
    <xf numFmtId="0" fontId="61" fillId="5" borderId="38" xfId="0" applyFont="1" applyFill="1" applyBorder="1" applyAlignment="1">
      <alignment horizontal="center" vertical="center" wrapText="1"/>
    </xf>
    <xf numFmtId="0" fontId="61" fillId="5" borderId="39" xfId="0" applyFont="1" applyFill="1" applyBorder="1" applyAlignment="1">
      <alignment horizontal="center" vertical="center" wrapText="1"/>
    </xf>
    <xf numFmtId="0" fontId="56" fillId="6" borderId="36" xfId="0" applyFont="1" applyFill="1" applyBorder="1" applyAlignment="1">
      <alignment horizontal="left" vertical="center"/>
    </xf>
    <xf numFmtId="0" fontId="56" fillId="6" borderId="38" xfId="0" applyFont="1" applyFill="1" applyBorder="1" applyAlignment="1">
      <alignment horizontal="left" vertical="center"/>
    </xf>
    <xf numFmtId="0" fontId="56" fillId="6" borderId="39" xfId="0" applyFont="1" applyFill="1" applyBorder="1" applyAlignment="1">
      <alignment horizontal="left" vertical="center"/>
    </xf>
    <xf numFmtId="0" fontId="56" fillId="0" borderId="41" xfId="0" applyFont="1" applyBorder="1" applyAlignment="1">
      <alignment horizontal="right" vertical="center"/>
    </xf>
    <xf numFmtId="0" fontId="56" fillId="0" borderId="35" xfId="0" applyFont="1" applyBorder="1" applyAlignment="1">
      <alignment horizontal="right" vertical="center"/>
    </xf>
    <xf numFmtId="0" fontId="56" fillId="0" borderId="43" xfId="0" applyFont="1" applyBorder="1" applyAlignment="1">
      <alignment horizontal="right" vertical="center"/>
    </xf>
    <xf numFmtId="0" fontId="57" fillId="9" borderId="36" xfId="0" applyFont="1" applyFill="1" applyBorder="1" applyAlignment="1">
      <alignment horizontal="right" vertical="center" wrapText="1"/>
    </xf>
    <xf numFmtId="0" fontId="57" fillId="9" borderId="38" xfId="0" applyFont="1" applyFill="1" applyBorder="1" applyAlignment="1">
      <alignment horizontal="right" vertical="center" wrapText="1"/>
    </xf>
    <xf numFmtId="0" fontId="57" fillId="9" borderId="39" xfId="0" applyFont="1" applyFill="1" applyBorder="1" applyAlignment="1">
      <alignment horizontal="right" vertical="center" wrapText="1"/>
    </xf>
    <xf numFmtId="0" fontId="57" fillId="0" borderId="0" xfId="0" applyFont="1" applyAlignment="1">
      <alignment horizontal="left" wrapText="1"/>
    </xf>
    <xf numFmtId="0" fontId="57" fillId="9" borderId="36" xfId="0" applyFont="1" applyFill="1" applyBorder="1" applyAlignment="1">
      <alignment horizontal="left" vertical="center" wrapText="1"/>
    </xf>
    <xf numFmtId="0" fontId="57" fillId="9" borderId="38" xfId="0" applyFont="1" applyFill="1" applyBorder="1" applyAlignment="1">
      <alignment horizontal="left" vertical="center" wrapText="1"/>
    </xf>
    <xf numFmtId="0" fontId="57" fillId="9" borderId="39" xfId="0" applyFont="1" applyFill="1" applyBorder="1" applyAlignment="1">
      <alignment horizontal="left" vertical="center" wrapText="1"/>
    </xf>
    <xf numFmtId="0" fontId="57" fillId="9" borderId="36" xfId="0" applyFont="1" applyFill="1" applyBorder="1" applyAlignment="1">
      <alignment horizontal="right" vertical="center"/>
    </xf>
    <xf numFmtId="0" fontId="57" fillId="9" borderId="39" xfId="0" applyFont="1" applyFill="1" applyBorder="1" applyAlignment="1">
      <alignment horizontal="right" vertical="center"/>
    </xf>
    <xf numFmtId="0" fontId="57" fillId="9" borderId="38" xfId="0" applyFont="1" applyFill="1" applyBorder="1" applyAlignment="1">
      <alignment horizontal="right" vertical="center"/>
    </xf>
    <xf numFmtId="0" fontId="57" fillId="0" borderId="46" xfId="0" applyFont="1" applyBorder="1" applyAlignment="1">
      <alignment horizontal="right" vertical="center" wrapText="1"/>
    </xf>
    <xf numFmtId="0" fontId="57" fillId="0" borderId="0" xfId="0" applyFont="1" applyAlignment="1">
      <alignment horizontal="right" vertical="center" wrapText="1"/>
    </xf>
    <xf numFmtId="0" fontId="57" fillId="0" borderId="47" xfId="0" applyFont="1" applyBorder="1" applyAlignment="1">
      <alignment horizontal="right" vertical="center" wrapText="1"/>
    </xf>
    <xf numFmtId="0" fontId="57" fillId="0" borderId="41" xfId="0" applyFont="1" applyBorder="1" applyAlignment="1">
      <alignment horizontal="right" vertical="center" wrapText="1"/>
    </xf>
    <xf numFmtId="0" fontId="57" fillId="0" borderId="35" xfId="0" applyFont="1" applyBorder="1" applyAlignment="1">
      <alignment horizontal="right" vertical="center" wrapText="1"/>
    </xf>
    <xf numFmtId="0" fontId="57" fillId="0" borderId="43" xfId="0" applyFont="1" applyBorder="1" applyAlignment="1">
      <alignment horizontal="right" vertical="center" wrapText="1"/>
    </xf>
    <xf numFmtId="0" fontId="57" fillId="0" borderId="44" xfId="0" applyFont="1" applyBorder="1" applyAlignment="1">
      <alignment horizontal="right" vertical="center" wrapText="1"/>
    </xf>
    <xf numFmtId="0" fontId="57" fillId="0" borderId="45" xfId="0" applyFont="1" applyBorder="1" applyAlignment="1">
      <alignment horizontal="right" vertical="center" wrapText="1"/>
    </xf>
    <xf numFmtId="0" fontId="57" fillId="0" borderId="37" xfId="0" applyFont="1" applyBorder="1" applyAlignment="1">
      <alignment horizontal="right" vertical="center" wrapText="1"/>
    </xf>
    <xf numFmtId="0" fontId="55" fillId="5" borderId="36" xfId="0" applyFont="1" applyFill="1" applyBorder="1" applyAlignment="1">
      <alignment horizontal="center" vertical="center" wrapText="1"/>
    </xf>
    <xf numFmtId="0" fontId="55" fillId="5" borderId="45" xfId="0" applyFont="1" applyFill="1" applyBorder="1" applyAlignment="1">
      <alignment horizontal="center" vertical="center" wrapText="1"/>
    </xf>
    <xf numFmtId="0" fontId="55" fillId="5" borderId="37" xfId="0" applyFont="1" applyFill="1" applyBorder="1" applyAlignment="1">
      <alignment horizontal="center" vertical="center" wrapText="1"/>
    </xf>
    <xf numFmtId="0" fontId="55" fillId="5" borderId="42" xfId="0" applyFont="1" applyFill="1" applyBorder="1" applyAlignment="1">
      <alignment horizontal="center" vertical="center" wrapText="1"/>
    </xf>
    <xf numFmtId="0" fontId="55" fillId="5" borderId="35" xfId="0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56" fillId="5" borderId="37" xfId="0" applyFont="1" applyFill="1" applyBorder="1" applyAlignment="1">
      <alignment horizontal="center" vertical="center" wrapText="1"/>
    </xf>
    <xf numFmtId="0" fontId="56" fillId="5" borderId="42" xfId="0" applyFont="1" applyFill="1" applyBorder="1" applyAlignment="1">
      <alignment horizontal="center" vertical="center" wrapText="1"/>
    </xf>
    <xf numFmtId="0" fontId="56" fillId="5" borderId="43" xfId="0" applyFont="1" applyFill="1" applyBorder="1" applyAlignment="1">
      <alignment horizontal="center" vertical="center" wrapText="1"/>
    </xf>
    <xf numFmtId="0" fontId="56" fillId="5" borderId="45" xfId="0" applyFont="1" applyFill="1" applyBorder="1" applyAlignment="1">
      <alignment horizontal="center" vertical="center" wrapText="1"/>
    </xf>
    <xf numFmtId="0" fontId="56" fillId="5" borderId="35" xfId="0" applyFont="1" applyFill="1" applyBorder="1" applyAlignment="1">
      <alignment horizontal="center" vertical="center" wrapText="1"/>
    </xf>
    <xf numFmtId="0" fontId="57" fillId="9" borderId="36" xfId="0" applyFont="1" applyFill="1" applyBorder="1" applyAlignment="1">
      <alignment horizontal="left" vertical="center"/>
    </xf>
    <xf numFmtId="0" fontId="57" fillId="9" borderId="38" xfId="0" applyFont="1" applyFill="1" applyBorder="1" applyAlignment="1">
      <alignment horizontal="left" vertical="center"/>
    </xf>
    <xf numFmtId="0" fontId="57" fillId="9" borderId="39" xfId="0" applyFont="1" applyFill="1" applyBorder="1" applyAlignment="1">
      <alignment horizontal="left" vertical="center"/>
    </xf>
    <xf numFmtId="0" fontId="63" fillId="0" borderId="41" xfId="0" applyFont="1" applyBorder="1" applyAlignment="1">
      <alignment horizontal="left" vertical="center"/>
    </xf>
    <xf numFmtId="0" fontId="63" fillId="0" borderId="35" xfId="0" applyFont="1" applyBorder="1" applyAlignment="1">
      <alignment horizontal="left" vertical="center"/>
    </xf>
    <xf numFmtId="0" fontId="63" fillId="0" borderId="43" xfId="0" applyFont="1" applyBorder="1" applyAlignment="1">
      <alignment horizontal="left" vertical="center"/>
    </xf>
    <xf numFmtId="0" fontId="63" fillId="9" borderId="36" xfId="0" applyFont="1" applyFill="1" applyBorder="1" applyAlignment="1">
      <alignment horizontal="left" vertical="center"/>
    </xf>
    <xf numFmtId="0" fontId="63" fillId="9" borderId="38" xfId="0" applyFont="1" applyFill="1" applyBorder="1" applyAlignment="1">
      <alignment horizontal="left" vertical="center"/>
    </xf>
    <xf numFmtId="0" fontId="63" fillId="9" borderId="39" xfId="0" applyFont="1" applyFill="1" applyBorder="1" applyAlignment="1">
      <alignment horizontal="left" vertical="center"/>
    </xf>
    <xf numFmtId="0" fontId="63" fillId="0" borderId="44" xfId="0" applyFont="1" applyBorder="1" applyAlignment="1">
      <alignment horizontal="left" vertical="center"/>
    </xf>
    <xf numFmtId="0" fontId="63" fillId="0" borderId="45" xfId="0" applyFont="1" applyBorder="1" applyAlignment="1">
      <alignment horizontal="left" vertical="center"/>
    </xf>
    <xf numFmtId="0" fontId="63" fillId="0" borderId="37" xfId="0" applyFont="1" applyBorder="1" applyAlignment="1">
      <alignment horizontal="left" vertical="center"/>
    </xf>
    <xf numFmtId="0" fontId="63" fillId="0" borderId="46" xfId="0" applyFont="1" applyBorder="1" applyAlignment="1">
      <alignment horizontal="left" vertical="center"/>
    </xf>
    <xf numFmtId="0" fontId="63" fillId="0" borderId="0" xfId="0" applyFont="1" applyAlignment="1">
      <alignment horizontal="left" vertical="center"/>
    </xf>
    <xf numFmtId="0" fontId="63" fillId="0" borderId="47" xfId="0" applyFont="1" applyBorder="1" applyAlignment="1">
      <alignment horizontal="left" vertical="center"/>
    </xf>
    <xf numFmtId="0" fontId="56" fillId="5" borderId="36" xfId="0" applyFont="1" applyFill="1" applyBorder="1" applyAlignment="1">
      <alignment horizontal="left" vertical="center"/>
    </xf>
    <xf numFmtId="0" fontId="56" fillId="5" borderId="38" xfId="0" applyFont="1" applyFill="1" applyBorder="1" applyAlignment="1">
      <alignment horizontal="left" vertical="center"/>
    </xf>
    <xf numFmtId="0" fontId="56" fillId="5" borderId="39" xfId="0" applyFont="1" applyFill="1" applyBorder="1" applyAlignment="1">
      <alignment horizontal="left" vertical="center"/>
    </xf>
    <xf numFmtId="0" fontId="55" fillId="5" borderId="40" xfId="0" applyFont="1" applyFill="1" applyBorder="1" applyAlignment="1">
      <alignment horizontal="center" vertical="center" wrapText="1"/>
    </xf>
    <xf numFmtId="0" fontId="55" fillId="5" borderId="0" xfId="0" applyFont="1" applyFill="1" applyAlignment="1">
      <alignment horizontal="center" vertical="center" wrapText="1"/>
    </xf>
    <xf numFmtId="0" fontId="55" fillId="5" borderId="47" xfId="0" applyFont="1" applyFill="1" applyBorder="1" applyAlignment="1">
      <alignment horizontal="center" vertical="center" wrapText="1"/>
    </xf>
    <xf numFmtId="0" fontId="55" fillId="5" borderId="36" xfId="0" applyFont="1" applyFill="1" applyBorder="1" applyAlignment="1">
      <alignment horizontal="center" vertical="center"/>
    </xf>
    <xf numFmtId="0" fontId="55" fillId="5" borderId="39" xfId="0" applyFont="1" applyFill="1" applyBorder="1" applyAlignment="1">
      <alignment horizontal="center" vertical="center"/>
    </xf>
    <xf numFmtId="0" fontId="57" fillId="0" borderId="45" xfId="0" applyFont="1" applyBorder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57" fillId="0" borderId="36" xfId="0" applyFont="1" applyBorder="1" applyAlignment="1">
      <alignment horizontal="left" vertical="center"/>
    </xf>
    <xf numFmtId="0" fontId="57" fillId="0" borderId="39" xfId="0" applyFont="1" applyBorder="1" applyAlignment="1">
      <alignment horizontal="left" vertical="center"/>
    </xf>
    <xf numFmtId="0" fontId="55" fillId="5" borderId="45" xfId="0" applyFont="1" applyFill="1" applyBorder="1" applyAlignment="1">
      <alignment horizontal="center" vertical="center"/>
    </xf>
    <xf numFmtId="0" fontId="55" fillId="5" borderId="37" xfId="0" applyFont="1" applyFill="1" applyBorder="1" applyAlignment="1">
      <alignment horizontal="center" vertical="center"/>
    </xf>
    <xf numFmtId="0" fontId="55" fillId="5" borderId="42" xfId="0" applyFont="1" applyFill="1" applyBorder="1" applyAlignment="1">
      <alignment horizontal="center" vertical="center"/>
    </xf>
    <xf numFmtId="0" fontId="55" fillId="5" borderId="35" xfId="0" applyFont="1" applyFill="1" applyBorder="1" applyAlignment="1">
      <alignment horizontal="center" vertical="center"/>
    </xf>
    <xf numFmtId="0" fontId="55" fillId="5" borderId="43" xfId="0" applyFont="1" applyFill="1" applyBorder="1" applyAlignment="1">
      <alignment horizontal="center" vertical="center"/>
    </xf>
    <xf numFmtId="0" fontId="57" fillId="0" borderId="38" xfId="0" applyFont="1" applyBorder="1" applyAlignment="1">
      <alignment horizontal="left" vertical="center"/>
    </xf>
    <xf numFmtId="0" fontId="55" fillId="5" borderId="38" xfId="0" applyFont="1" applyFill="1" applyBorder="1" applyAlignment="1">
      <alignment horizontal="center" vertical="center"/>
    </xf>
    <xf numFmtId="0" fontId="57" fillId="8" borderId="36" xfId="0" applyFont="1" applyFill="1" applyBorder="1" applyAlignment="1">
      <alignment horizontal="right" vertical="center"/>
    </xf>
    <xf numFmtId="0" fontId="57" fillId="8" borderId="38" xfId="0" applyFont="1" applyFill="1" applyBorder="1" applyAlignment="1">
      <alignment horizontal="right" vertical="center"/>
    </xf>
    <xf numFmtId="0" fontId="57" fillId="8" borderId="39" xfId="0" applyFont="1" applyFill="1" applyBorder="1" applyAlignment="1">
      <alignment horizontal="right" vertical="center"/>
    </xf>
    <xf numFmtId="0" fontId="56" fillId="0" borderId="44" xfId="0" applyFont="1" applyBorder="1" applyAlignment="1">
      <alignment horizontal="left" vertical="center"/>
    </xf>
    <xf numFmtId="0" fontId="56" fillId="0" borderId="45" xfId="0" applyFont="1" applyBorder="1" applyAlignment="1">
      <alignment horizontal="left" vertical="center"/>
    </xf>
    <xf numFmtId="0" fontId="56" fillId="0" borderId="37" xfId="0" applyFont="1" applyBorder="1" applyAlignment="1">
      <alignment horizontal="left" vertical="center"/>
    </xf>
    <xf numFmtId="0" fontId="57" fillId="8" borderId="36" xfId="0" applyFont="1" applyFill="1" applyBorder="1" applyAlignment="1">
      <alignment horizontal="left" vertical="center"/>
    </xf>
    <xf numFmtId="0" fontId="57" fillId="8" borderId="38" xfId="0" applyFont="1" applyFill="1" applyBorder="1" applyAlignment="1">
      <alignment horizontal="left" vertical="center"/>
    </xf>
    <xf numFmtId="0" fontId="57" fillId="8" borderId="39" xfId="0" applyFont="1" applyFill="1" applyBorder="1" applyAlignment="1">
      <alignment horizontal="left" vertical="center"/>
    </xf>
    <xf numFmtId="0" fontId="56" fillId="0" borderId="46" xfId="0" applyFont="1" applyBorder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6" fillId="0" borderId="47" xfId="0" applyFont="1" applyBorder="1" applyAlignment="1">
      <alignment horizontal="left" vertical="center"/>
    </xf>
    <xf numFmtId="0" fontId="57" fillId="0" borderId="36" xfId="0" applyFont="1" applyBorder="1" applyAlignment="1">
      <alignment horizontal="right" vertical="center" wrapText="1"/>
    </xf>
    <xf numFmtId="0" fontId="57" fillId="0" borderId="38" xfId="0" applyFont="1" applyBorder="1" applyAlignment="1">
      <alignment horizontal="right" vertical="center" wrapText="1"/>
    </xf>
    <xf numFmtId="0" fontId="57" fillId="0" borderId="39" xfId="0" applyFont="1" applyBorder="1" applyAlignment="1">
      <alignment horizontal="right" vertical="center" wrapText="1"/>
    </xf>
    <xf numFmtId="0" fontId="57" fillId="0" borderId="35" xfId="0" applyFont="1" applyBorder="1" applyAlignment="1">
      <alignment horizontal="left" vertical="center" wrapText="1"/>
    </xf>
    <xf numFmtId="0" fontId="65" fillId="0" borderId="36" xfId="0" applyFont="1" applyBorder="1" applyAlignment="1">
      <alignment horizontal="right" vertical="center" wrapText="1"/>
    </xf>
    <xf numFmtId="0" fontId="65" fillId="0" borderId="38" xfId="0" applyFont="1" applyBorder="1" applyAlignment="1">
      <alignment horizontal="right" vertical="center" wrapText="1"/>
    </xf>
    <xf numFmtId="0" fontId="65" fillId="0" borderId="39" xfId="0" applyFont="1" applyBorder="1" applyAlignment="1">
      <alignment horizontal="right" vertical="center" wrapText="1"/>
    </xf>
    <xf numFmtId="0" fontId="17" fillId="0" borderId="0" xfId="0" applyFont="1" applyBorder="1" applyAlignment="1" applyProtection="1">
      <alignment horizontal="center"/>
    </xf>
    <xf numFmtId="0" fontId="57" fillId="0" borderId="45" xfId="0" applyFont="1" applyBorder="1" applyAlignment="1">
      <alignment horizontal="left" wrapText="1"/>
    </xf>
    <xf numFmtId="0" fontId="56" fillId="0" borderId="36" xfId="0" applyFont="1" applyBorder="1" applyAlignment="1">
      <alignment horizontal="right" vertical="center"/>
    </xf>
    <xf numFmtId="0" fontId="56" fillId="0" borderId="38" xfId="0" applyFont="1" applyBorder="1" applyAlignment="1">
      <alignment horizontal="right" vertical="center"/>
    </xf>
    <xf numFmtId="0" fontId="56" fillId="0" borderId="39" xfId="0" applyFont="1" applyBorder="1" applyAlignment="1">
      <alignment horizontal="right" vertical="center"/>
    </xf>
    <xf numFmtId="0" fontId="56" fillId="5" borderId="44" xfId="0" applyFont="1" applyFill="1" applyBorder="1" applyAlignment="1">
      <alignment horizontal="center" vertical="center" wrapText="1"/>
    </xf>
    <xf numFmtId="0" fontId="56" fillId="5" borderId="46" xfId="0" applyFont="1" applyFill="1" applyBorder="1" applyAlignment="1">
      <alignment horizontal="center" vertical="center" wrapText="1"/>
    </xf>
    <xf numFmtId="0" fontId="56" fillId="5" borderId="41" xfId="0" applyFont="1" applyFill="1" applyBorder="1" applyAlignment="1">
      <alignment horizontal="center" vertical="center" wrapText="1"/>
    </xf>
    <xf numFmtId="0" fontId="56" fillId="5" borderId="46" xfId="0" applyFont="1" applyFill="1" applyBorder="1" applyAlignment="1">
      <alignment horizontal="center" vertical="center"/>
    </xf>
    <xf numFmtId="0" fontId="56" fillId="5" borderId="40" xfId="0" applyFont="1" applyFill="1" applyBorder="1" applyAlignment="1">
      <alignment horizontal="center" vertical="center" wrapText="1"/>
    </xf>
    <xf numFmtId="0" fontId="56" fillId="5" borderId="47" xfId="0" applyFont="1" applyFill="1" applyBorder="1" applyAlignment="1">
      <alignment horizontal="center" vertical="center" wrapText="1"/>
    </xf>
    <xf numFmtId="0" fontId="56" fillId="5" borderId="0" xfId="0" applyFont="1" applyFill="1" applyAlignment="1">
      <alignment horizontal="center" vertical="center" wrapText="1"/>
    </xf>
    <xf numFmtId="0" fontId="2" fillId="0" borderId="20" xfId="0" applyFont="1" applyBorder="1" applyAlignment="1" applyProtection="1">
      <alignment horizontal="center"/>
    </xf>
    <xf numFmtId="0" fontId="16" fillId="0" borderId="21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24" fillId="0" borderId="19" xfId="0" applyFont="1" applyBorder="1" applyAlignment="1" applyProtection="1">
      <alignment horizontal="center"/>
    </xf>
    <xf numFmtId="0" fontId="24" fillId="0" borderId="23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8" fillId="0" borderId="18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  <xf numFmtId="166" fontId="50" fillId="0" borderId="20" xfId="1" applyFont="1" applyBorder="1" applyAlignment="1" applyProtection="1"/>
  </cellXfs>
  <cellStyles count="5">
    <cellStyle name="Excel Built-in Explanatory Text" xfId="3" xr:uid="{00000000-0005-0000-0000-000006000000}"/>
    <cellStyle name="Moeda" xfId="4" builtinId="4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70C0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DCDC"/>
      <rgbColor rgb="FFE3E3E3"/>
      <rgbColor rgb="FFFFFF99"/>
      <rgbColor rgb="FF99CCFF"/>
      <rgbColor rgb="FFFF99CC"/>
      <rgbColor rgb="FFCC99FF"/>
      <rgbColor rgb="FFD8D8D8"/>
      <rgbColor rgb="FF3366FF"/>
      <rgbColor rgb="FF33CCCC"/>
      <rgbColor rgb="FF99CC00"/>
      <rgbColor rgb="FFFFCC00"/>
      <rgbColor rgb="FFFF9900"/>
      <rgbColor rgb="FFFF6600"/>
      <rgbColor rgb="FF666699"/>
      <rgbColor rgb="FFA9A9A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950" b="1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pt-BR" sz="1950" b="1" i="0" u="none" strike="noStrike" baseline="0">
                <a:effectLst/>
              </a:rPr>
              <a:t>Junho de 2024 a Julho de 2025</a:t>
            </a:r>
            <a:endParaRPr lang="pt-BR" sz="1950" b="1" strike="noStrike" spc="-1">
              <a:solidFill>
                <a:srgbClr val="000000"/>
              </a:solidFill>
              <a:latin typeface="Arial"/>
              <a:ea typeface="Arial"/>
            </a:endParaRPr>
          </a:p>
        </c:rich>
      </c:tx>
      <c:layout>
        <c:manualLayout>
          <c:xMode val="edge"/>
          <c:yMode val="edge"/>
          <c:x val="0.29023656241667001"/>
          <c:y val="4.9689440993788803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02201966567023"/>
          <c:y val="0.24093975838998163"/>
          <c:w val="0.85090091806026402"/>
          <c:h val="0.57204094129997396"/>
        </c:manualLayout>
      </c:layout>
      <c:lineChart>
        <c:grouping val="standard"/>
        <c:varyColors val="0"/>
        <c:ser>
          <c:idx val="0"/>
          <c:order val="0"/>
          <c:tx>
            <c:v>Realizado</c:v>
          </c:tx>
          <c:spPr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DCLP_RCL!$D$6:$O$6</c:f>
              <c:numCache>
                <c:formatCode>0.00%</c:formatCode>
                <c:ptCount val="12"/>
                <c:pt idx="0">
                  <c:v>0.5309058810997338</c:v>
                </c:pt>
                <c:pt idx="1">
                  <c:v>0.46447004526049379</c:v>
                </c:pt>
                <c:pt idx="2">
                  <c:v>0.4973156609817076</c:v>
                </c:pt>
                <c:pt idx="3">
                  <c:v>0.58983417792635728</c:v>
                </c:pt>
                <c:pt idx="4">
                  <c:v>0.49026147786098651</c:v>
                </c:pt>
                <c:pt idx="5">
                  <c:v>0.42300236929698953</c:v>
                </c:pt>
                <c:pt idx="6">
                  <c:v>0.57418980125796093</c:v>
                </c:pt>
                <c:pt idx="7">
                  <c:v>0.53565112755126687</c:v>
                </c:pt>
                <c:pt idx="8">
                  <c:v>0.49170191980320443</c:v>
                </c:pt>
                <c:pt idx="9">
                  <c:v>0.47895030357085688</c:v>
                </c:pt>
                <c:pt idx="10">
                  <c:v>0.29740797870237484</c:v>
                </c:pt>
                <c:pt idx="11">
                  <c:v>0.50118589248636181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8-480A-A699-BE5FD6244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91154549"/>
        <c:axId val="74982572"/>
      </c:lineChart>
      <c:catAx>
        <c:axId val="911545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600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pt-BR" sz="1600" b="1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51064721343948805"/>
              <c:y val="0.8883737205843760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6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pt-BR"/>
          </a:p>
        </c:txPr>
        <c:crossAx val="74982572"/>
        <c:crosses val="autoZero"/>
        <c:auto val="1"/>
        <c:lblAlgn val="ctr"/>
        <c:lblOffset val="100"/>
        <c:noMultiLvlLbl val="0"/>
      </c:catAx>
      <c:valAx>
        <c:axId val="74982572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175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pt-BR" sz="1175" b="1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Despesa Líquida com Pessoal</a:t>
                </a:r>
              </a:p>
            </c:rich>
          </c:tx>
          <c:layout>
            <c:manualLayout>
              <c:xMode val="edge"/>
              <c:yMode val="edge"/>
              <c:x val="1.6951735171993401E-2"/>
              <c:y val="0.246085206893535"/>
            </c:manualLayout>
          </c:layout>
          <c:overlay val="0"/>
          <c:spPr>
            <a:noFill/>
            <a:ln w="0">
              <a:noFill/>
            </a:ln>
          </c:spPr>
        </c:title>
        <c:numFmt formatCode="0.00%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pt-BR"/>
          </a:p>
        </c:txPr>
        <c:crossAx val="91154549"/>
        <c:crosses val="autoZero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t"/>
      <c:layout>
        <c:manualLayout>
          <c:xMode val="edge"/>
          <c:yMode val="edge"/>
          <c:x val="0.82683005049903402"/>
          <c:y val="2.94735012428082E-2"/>
        </c:manualLayout>
      </c:layout>
      <c:overlay val="0"/>
      <c:spPr>
        <a:solidFill>
          <a:srgbClr val="FFFFFF"/>
        </a:solidFill>
        <a:ln w="3240">
          <a:solidFill>
            <a:srgbClr val="000000"/>
          </a:solidFill>
          <a:round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3240">
      <a:solidFill>
        <a:srgbClr val="000000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pt-BR" sz="1800" b="0" strike="noStrike" spc="-1">
                <a:solidFill>
                  <a:srgbClr val="000000"/>
                </a:solidFill>
                <a:latin typeface="Arial"/>
                <a:ea typeface="Arial"/>
              </a:rPr>
              <a:t>Termometro de Cruz</a:t>
            </a:r>
          </a:p>
        </c:rich>
      </c:tx>
      <c:layout>
        <c:manualLayout>
          <c:xMode val="edge"/>
          <c:yMode val="edge"/>
          <c:x val="0.38209652525758098"/>
          <c:y val="2.85383406402515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72927877195201"/>
          <c:y val="0.22284721647778999"/>
          <c:w val="0.82859884036207399"/>
          <c:h val="0.72942344279923899"/>
        </c:manualLayout>
      </c:layout>
      <c:barChart>
        <c:barDir val="col"/>
        <c:grouping val="clustered"/>
        <c:varyColors val="0"/>
        <c:ser>
          <c:idx val="0"/>
          <c:order val="0"/>
          <c:tx>
            <c:v>Resultado</c:v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Cruz!$K$11:$K$26</c:f>
              <c:numCache>
                <c:formatCode>_(* #,##0.00_);_(* \(#,##0.00\);_(* \-??_);_(@_)</c:formatCode>
                <c:ptCount val="16"/>
                <c:pt idx="0">
                  <c:v>22.477107294784926</c:v>
                </c:pt>
                <c:pt idx="1">
                  <c:v>18.915189380268874</c:v>
                </c:pt>
                <c:pt idx="2">
                  <c:v>22.599706262131217</c:v>
                </c:pt>
                <c:pt idx="3">
                  <c:v>9.1780760614042123</c:v>
                </c:pt>
                <c:pt idx="4">
                  <c:v>14.487589061788931</c:v>
                </c:pt>
                <c:pt idx="5">
                  <c:v>12.96856890785488</c:v>
                </c:pt>
                <c:pt idx="6">
                  <c:v>23.334770156191468</c:v>
                </c:pt>
                <c:pt idx="7">
                  <c:v>1.7467567241561759</c:v>
                </c:pt>
                <c:pt idx="8">
                  <c:v>7.079217355668356</c:v>
                </c:pt>
                <c:pt idx="9">
                  <c:v>13.51316691030631</c:v>
                </c:pt>
                <c:pt idx="10">
                  <c:v>18.569056466292345</c:v>
                </c:pt>
                <c:pt idx="11">
                  <c:v>22.324980610296244</c:v>
                </c:pt>
                <c:pt idx="12">
                  <c:v>5.5834805156734539</c:v>
                </c:pt>
                <c:pt idx="13">
                  <c:v>100</c:v>
                </c:pt>
                <c:pt idx="14">
                  <c:v>18.763213721983522</c:v>
                </c:pt>
                <c:pt idx="15">
                  <c:v>16.935415675084062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7-4101-A11B-D50108679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93091"/>
        <c:axId val="23454079"/>
      </c:barChart>
      <c:catAx>
        <c:axId val="8809309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pt-BR"/>
          </a:p>
        </c:txPr>
        <c:crossAx val="23454079"/>
        <c:crosses val="autoZero"/>
        <c:auto val="1"/>
        <c:lblAlgn val="ctr"/>
        <c:lblOffset val="100"/>
        <c:noMultiLvlLbl val="0"/>
      </c:catAx>
      <c:valAx>
        <c:axId val="23454079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numFmt formatCode="_ * #,##0.00_ ;_ * \-#,##0.00_ ;_ * \-??_ ;_ @_ 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pt-BR"/>
          </a:p>
        </c:txPr>
        <c:crossAx val="88093091"/>
        <c:crosses val="autoZero"/>
        <c:crossBetween val="between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t"/>
      <c:layout>
        <c:manualLayout>
          <c:xMode val="edge"/>
          <c:yMode val="edge"/>
          <c:x val="0.73208802186923905"/>
          <c:y val="3.0476161744149799E-2"/>
        </c:manualLayout>
      </c:layout>
      <c:overlay val="0"/>
      <c:spPr>
        <a:solidFill>
          <a:srgbClr val="FFFFFF"/>
        </a:solidFill>
        <a:ln w="3240">
          <a:solidFill>
            <a:srgbClr val="000000"/>
          </a:solidFill>
          <a:round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3240">
      <a:solidFill>
        <a:srgbClr val="000000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45</xdr:row>
      <xdr:rowOff>0</xdr:rowOff>
    </xdr:from>
    <xdr:to>
      <xdr:col>12</xdr:col>
      <xdr:colOff>599010</xdr:colOff>
      <xdr:row>45</xdr:row>
      <xdr:rowOff>130515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10100" y="6172200"/>
          <a:ext cx="1827735" cy="1305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28575</xdr:colOff>
      <xdr:row>122</xdr:row>
      <xdr:rowOff>66675</xdr:rowOff>
    </xdr:from>
    <xdr:to>
      <xdr:col>13</xdr:col>
      <xdr:colOff>17985</xdr:colOff>
      <xdr:row>122</xdr:row>
      <xdr:rowOff>206550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38675" y="17335500"/>
          <a:ext cx="1827735" cy="139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19050</xdr:colOff>
      <xdr:row>143</xdr:row>
      <xdr:rowOff>38100</xdr:rowOff>
    </xdr:from>
    <xdr:to>
      <xdr:col>12</xdr:col>
      <xdr:colOff>560910</xdr:colOff>
      <xdr:row>144</xdr:row>
      <xdr:rowOff>35100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72000" y="20421600"/>
          <a:ext cx="1827735" cy="139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19050</xdr:colOff>
      <xdr:row>139</xdr:row>
      <xdr:rowOff>0</xdr:rowOff>
    </xdr:from>
    <xdr:to>
      <xdr:col>12</xdr:col>
      <xdr:colOff>560910</xdr:colOff>
      <xdr:row>139</xdr:row>
      <xdr:rowOff>63675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72000" y="19897725"/>
          <a:ext cx="1827735" cy="139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600075</xdr:colOff>
      <xdr:row>44</xdr:row>
      <xdr:rowOff>133350</xdr:rowOff>
    </xdr:from>
    <xdr:to>
      <xdr:col>10</xdr:col>
      <xdr:colOff>65535</xdr:colOff>
      <xdr:row>45</xdr:row>
      <xdr:rowOff>120990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00500" y="6162675"/>
          <a:ext cx="1284735" cy="1305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38100</xdr:colOff>
      <xdr:row>122</xdr:row>
      <xdr:rowOff>57150</xdr:rowOff>
    </xdr:from>
    <xdr:to>
      <xdr:col>12</xdr:col>
      <xdr:colOff>36960</xdr:colOff>
      <xdr:row>122</xdr:row>
      <xdr:rowOff>197025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91050" y="17325975"/>
          <a:ext cx="1284735" cy="139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228600</xdr:colOff>
      <xdr:row>143</xdr:row>
      <xdr:rowOff>104775</xdr:rowOff>
    </xdr:from>
    <xdr:to>
      <xdr:col>12</xdr:col>
      <xdr:colOff>284610</xdr:colOff>
      <xdr:row>144</xdr:row>
      <xdr:rowOff>16050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38700" y="20488275"/>
          <a:ext cx="1284735" cy="541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180975</xdr:colOff>
      <xdr:row>126</xdr:row>
      <xdr:rowOff>28575</xdr:rowOff>
    </xdr:from>
    <xdr:to>
      <xdr:col>12</xdr:col>
      <xdr:colOff>579885</xdr:colOff>
      <xdr:row>126</xdr:row>
      <xdr:rowOff>130350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33975" y="17973675"/>
          <a:ext cx="1284735" cy="1017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114</xdr:row>
      <xdr:rowOff>0</xdr:rowOff>
    </xdr:from>
    <xdr:to>
      <xdr:col>11</xdr:col>
      <xdr:colOff>665640</xdr:colOff>
      <xdr:row>114</xdr:row>
      <xdr:rowOff>139875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16478280"/>
          <a:ext cx="123840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665640</xdr:colOff>
      <xdr:row>145</xdr:row>
      <xdr:rowOff>54195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1188520"/>
          <a:ext cx="1238400" cy="6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11</xdr:col>
      <xdr:colOff>747060</xdr:colOff>
      <xdr:row>114</xdr:row>
      <xdr:rowOff>139875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16478280"/>
          <a:ext cx="135792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747060</xdr:colOff>
      <xdr:row>145</xdr:row>
      <xdr:rowOff>54195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1188520"/>
          <a:ext cx="1357920" cy="6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11</xdr:col>
      <xdr:colOff>322920</xdr:colOff>
      <xdr:row>43</xdr:row>
      <xdr:rowOff>130350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6213960"/>
          <a:ext cx="89568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11</xdr:col>
      <xdr:colOff>322920</xdr:colOff>
      <xdr:row>114</xdr:row>
      <xdr:rowOff>139875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16478280"/>
          <a:ext cx="89568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322920</xdr:colOff>
      <xdr:row>145</xdr:row>
      <xdr:rowOff>54195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1188520"/>
          <a:ext cx="895680" cy="6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11</xdr:col>
      <xdr:colOff>322920</xdr:colOff>
      <xdr:row>171</xdr:row>
      <xdr:rowOff>189360</xdr:rowOff>
    </xdr:to>
    <xdr:pic>
      <xdr:nvPicPr>
        <xdr:cNvPr id="15" name="Picture 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6568360"/>
          <a:ext cx="895680" cy="18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11</xdr:col>
      <xdr:colOff>747060</xdr:colOff>
      <xdr:row>43</xdr:row>
      <xdr:rowOff>130350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6213960"/>
          <a:ext cx="135792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11</xdr:col>
      <xdr:colOff>747060</xdr:colOff>
      <xdr:row>114</xdr:row>
      <xdr:rowOff>139875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16478280"/>
          <a:ext cx="135792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747060</xdr:colOff>
      <xdr:row>145</xdr:row>
      <xdr:rowOff>54195</xdr:rowOff>
    </xdr:to>
    <xdr:pic>
      <xdr:nvPicPr>
        <xdr:cNvPr id="18" name="Picture 3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1188520"/>
          <a:ext cx="1357920" cy="6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11</xdr:col>
      <xdr:colOff>747060</xdr:colOff>
      <xdr:row>171</xdr:row>
      <xdr:rowOff>189360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6568360"/>
          <a:ext cx="1357920" cy="18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11</xdr:col>
      <xdr:colOff>742950</xdr:colOff>
      <xdr:row>44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79CF4112-1DE5-4A22-9AC1-B99B4D24E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6343650"/>
          <a:ext cx="1285875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11</xdr:col>
      <xdr:colOff>742950</xdr:colOff>
      <xdr:row>115</xdr:row>
      <xdr:rowOff>0</xdr:rowOff>
    </xdr:to>
    <xdr:pic>
      <xdr:nvPicPr>
        <xdr:cNvPr id="3" name="Picture 2" descr="image00002">
          <a:extLst>
            <a:ext uri="{FF2B5EF4-FFF2-40B4-BE49-F238E27FC236}">
              <a16:creationId xmlns:a16="http://schemas.microsoft.com/office/drawing/2014/main" id="{D10D4BA4-D3E8-410E-A61A-5807F6CD8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195738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742950</xdr:colOff>
      <xdr:row>146</xdr:row>
      <xdr:rowOff>9525</xdr:rowOff>
    </xdr:to>
    <xdr:pic>
      <xdr:nvPicPr>
        <xdr:cNvPr id="4" name="Picture 3" descr="image00003">
          <a:extLst>
            <a:ext uri="{FF2B5EF4-FFF2-40B4-BE49-F238E27FC236}">
              <a16:creationId xmlns:a16="http://schemas.microsoft.com/office/drawing/2014/main" id="{7FAF7108-76A9-479E-9089-C96F459E9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46030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11</xdr:col>
      <xdr:colOff>742950</xdr:colOff>
      <xdr:row>171</xdr:row>
      <xdr:rowOff>142875</xdr:rowOff>
    </xdr:to>
    <xdr:pic>
      <xdr:nvPicPr>
        <xdr:cNvPr id="5" name="Picture 4" descr="image00004">
          <a:extLst>
            <a:ext uri="{FF2B5EF4-FFF2-40B4-BE49-F238E27FC236}">
              <a16:creationId xmlns:a16="http://schemas.microsoft.com/office/drawing/2014/main" id="{8FABAAA3-47EE-4DCC-82F2-87575BED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892742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11</xdr:col>
      <xdr:colOff>742950</xdr:colOff>
      <xdr:row>44</xdr:row>
      <xdr:rowOff>0</xdr:rowOff>
    </xdr:to>
    <xdr:pic>
      <xdr:nvPicPr>
        <xdr:cNvPr id="6" name="Picture 1" descr="image00001">
          <a:extLst>
            <a:ext uri="{FF2B5EF4-FFF2-40B4-BE49-F238E27FC236}">
              <a16:creationId xmlns:a16="http://schemas.microsoft.com/office/drawing/2014/main" id="{43472CAE-4A51-4995-84E6-D14EA88D4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6343650"/>
          <a:ext cx="1285875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11</xdr:col>
      <xdr:colOff>742950</xdr:colOff>
      <xdr:row>115</xdr:row>
      <xdr:rowOff>0</xdr:rowOff>
    </xdr:to>
    <xdr:pic>
      <xdr:nvPicPr>
        <xdr:cNvPr id="7" name="Picture 2" descr="image00002">
          <a:extLst>
            <a:ext uri="{FF2B5EF4-FFF2-40B4-BE49-F238E27FC236}">
              <a16:creationId xmlns:a16="http://schemas.microsoft.com/office/drawing/2014/main" id="{5530F88D-91DA-4A22-90FF-CD939209D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195738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742950</xdr:colOff>
      <xdr:row>146</xdr:row>
      <xdr:rowOff>9525</xdr:rowOff>
    </xdr:to>
    <xdr:pic>
      <xdr:nvPicPr>
        <xdr:cNvPr id="20" name="Picture 3" descr="image00003">
          <a:extLst>
            <a:ext uri="{FF2B5EF4-FFF2-40B4-BE49-F238E27FC236}">
              <a16:creationId xmlns:a16="http://schemas.microsoft.com/office/drawing/2014/main" id="{D30C99D4-E2A5-4BB7-B532-09905463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46030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11</xdr:col>
      <xdr:colOff>742950</xdr:colOff>
      <xdr:row>171</xdr:row>
      <xdr:rowOff>142875</xdr:rowOff>
    </xdr:to>
    <xdr:pic>
      <xdr:nvPicPr>
        <xdr:cNvPr id="21" name="Picture 4" descr="image00004">
          <a:extLst>
            <a:ext uri="{FF2B5EF4-FFF2-40B4-BE49-F238E27FC236}">
              <a16:creationId xmlns:a16="http://schemas.microsoft.com/office/drawing/2014/main" id="{39C1356D-71F8-4968-9B93-BEA9D32CF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892742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22" name="Picture 1" descr="image00001">
          <a:extLst>
            <a:ext uri="{FF2B5EF4-FFF2-40B4-BE49-F238E27FC236}">
              <a16:creationId xmlns:a16="http://schemas.microsoft.com/office/drawing/2014/main" id="{B4890E46-E24F-41B9-AFFD-BA2C2BDA3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23" name="Picture 2" descr="image00002">
          <a:extLst>
            <a:ext uri="{FF2B5EF4-FFF2-40B4-BE49-F238E27FC236}">
              <a16:creationId xmlns:a16="http://schemas.microsoft.com/office/drawing/2014/main" id="{4E6C363D-21A4-4E57-A655-83B8BFFF0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24" name="Picture 3" descr="image00003">
          <a:extLst>
            <a:ext uri="{FF2B5EF4-FFF2-40B4-BE49-F238E27FC236}">
              <a16:creationId xmlns:a16="http://schemas.microsoft.com/office/drawing/2014/main" id="{9B62F496-77B2-4BBB-BAD3-C11FD3262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25" name="Picture 4" descr="image00004">
          <a:extLst>
            <a:ext uri="{FF2B5EF4-FFF2-40B4-BE49-F238E27FC236}">
              <a16:creationId xmlns:a16="http://schemas.microsoft.com/office/drawing/2014/main" id="{3BE3B1C1-0334-42D3-B861-A56C20F33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26" name="Picture 1" descr="image00001">
          <a:extLst>
            <a:ext uri="{FF2B5EF4-FFF2-40B4-BE49-F238E27FC236}">
              <a16:creationId xmlns:a16="http://schemas.microsoft.com/office/drawing/2014/main" id="{446D3E99-E9F7-46DD-B4D3-C6DA1CD53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27" name="Picture 2" descr="image00002">
          <a:extLst>
            <a:ext uri="{FF2B5EF4-FFF2-40B4-BE49-F238E27FC236}">
              <a16:creationId xmlns:a16="http://schemas.microsoft.com/office/drawing/2014/main" id="{5CD45D2E-7A75-4048-82C3-EA66498D0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28" name="Picture 3" descr="image00003">
          <a:extLst>
            <a:ext uri="{FF2B5EF4-FFF2-40B4-BE49-F238E27FC236}">
              <a16:creationId xmlns:a16="http://schemas.microsoft.com/office/drawing/2014/main" id="{9D492345-56F5-46EE-974F-794A659D9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29" name="Picture 4" descr="image00004">
          <a:extLst>
            <a:ext uri="{FF2B5EF4-FFF2-40B4-BE49-F238E27FC236}">
              <a16:creationId xmlns:a16="http://schemas.microsoft.com/office/drawing/2014/main" id="{E7E0FAFC-E46E-4A72-A39D-F03187DE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30" name="Picture 1" descr="image00001">
          <a:extLst>
            <a:ext uri="{FF2B5EF4-FFF2-40B4-BE49-F238E27FC236}">
              <a16:creationId xmlns:a16="http://schemas.microsoft.com/office/drawing/2014/main" id="{0D114BD0-6747-4496-A18A-2BFE1F57D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31" name="Picture 2" descr="image00002">
          <a:extLst>
            <a:ext uri="{FF2B5EF4-FFF2-40B4-BE49-F238E27FC236}">
              <a16:creationId xmlns:a16="http://schemas.microsoft.com/office/drawing/2014/main" id="{92001AB5-FDE4-4F41-8D55-6D6F22ED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32" name="Picture 3" descr="image00003">
          <a:extLst>
            <a:ext uri="{FF2B5EF4-FFF2-40B4-BE49-F238E27FC236}">
              <a16:creationId xmlns:a16="http://schemas.microsoft.com/office/drawing/2014/main" id="{5E7024F9-C671-4E11-8A75-CB9F0EFE9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33" name="Picture 4" descr="image00004">
          <a:extLst>
            <a:ext uri="{FF2B5EF4-FFF2-40B4-BE49-F238E27FC236}">
              <a16:creationId xmlns:a16="http://schemas.microsoft.com/office/drawing/2014/main" id="{3B127733-6414-4D22-9AAD-51F3DB010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34" name="Picture 1" descr="image00001">
          <a:extLst>
            <a:ext uri="{FF2B5EF4-FFF2-40B4-BE49-F238E27FC236}">
              <a16:creationId xmlns:a16="http://schemas.microsoft.com/office/drawing/2014/main" id="{70AAB900-47DB-441E-8D0E-C2B2F6A18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35" name="Picture 2" descr="image00002">
          <a:extLst>
            <a:ext uri="{FF2B5EF4-FFF2-40B4-BE49-F238E27FC236}">
              <a16:creationId xmlns:a16="http://schemas.microsoft.com/office/drawing/2014/main" id="{D324F652-8BE9-47F2-9721-62D7B0EA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36" name="Picture 3" descr="image00003">
          <a:extLst>
            <a:ext uri="{FF2B5EF4-FFF2-40B4-BE49-F238E27FC236}">
              <a16:creationId xmlns:a16="http://schemas.microsoft.com/office/drawing/2014/main" id="{7F39C5F0-76EE-463B-AC4F-BCCF9B22B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37" name="Picture 4" descr="image00004">
          <a:extLst>
            <a:ext uri="{FF2B5EF4-FFF2-40B4-BE49-F238E27FC236}">
              <a16:creationId xmlns:a16="http://schemas.microsoft.com/office/drawing/2014/main" id="{7ED85B08-17F4-4A25-8B4B-12A28626D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38" name="Picture 1" descr="image00001">
          <a:extLst>
            <a:ext uri="{FF2B5EF4-FFF2-40B4-BE49-F238E27FC236}">
              <a16:creationId xmlns:a16="http://schemas.microsoft.com/office/drawing/2014/main" id="{10A4A0A5-C8BA-44F0-A084-947DA0E1D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39" name="Picture 2" descr="image00002">
          <a:extLst>
            <a:ext uri="{FF2B5EF4-FFF2-40B4-BE49-F238E27FC236}">
              <a16:creationId xmlns:a16="http://schemas.microsoft.com/office/drawing/2014/main" id="{ECC9D0A1-CF71-4290-8F10-276884E0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40" name="Picture 3" descr="image00003">
          <a:extLst>
            <a:ext uri="{FF2B5EF4-FFF2-40B4-BE49-F238E27FC236}">
              <a16:creationId xmlns:a16="http://schemas.microsoft.com/office/drawing/2014/main" id="{340B0F6E-C02F-4935-B9B0-27AACA0C2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41" name="Picture 4" descr="image00004">
          <a:extLst>
            <a:ext uri="{FF2B5EF4-FFF2-40B4-BE49-F238E27FC236}">
              <a16:creationId xmlns:a16="http://schemas.microsoft.com/office/drawing/2014/main" id="{878574C2-8296-48F0-9785-29CDBF6D9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42" name="Picture 1" descr="image00001">
          <a:extLst>
            <a:ext uri="{FF2B5EF4-FFF2-40B4-BE49-F238E27FC236}">
              <a16:creationId xmlns:a16="http://schemas.microsoft.com/office/drawing/2014/main" id="{D8FC7D54-1255-44E0-9A75-4913BBDAF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43" name="Picture 2" descr="image00002">
          <a:extLst>
            <a:ext uri="{FF2B5EF4-FFF2-40B4-BE49-F238E27FC236}">
              <a16:creationId xmlns:a16="http://schemas.microsoft.com/office/drawing/2014/main" id="{F5C87DDD-06DE-468E-8DC2-945C17A65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44" name="Picture 3" descr="image00003">
          <a:extLst>
            <a:ext uri="{FF2B5EF4-FFF2-40B4-BE49-F238E27FC236}">
              <a16:creationId xmlns:a16="http://schemas.microsoft.com/office/drawing/2014/main" id="{CBB7D3E6-0B14-4995-BA40-7CAA6ED0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45" name="Picture 4" descr="image00004">
          <a:extLst>
            <a:ext uri="{FF2B5EF4-FFF2-40B4-BE49-F238E27FC236}">
              <a16:creationId xmlns:a16="http://schemas.microsoft.com/office/drawing/2014/main" id="{5A9112ED-C0B4-43A2-A03F-4F0E5519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46" name="Picture 1" descr="image00001">
          <a:extLst>
            <a:ext uri="{FF2B5EF4-FFF2-40B4-BE49-F238E27FC236}">
              <a16:creationId xmlns:a16="http://schemas.microsoft.com/office/drawing/2014/main" id="{556604E0-1F47-45EC-BD4F-F1BA990B3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47" name="Picture 2" descr="image00002">
          <a:extLst>
            <a:ext uri="{FF2B5EF4-FFF2-40B4-BE49-F238E27FC236}">
              <a16:creationId xmlns:a16="http://schemas.microsoft.com/office/drawing/2014/main" id="{B9BB6075-AF7D-4EC6-B7DE-DD923DF19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48" name="Picture 3" descr="image00003">
          <a:extLst>
            <a:ext uri="{FF2B5EF4-FFF2-40B4-BE49-F238E27FC236}">
              <a16:creationId xmlns:a16="http://schemas.microsoft.com/office/drawing/2014/main" id="{F7AAFE51-E611-4D21-8590-B7298C22B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49" name="Picture 4" descr="image00004">
          <a:extLst>
            <a:ext uri="{FF2B5EF4-FFF2-40B4-BE49-F238E27FC236}">
              <a16:creationId xmlns:a16="http://schemas.microsoft.com/office/drawing/2014/main" id="{33C3F6EE-EFA5-4D86-BF2E-5E3FA0F2F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50" name="Picture 1" descr="image00001">
          <a:extLst>
            <a:ext uri="{FF2B5EF4-FFF2-40B4-BE49-F238E27FC236}">
              <a16:creationId xmlns:a16="http://schemas.microsoft.com/office/drawing/2014/main" id="{9E9A4C74-C5CA-4D05-9B2E-004D436C2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51" name="Picture 2" descr="image00002">
          <a:extLst>
            <a:ext uri="{FF2B5EF4-FFF2-40B4-BE49-F238E27FC236}">
              <a16:creationId xmlns:a16="http://schemas.microsoft.com/office/drawing/2014/main" id="{9B1B1E30-571C-4E0F-A446-87E563057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52" name="Picture 3" descr="image00003">
          <a:extLst>
            <a:ext uri="{FF2B5EF4-FFF2-40B4-BE49-F238E27FC236}">
              <a16:creationId xmlns:a16="http://schemas.microsoft.com/office/drawing/2014/main" id="{1F0124AB-826E-4A87-B266-89F402E4F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53" name="Picture 4" descr="image00004">
          <a:extLst>
            <a:ext uri="{FF2B5EF4-FFF2-40B4-BE49-F238E27FC236}">
              <a16:creationId xmlns:a16="http://schemas.microsoft.com/office/drawing/2014/main" id="{BD65A118-3B8C-4004-8397-834DD2E11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43</xdr:row>
      <xdr:rowOff>0</xdr:rowOff>
    </xdr:from>
    <xdr:to>
      <xdr:col>12</xdr:col>
      <xdr:colOff>114300</xdr:colOff>
      <xdr:row>44</xdr:row>
      <xdr:rowOff>28575</xdr:rowOff>
    </xdr:to>
    <xdr:pic>
      <xdr:nvPicPr>
        <xdr:cNvPr id="10" name="Picture 1" descr="image00001">
          <a:extLst>
            <a:ext uri="{FF2B5EF4-FFF2-40B4-BE49-F238E27FC236}">
              <a16:creationId xmlns:a16="http://schemas.microsoft.com/office/drawing/2014/main" id="{B060FAB9-D79E-48F4-957F-BD6B5A3F3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6343650"/>
          <a:ext cx="1285875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12</xdr:col>
      <xdr:colOff>114300</xdr:colOff>
      <xdr:row>115</xdr:row>
      <xdr:rowOff>0</xdr:rowOff>
    </xdr:to>
    <xdr:pic>
      <xdr:nvPicPr>
        <xdr:cNvPr id="11" name="Picture 2" descr="image00002">
          <a:extLst>
            <a:ext uri="{FF2B5EF4-FFF2-40B4-BE49-F238E27FC236}">
              <a16:creationId xmlns:a16="http://schemas.microsoft.com/office/drawing/2014/main" id="{39A87161-4A2D-4373-BEBA-20F53E63F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195738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12</xdr:col>
      <xdr:colOff>114300</xdr:colOff>
      <xdr:row>145</xdr:row>
      <xdr:rowOff>142875</xdr:rowOff>
    </xdr:to>
    <xdr:pic>
      <xdr:nvPicPr>
        <xdr:cNvPr id="12" name="Picture 3" descr="image00003">
          <a:extLst>
            <a:ext uri="{FF2B5EF4-FFF2-40B4-BE49-F238E27FC236}">
              <a16:creationId xmlns:a16="http://schemas.microsoft.com/office/drawing/2014/main" id="{3032BDAF-5D24-4E30-B17C-85CB93CE0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46030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12</xdr:col>
      <xdr:colOff>114300</xdr:colOff>
      <xdr:row>171</xdr:row>
      <xdr:rowOff>142875</xdr:rowOff>
    </xdr:to>
    <xdr:pic>
      <xdr:nvPicPr>
        <xdr:cNvPr id="13" name="Picture 4" descr="image00004">
          <a:extLst>
            <a:ext uri="{FF2B5EF4-FFF2-40B4-BE49-F238E27FC236}">
              <a16:creationId xmlns:a16="http://schemas.microsoft.com/office/drawing/2014/main" id="{02C144EC-9E5D-48B2-BA09-1ABC86C90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8927425"/>
          <a:ext cx="1285875" cy="14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36</xdr:col>
      <xdr:colOff>265770</xdr:colOff>
      <xdr:row>69</xdr:row>
      <xdr:rowOff>139995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88320" y="10438920"/>
          <a:ext cx="503064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36</xdr:col>
      <xdr:colOff>398940</xdr:colOff>
      <xdr:row>69</xdr:row>
      <xdr:rowOff>139995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438920"/>
          <a:ext cx="373716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36</xdr:col>
      <xdr:colOff>398940</xdr:colOff>
      <xdr:row>70</xdr:row>
      <xdr:rowOff>139800</xdr:rowOff>
    </xdr:to>
    <xdr:pic>
      <xdr:nvPicPr>
        <xdr:cNvPr id="22" name="Picture 3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665360"/>
          <a:ext cx="3737160" cy="21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26</xdr:col>
      <xdr:colOff>120630</xdr:colOff>
      <xdr:row>69</xdr:row>
      <xdr:rowOff>139995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88320" y="10438920"/>
          <a:ext cx="140652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32</xdr:col>
      <xdr:colOff>29715</xdr:colOff>
      <xdr:row>69</xdr:row>
      <xdr:rowOff>139995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438920"/>
          <a:ext cx="146664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32</xdr:col>
      <xdr:colOff>29715</xdr:colOff>
      <xdr:row>70</xdr:row>
      <xdr:rowOff>139800</xdr:rowOff>
    </xdr:to>
    <xdr:pic>
      <xdr:nvPicPr>
        <xdr:cNvPr id="25" name="Picture 3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665360"/>
          <a:ext cx="1466640" cy="21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26</xdr:col>
      <xdr:colOff>120630</xdr:colOff>
      <xdr:row>69</xdr:row>
      <xdr:rowOff>139995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88320" y="10438920"/>
          <a:ext cx="140652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32</xdr:col>
      <xdr:colOff>29715</xdr:colOff>
      <xdr:row>69</xdr:row>
      <xdr:rowOff>139995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438920"/>
          <a:ext cx="146664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32</xdr:col>
      <xdr:colOff>29715</xdr:colOff>
      <xdr:row>70</xdr:row>
      <xdr:rowOff>139800</xdr:rowOff>
    </xdr:to>
    <xdr:pic>
      <xdr:nvPicPr>
        <xdr:cNvPr id="28" name="Picture 3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665360"/>
          <a:ext cx="1466640" cy="21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26</xdr:col>
      <xdr:colOff>123825</xdr:colOff>
      <xdr:row>70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41B3DB0E-A5AF-40F9-9535-EC5B43A9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0350" y="9915525"/>
          <a:ext cx="133350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32</xdr:col>
      <xdr:colOff>28575</xdr:colOff>
      <xdr:row>70</xdr:row>
      <xdr:rowOff>0</xdr:rowOff>
    </xdr:to>
    <xdr:pic>
      <xdr:nvPicPr>
        <xdr:cNvPr id="3" name="Picture 2" descr="image00002">
          <a:extLst>
            <a:ext uri="{FF2B5EF4-FFF2-40B4-BE49-F238E27FC236}">
              <a16:creationId xmlns:a16="http://schemas.microsoft.com/office/drawing/2014/main" id="{E17D2385-BA94-4410-A46E-67A941526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43850" y="9915525"/>
          <a:ext cx="13906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32</xdr:col>
      <xdr:colOff>28575</xdr:colOff>
      <xdr:row>71</xdr:row>
      <xdr:rowOff>0</xdr:rowOff>
    </xdr:to>
    <xdr:pic>
      <xdr:nvPicPr>
        <xdr:cNvPr id="4" name="Picture 3" descr="image00003">
          <a:extLst>
            <a:ext uri="{FF2B5EF4-FFF2-40B4-BE49-F238E27FC236}">
              <a16:creationId xmlns:a16="http://schemas.microsoft.com/office/drawing/2014/main" id="{7C59AA01-1918-4F9C-9F11-3B1952FDA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43850" y="10134600"/>
          <a:ext cx="1390650" cy="20955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69</xdr:row>
      <xdr:rowOff>0</xdr:rowOff>
    </xdr:from>
    <xdr:to>
      <xdr:col>27</xdr:col>
      <xdr:colOff>238125</xdr:colOff>
      <xdr:row>70</xdr:row>
      <xdr:rowOff>0</xdr:rowOff>
    </xdr:to>
    <xdr:pic>
      <xdr:nvPicPr>
        <xdr:cNvPr id="5" name="Picture 1" descr="image00001">
          <a:extLst>
            <a:ext uri="{FF2B5EF4-FFF2-40B4-BE49-F238E27FC236}">
              <a16:creationId xmlns:a16="http://schemas.microsoft.com/office/drawing/2014/main" id="{D2535931-4F0B-4E07-B096-FB441DFFF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9915525"/>
          <a:ext cx="1333500" cy="2190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69</xdr:row>
      <xdr:rowOff>0</xdr:rowOff>
    </xdr:from>
    <xdr:to>
      <xdr:col>31</xdr:col>
      <xdr:colOff>342900</xdr:colOff>
      <xdr:row>70</xdr:row>
      <xdr:rowOff>0</xdr:rowOff>
    </xdr:to>
    <xdr:pic>
      <xdr:nvPicPr>
        <xdr:cNvPr id="6" name="Picture 2" descr="image00002">
          <a:extLst>
            <a:ext uri="{FF2B5EF4-FFF2-40B4-BE49-F238E27FC236}">
              <a16:creationId xmlns:a16="http://schemas.microsoft.com/office/drawing/2014/main" id="{6466545D-B6D5-4566-B988-9AEF9BAC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9915525"/>
          <a:ext cx="1390650" cy="2190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70</xdr:row>
      <xdr:rowOff>0</xdr:rowOff>
    </xdr:from>
    <xdr:to>
      <xdr:col>31</xdr:col>
      <xdr:colOff>342900</xdr:colOff>
      <xdr:row>71</xdr:row>
      <xdr:rowOff>0</xdr:rowOff>
    </xdr:to>
    <xdr:pic>
      <xdr:nvPicPr>
        <xdr:cNvPr id="7" name="Picture 3" descr="image00003">
          <a:extLst>
            <a:ext uri="{FF2B5EF4-FFF2-40B4-BE49-F238E27FC236}">
              <a16:creationId xmlns:a16="http://schemas.microsoft.com/office/drawing/2014/main" id="{5850704C-FDD0-4409-8833-4CC825D9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10134600"/>
          <a:ext cx="1390650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25</xdr:col>
      <xdr:colOff>0</xdr:colOff>
      <xdr:row>70</xdr:row>
      <xdr:rowOff>0</xdr:rowOff>
    </xdr:to>
    <xdr:pic>
      <xdr:nvPicPr>
        <xdr:cNvPr id="8" name="Picture 1" descr="image00001">
          <a:extLst>
            <a:ext uri="{FF2B5EF4-FFF2-40B4-BE49-F238E27FC236}">
              <a16:creationId xmlns:a16="http://schemas.microsoft.com/office/drawing/2014/main" id="{436FFA1E-5C2E-416C-A403-C8CD72CD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29</xdr:col>
      <xdr:colOff>180975</xdr:colOff>
      <xdr:row>70</xdr:row>
      <xdr:rowOff>0</xdr:rowOff>
    </xdr:to>
    <xdr:pic>
      <xdr:nvPicPr>
        <xdr:cNvPr id="9" name="Picture 2" descr="image00002">
          <a:extLst>
            <a:ext uri="{FF2B5EF4-FFF2-40B4-BE49-F238E27FC236}">
              <a16:creationId xmlns:a16="http://schemas.microsoft.com/office/drawing/2014/main" id="{3CB5B3E3-05EE-42BC-BB3B-5BB15DF16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29</xdr:col>
      <xdr:colOff>180975</xdr:colOff>
      <xdr:row>71</xdr:row>
      <xdr:rowOff>0</xdr:rowOff>
    </xdr:to>
    <xdr:pic>
      <xdr:nvPicPr>
        <xdr:cNvPr id="10" name="Picture 3" descr="image00003">
          <a:extLst>
            <a:ext uri="{FF2B5EF4-FFF2-40B4-BE49-F238E27FC236}">
              <a16:creationId xmlns:a16="http://schemas.microsoft.com/office/drawing/2014/main" id="{447542F8-E7A3-4F4A-83A0-F074A5865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27</xdr:col>
      <xdr:colOff>0</xdr:colOff>
      <xdr:row>70</xdr:row>
      <xdr:rowOff>0</xdr:rowOff>
    </xdr:to>
    <xdr:pic>
      <xdr:nvPicPr>
        <xdr:cNvPr id="11" name="Picture 1" descr="image00001">
          <a:extLst>
            <a:ext uri="{FF2B5EF4-FFF2-40B4-BE49-F238E27FC236}">
              <a16:creationId xmlns:a16="http://schemas.microsoft.com/office/drawing/2014/main" id="{59713038-9CCC-4BE6-BBDF-7FF21FE3C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33</xdr:col>
      <xdr:colOff>0</xdr:colOff>
      <xdr:row>70</xdr:row>
      <xdr:rowOff>0</xdr:rowOff>
    </xdr:to>
    <xdr:pic>
      <xdr:nvPicPr>
        <xdr:cNvPr id="12" name="Picture 2" descr="image00002">
          <a:extLst>
            <a:ext uri="{FF2B5EF4-FFF2-40B4-BE49-F238E27FC236}">
              <a16:creationId xmlns:a16="http://schemas.microsoft.com/office/drawing/2014/main" id="{FBD46C5E-E296-4F37-A5B8-0E6DE1C08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33</xdr:col>
      <xdr:colOff>0</xdr:colOff>
      <xdr:row>71</xdr:row>
      <xdr:rowOff>0</xdr:rowOff>
    </xdr:to>
    <xdr:pic>
      <xdr:nvPicPr>
        <xdr:cNvPr id="13" name="Picture 3" descr="image00003">
          <a:extLst>
            <a:ext uri="{FF2B5EF4-FFF2-40B4-BE49-F238E27FC236}">
              <a16:creationId xmlns:a16="http://schemas.microsoft.com/office/drawing/2014/main" id="{420BCB58-AA2B-4BE6-8625-65AF5F3EA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69</xdr:row>
      <xdr:rowOff>0</xdr:rowOff>
    </xdr:from>
    <xdr:to>
      <xdr:col>29</xdr:col>
      <xdr:colOff>0</xdr:colOff>
      <xdr:row>70</xdr:row>
      <xdr:rowOff>0</xdr:rowOff>
    </xdr:to>
    <xdr:pic>
      <xdr:nvPicPr>
        <xdr:cNvPr id="14" name="Picture 1" descr="image00001">
          <a:extLst>
            <a:ext uri="{FF2B5EF4-FFF2-40B4-BE49-F238E27FC236}">
              <a16:creationId xmlns:a16="http://schemas.microsoft.com/office/drawing/2014/main" id="{C18EDF56-4F87-4B13-B602-95475C92A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57975" y="9906000"/>
          <a:ext cx="1362075" cy="2190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69</xdr:row>
      <xdr:rowOff>0</xdr:rowOff>
    </xdr:from>
    <xdr:to>
      <xdr:col>33</xdr:col>
      <xdr:colOff>342900</xdr:colOff>
      <xdr:row>70</xdr:row>
      <xdr:rowOff>0</xdr:rowOff>
    </xdr:to>
    <xdr:pic>
      <xdr:nvPicPr>
        <xdr:cNvPr id="15" name="Picture 2" descr="image00002">
          <a:extLst>
            <a:ext uri="{FF2B5EF4-FFF2-40B4-BE49-F238E27FC236}">
              <a16:creationId xmlns:a16="http://schemas.microsoft.com/office/drawing/2014/main" id="{0F45EF98-3695-4705-97FA-658CB6C8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70</xdr:row>
      <xdr:rowOff>0</xdr:rowOff>
    </xdr:from>
    <xdr:to>
      <xdr:col>33</xdr:col>
      <xdr:colOff>342900</xdr:colOff>
      <xdr:row>71</xdr:row>
      <xdr:rowOff>0</xdr:rowOff>
    </xdr:to>
    <xdr:pic>
      <xdr:nvPicPr>
        <xdr:cNvPr id="16" name="Picture 3" descr="image00003">
          <a:extLst>
            <a:ext uri="{FF2B5EF4-FFF2-40B4-BE49-F238E27FC236}">
              <a16:creationId xmlns:a16="http://schemas.microsoft.com/office/drawing/2014/main" id="{31926C6F-D975-4F3F-9405-DF4812270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27</xdr:col>
      <xdr:colOff>0</xdr:colOff>
      <xdr:row>70</xdr:row>
      <xdr:rowOff>0</xdr:rowOff>
    </xdr:to>
    <xdr:pic>
      <xdr:nvPicPr>
        <xdr:cNvPr id="17" name="Picture 1" descr="image00001">
          <a:extLst>
            <a:ext uri="{FF2B5EF4-FFF2-40B4-BE49-F238E27FC236}">
              <a16:creationId xmlns:a16="http://schemas.microsoft.com/office/drawing/2014/main" id="{F77243E0-3E3E-4CC7-A6C3-6F1728EC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33</xdr:col>
      <xdr:colOff>0</xdr:colOff>
      <xdr:row>70</xdr:row>
      <xdr:rowOff>0</xdr:rowOff>
    </xdr:to>
    <xdr:pic>
      <xdr:nvPicPr>
        <xdr:cNvPr id="18" name="Picture 2" descr="image00002">
          <a:extLst>
            <a:ext uri="{FF2B5EF4-FFF2-40B4-BE49-F238E27FC236}">
              <a16:creationId xmlns:a16="http://schemas.microsoft.com/office/drawing/2014/main" id="{0544395D-A1C5-4232-B66B-DE62E71B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33</xdr:col>
      <xdr:colOff>0</xdr:colOff>
      <xdr:row>71</xdr:row>
      <xdr:rowOff>0</xdr:rowOff>
    </xdr:to>
    <xdr:pic>
      <xdr:nvPicPr>
        <xdr:cNvPr id="19" name="Picture 3" descr="image00003">
          <a:extLst>
            <a:ext uri="{FF2B5EF4-FFF2-40B4-BE49-F238E27FC236}">
              <a16:creationId xmlns:a16="http://schemas.microsoft.com/office/drawing/2014/main" id="{753D039E-20D9-4D95-84BF-8E93881F9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27</xdr:col>
      <xdr:colOff>0</xdr:colOff>
      <xdr:row>70</xdr:row>
      <xdr:rowOff>0</xdr:rowOff>
    </xdr:to>
    <xdr:pic>
      <xdr:nvPicPr>
        <xdr:cNvPr id="29" name="Picture 1" descr="image00001">
          <a:extLst>
            <a:ext uri="{FF2B5EF4-FFF2-40B4-BE49-F238E27FC236}">
              <a16:creationId xmlns:a16="http://schemas.microsoft.com/office/drawing/2014/main" id="{2A8BB630-3150-4056-A6D3-22455DCDD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33</xdr:col>
      <xdr:colOff>0</xdr:colOff>
      <xdr:row>70</xdr:row>
      <xdr:rowOff>0</xdr:rowOff>
    </xdr:to>
    <xdr:pic>
      <xdr:nvPicPr>
        <xdr:cNvPr id="30" name="Picture 2" descr="image00002">
          <a:extLst>
            <a:ext uri="{FF2B5EF4-FFF2-40B4-BE49-F238E27FC236}">
              <a16:creationId xmlns:a16="http://schemas.microsoft.com/office/drawing/2014/main" id="{1070D513-90D9-4241-8C9D-0A8BC0DA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33</xdr:col>
      <xdr:colOff>0</xdr:colOff>
      <xdr:row>71</xdr:row>
      <xdr:rowOff>0</xdr:rowOff>
    </xdr:to>
    <xdr:pic>
      <xdr:nvPicPr>
        <xdr:cNvPr id="31" name="Picture 3" descr="image00003">
          <a:extLst>
            <a:ext uri="{FF2B5EF4-FFF2-40B4-BE49-F238E27FC236}">
              <a16:creationId xmlns:a16="http://schemas.microsoft.com/office/drawing/2014/main" id="{17AB19FD-FFA3-4285-870F-BE33BBA6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27</xdr:col>
      <xdr:colOff>0</xdr:colOff>
      <xdr:row>70</xdr:row>
      <xdr:rowOff>0</xdr:rowOff>
    </xdr:to>
    <xdr:pic>
      <xdr:nvPicPr>
        <xdr:cNvPr id="32" name="Picture 1" descr="image00001">
          <a:extLst>
            <a:ext uri="{FF2B5EF4-FFF2-40B4-BE49-F238E27FC236}">
              <a16:creationId xmlns:a16="http://schemas.microsoft.com/office/drawing/2014/main" id="{F0E6FC47-4B60-44EE-8ACE-DCF134F4D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33</xdr:col>
      <xdr:colOff>0</xdr:colOff>
      <xdr:row>70</xdr:row>
      <xdr:rowOff>0</xdr:rowOff>
    </xdr:to>
    <xdr:pic>
      <xdr:nvPicPr>
        <xdr:cNvPr id="33" name="Picture 2" descr="image00002">
          <a:extLst>
            <a:ext uri="{FF2B5EF4-FFF2-40B4-BE49-F238E27FC236}">
              <a16:creationId xmlns:a16="http://schemas.microsoft.com/office/drawing/2014/main" id="{AEC3017A-AA19-4D66-BEE4-1D39FDCC1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33</xdr:col>
      <xdr:colOff>0</xdr:colOff>
      <xdr:row>71</xdr:row>
      <xdr:rowOff>0</xdr:rowOff>
    </xdr:to>
    <xdr:pic>
      <xdr:nvPicPr>
        <xdr:cNvPr id="34" name="Picture 3" descr="image00003">
          <a:extLst>
            <a:ext uri="{FF2B5EF4-FFF2-40B4-BE49-F238E27FC236}">
              <a16:creationId xmlns:a16="http://schemas.microsoft.com/office/drawing/2014/main" id="{8E40F230-D6D7-4A6D-8941-3E508642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27689</xdr:colOff>
      <xdr:row>10</xdr:row>
      <xdr:rowOff>41427</xdr:rowOff>
    </xdr:from>
    <xdr:to>
      <xdr:col>14</xdr:col>
      <xdr:colOff>443465</xdr:colOff>
      <xdr:row>30</xdr:row>
      <xdr:rowOff>69776</xdr:rowOff>
    </xdr:to>
    <xdr:graphicFrame macro="">
      <xdr:nvGraphicFramePr>
        <xdr:cNvPr id="29" name="Chart 1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492200</xdr:colOff>
      <xdr:row>19</xdr:row>
      <xdr:rowOff>21707</xdr:rowOff>
    </xdr:from>
    <xdr:to>
      <xdr:col>3</xdr:col>
      <xdr:colOff>338691</xdr:colOff>
      <xdr:row>20</xdr:row>
      <xdr:rowOff>78856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B19D65D-3814-C957-699A-FF4DB966EF90}"/>
            </a:ext>
          </a:extLst>
        </xdr:cNvPr>
        <xdr:cNvSpPr txBox="1"/>
      </xdr:nvSpPr>
      <xdr:spPr>
        <a:xfrm>
          <a:off x="1511153" y="3028727"/>
          <a:ext cx="522102" cy="2454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/>
            <a:t>Mai/25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0.87798</cdr:x>
      <cdr:y>0.18515</cdr:y>
    </cdr:from>
    <cdr:to>
      <cdr:x>0.95866</cdr:x>
      <cdr:y>0.23751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31538E35-F292-006F-FA66-A8BCCFE70807}"/>
            </a:ext>
          </a:extLst>
        </cdr:cNvPr>
        <cdr:cNvSpPr txBox="1"/>
      </cdr:nvSpPr>
      <cdr:spPr>
        <a:xfrm xmlns:a="http://schemas.openxmlformats.org/drawingml/2006/main">
          <a:off x="7877175" y="1380900"/>
          <a:ext cx="72390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0.63941</cdr:x>
      <cdr:y>0.32961</cdr:y>
    </cdr:from>
    <cdr:to>
      <cdr:x>0.70028</cdr:x>
      <cdr:y>0.36281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5357679" y="1250566"/>
          <a:ext cx="510037" cy="12596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Nov/24</a:t>
          </a:r>
        </a:p>
      </cdr:txBody>
    </cdr:sp>
  </cdr:relSizeAnchor>
  <cdr:relSizeAnchor xmlns:cdr="http://schemas.openxmlformats.org/drawingml/2006/chartDrawing">
    <cdr:from>
      <cdr:x>0.55359</cdr:x>
      <cdr:y>0.2765</cdr:y>
    </cdr:from>
    <cdr:to>
      <cdr:x>0.61445</cdr:x>
      <cdr:y>0.32633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CDEB0710-4D5F-1E04-669A-DD462C806E1E}"/>
            </a:ext>
          </a:extLst>
        </cdr:cNvPr>
        <cdr:cNvSpPr txBox="1"/>
      </cdr:nvSpPr>
      <cdr:spPr>
        <a:xfrm xmlns:a="http://schemas.openxmlformats.org/drawingml/2006/main">
          <a:off x="4638638" y="1049054"/>
          <a:ext cx="509953" cy="1890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Dez/24</a:t>
          </a:r>
        </a:p>
      </cdr:txBody>
    </cdr:sp>
  </cdr:relSizeAnchor>
  <cdr:relSizeAnchor xmlns:cdr="http://schemas.openxmlformats.org/drawingml/2006/chartDrawing">
    <cdr:from>
      <cdr:x>0.47759</cdr:x>
      <cdr:y>0.48281</cdr:y>
    </cdr:from>
    <cdr:to>
      <cdr:x>0.5393</cdr:x>
      <cdr:y>0.52119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CDEB0710-4D5F-1E04-669A-DD462C806E1E}"/>
            </a:ext>
          </a:extLst>
        </cdr:cNvPr>
        <cdr:cNvSpPr txBox="1"/>
      </cdr:nvSpPr>
      <cdr:spPr>
        <a:xfrm xmlns:a="http://schemas.openxmlformats.org/drawingml/2006/main">
          <a:off x="4001786" y="1831794"/>
          <a:ext cx="517076" cy="14561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Jan/25</a:t>
          </a:r>
        </a:p>
      </cdr:txBody>
    </cdr:sp>
  </cdr:relSizeAnchor>
  <cdr:relSizeAnchor xmlns:cdr="http://schemas.openxmlformats.org/drawingml/2006/chartDrawing">
    <cdr:from>
      <cdr:x>0.33478</cdr:x>
      <cdr:y>0.2687</cdr:y>
    </cdr:from>
    <cdr:to>
      <cdr:x>0.40901</cdr:x>
      <cdr:y>0.31409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C990133C-C896-33C6-123C-3E647308E437}"/>
            </a:ext>
          </a:extLst>
        </cdr:cNvPr>
        <cdr:cNvSpPr txBox="1"/>
      </cdr:nvSpPr>
      <cdr:spPr>
        <a:xfrm xmlns:a="http://schemas.openxmlformats.org/drawingml/2006/main">
          <a:off x="2805202" y="1019464"/>
          <a:ext cx="621982" cy="17221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Mar/25</a:t>
          </a:r>
        </a:p>
      </cdr:txBody>
    </cdr:sp>
  </cdr:relSizeAnchor>
  <cdr:relSizeAnchor xmlns:cdr="http://schemas.openxmlformats.org/drawingml/2006/chartDrawing">
    <cdr:from>
      <cdr:x>0.25552</cdr:x>
      <cdr:y>0.41466</cdr:y>
    </cdr:from>
    <cdr:to>
      <cdr:x>0.31461</cdr:x>
      <cdr:y>0.44786</cdr:y>
    </cdr:to>
    <cdr:sp macro="" textlink="">
      <cdr:nvSpPr>
        <cdr:cNvPr id="7" name="CaixaDeTexto 1">
          <a:extLst xmlns:a="http://schemas.openxmlformats.org/drawingml/2006/main">
            <a:ext uri="{FF2B5EF4-FFF2-40B4-BE49-F238E27FC236}">
              <a16:creationId xmlns:a16="http://schemas.microsoft.com/office/drawing/2014/main" id="{1CA35A90-4B15-2BF0-0758-9B1D1E5D95E0}"/>
            </a:ext>
          </a:extLst>
        </cdr:cNvPr>
        <cdr:cNvSpPr txBox="1"/>
      </cdr:nvSpPr>
      <cdr:spPr>
        <a:xfrm xmlns:a="http://schemas.openxmlformats.org/drawingml/2006/main">
          <a:off x="2141020" y="1573258"/>
          <a:ext cx="495122" cy="12596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Abr/25</a:t>
          </a:r>
        </a:p>
      </cdr:txBody>
    </cdr:sp>
  </cdr:relSizeAnchor>
  <cdr:relSizeAnchor xmlns:cdr="http://schemas.openxmlformats.org/drawingml/2006/chartDrawing">
    <cdr:from>
      <cdr:x>0.11766</cdr:x>
      <cdr:y>0.32546</cdr:y>
    </cdr:from>
    <cdr:to>
      <cdr:x>0.18704</cdr:x>
      <cdr:y>0.37008</cdr:y>
    </cdr:to>
    <cdr:sp macro="" textlink="">
      <cdr:nvSpPr>
        <cdr:cNvPr id="8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985858" y="1234804"/>
          <a:ext cx="581337" cy="16929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Jun/25</a:t>
          </a:r>
        </a:p>
      </cdr:txBody>
    </cdr:sp>
  </cdr:relSizeAnchor>
  <cdr:relSizeAnchor xmlns:cdr="http://schemas.openxmlformats.org/drawingml/2006/chartDrawing">
    <cdr:from>
      <cdr:x>0.93589</cdr:x>
      <cdr:y>0.35485</cdr:y>
    </cdr:from>
    <cdr:to>
      <cdr:x>0.99321</cdr:x>
      <cdr:y>0.39626</cdr:y>
    </cdr:to>
    <cdr:sp macro="" textlink="">
      <cdr:nvSpPr>
        <cdr:cNvPr id="9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7841959" y="1346324"/>
          <a:ext cx="480291" cy="15711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Jul/24</a:t>
          </a:r>
        </a:p>
      </cdr:txBody>
    </cdr:sp>
  </cdr:relSizeAnchor>
  <cdr:relSizeAnchor xmlns:cdr="http://schemas.openxmlformats.org/drawingml/2006/chartDrawing">
    <cdr:from>
      <cdr:x>0.86501</cdr:x>
      <cdr:y>0.57839</cdr:y>
    </cdr:from>
    <cdr:to>
      <cdr:x>0.92631</cdr:x>
      <cdr:y>0.62344</cdr:y>
    </cdr:to>
    <cdr:sp macro="" textlink="">
      <cdr:nvSpPr>
        <cdr:cNvPr id="10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7247993" y="2194440"/>
          <a:ext cx="513640" cy="1709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Ago/24</a:t>
          </a:r>
        </a:p>
      </cdr:txBody>
    </cdr:sp>
  </cdr:relSizeAnchor>
  <cdr:relSizeAnchor xmlns:cdr="http://schemas.openxmlformats.org/drawingml/2006/chartDrawing">
    <cdr:from>
      <cdr:x>0.77665</cdr:x>
      <cdr:y>0.43186</cdr:y>
    </cdr:from>
    <cdr:to>
      <cdr:x>0.83398</cdr:x>
      <cdr:y>0.47397</cdr:y>
    </cdr:to>
    <cdr:sp macro="" textlink="">
      <cdr:nvSpPr>
        <cdr:cNvPr id="11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6507668" y="1638508"/>
          <a:ext cx="480375" cy="15976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Set/24</a:t>
          </a:r>
        </a:p>
      </cdr:txBody>
    </cdr:sp>
  </cdr:relSizeAnchor>
  <cdr:relSizeAnchor xmlns:cdr="http://schemas.openxmlformats.org/drawingml/2006/chartDrawing">
    <cdr:from>
      <cdr:x>0.70741</cdr:x>
      <cdr:y>0.42471</cdr:y>
    </cdr:from>
    <cdr:to>
      <cdr:x>0.7716</cdr:x>
      <cdr:y>0.46938</cdr:y>
    </cdr:to>
    <cdr:sp macro="" textlink="">
      <cdr:nvSpPr>
        <cdr:cNvPr id="12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5927476" y="1611384"/>
          <a:ext cx="537855" cy="16948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Out/24</a:t>
          </a:r>
        </a:p>
      </cdr:txBody>
    </cdr:sp>
  </cdr:relSizeAnchor>
  <cdr:relSizeAnchor xmlns:cdr="http://schemas.openxmlformats.org/drawingml/2006/chartDrawing">
    <cdr:from>
      <cdr:x>0.38839</cdr:x>
      <cdr:y>0.4313</cdr:y>
    </cdr:from>
    <cdr:to>
      <cdr:x>0.46262</cdr:x>
      <cdr:y>0.47669</cdr:y>
    </cdr:to>
    <cdr:sp macro="" textlink="">
      <cdr:nvSpPr>
        <cdr:cNvPr id="13" name="CaixaDeTexto 1">
          <a:extLst xmlns:a="http://schemas.openxmlformats.org/drawingml/2006/main">
            <a:ext uri="{FF2B5EF4-FFF2-40B4-BE49-F238E27FC236}">
              <a16:creationId xmlns:a16="http://schemas.microsoft.com/office/drawing/2014/main" id="{0345C9EC-C19D-65BD-CC6E-A9EFC6F15A5F}"/>
            </a:ext>
          </a:extLst>
        </cdr:cNvPr>
        <cdr:cNvSpPr txBox="1"/>
      </cdr:nvSpPr>
      <cdr:spPr>
        <a:xfrm xmlns:a="http://schemas.openxmlformats.org/drawingml/2006/main">
          <a:off x="3254377" y="1636376"/>
          <a:ext cx="621982" cy="17221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Fev/25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8280</xdr:rowOff>
    </xdr:from>
    <xdr:to>
      <xdr:col>11</xdr:col>
      <xdr:colOff>208380</xdr:colOff>
      <xdr:row>71</xdr:row>
      <xdr:rowOff>73800</xdr:rowOff>
    </xdr:to>
    <xdr:graphicFrame macro="">
      <xdr:nvGraphicFramePr>
        <xdr:cNvPr id="30" name="Chart 5">
          <a:extLst>
            <a:ext uri="{FF2B5EF4-FFF2-40B4-BE49-F238E27FC236}">
              <a16:creationId xmlns:a16="http://schemas.microsoft.com/office/drawing/2014/main" id="{00000000-0008-0000-12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01"/>
  <sheetViews>
    <sheetView tabSelected="1" topLeftCell="A32" zoomScale="136" zoomScaleNormal="136" workbookViewId="0">
      <selection activeCell="A61" sqref="A61:D63"/>
    </sheetView>
  </sheetViews>
  <sheetFormatPr defaultColWidth="8.7109375" defaultRowHeight="8.25" x14ac:dyDescent="0.15"/>
  <cols>
    <col min="1" max="2" width="1.7109375" style="8" customWidth="1"/>
    <col min="3" max="3" width="15.42578125" style="8" customWidth="1"/>
    <col min="4" max="5" width="10" style="8" customWidth="1"/>
    <col min="6" max="6" width="11.140625" style="8" customWidth="1"/>
    <col min="7" max="7" width="13.140625" style="8" customWidth="1"/>
    <col min="8" max="8" width="11.28515625" style="8" bestFit="1" customWidth="1"/>
    <col min="9" max="9" width="9.42578125" style="8" bestFit="1" customWidth="1"/>
    <col min="10" max="10" width="10.140625" style="8" customWidth="1"/>
    <col min="11" max="1019" width="8.7109375" style="8"/>
    <col min="1020" max="16384" width="8.7109375" style="413"/>
  </cols>
  <sheetData>
    <row r="1" spans="1:10" x14ac:dyDescent="0.15">
      <c r="A1" s="533" t="s">
        <v>0</v>
      </c>
      <c r="B1" s="533"/>
      <c r="C1" s="533"/>
      <c r="D1" s="533"/>
      <c r="E1" s="533"/>
      <c r="F1" s="533"/>
      <c r="G1" s="533"/>
    </row>
    <row r="2" spans="1:10" x14ac:dyDescent="0.15">
      <c r="A2" s="533" t="s">
        <v>1</v>
      </c>
      <c r="B2" s="533"/>
      <c r="C2" s="533"/>
      <c r="D2" s="533"/>
      <c r="E2" s="533"/>
      <c r="F2" s="533"/>
      <c r="G2" s="533"/>
    </row>
    <row r="3" spans="1:10" x14ac:dyDescent="0.15">
      <c r="A3" s="534" t="s">
        <v>2</v>
      </c>
      <c r="B3" s="534"/>
      <c r="C3" s="534"/>
      <c r="D3" s="534"/>
      <c r="E3" s="534"/>
      <c r="F3" s="534"/>
      <c r="G3" s="534"/>
    </row>
    <row r="4" spans="1:10" x14ac:dyDescent="0.15">
      <c r="A4" s="533" t="s">
        <v>3</v>
      </c>
      <c r="B4" s="533"/>
      <c r="C4" s="533"/>
      <c r="D4" s="533"/>
      <c r="E4" s="535" t="s">
        <v>2038</v>
      </c>
      <c r="G4" s="533"/>
    </row>
    <row r="5" spans="1:10" ht="9" thickBot="1" x14ac:dyDescent="0.2">
      <c r="A5" s="533" t="s">
        <v>4</v>
      </c>
      <c r="B5" s="533"/>
      <c r="C5" s="533"/>
      <c r="F5" s="184"/>
      <c r="G5" s="184"/>
      <c r="H5" s="184" t="s">
        <v>5</v>
      </c>
    </row>
    <row r="6" spans="1:10" ht="9" thickBot="1" x14ac:dyDescent="0.2">
      <c r="A6" s="536" t="s">
        <v>6</v>
      </c>
      <c r="B6" s="537"/>
      <c r="C6" s="537"/>
      <c r="D6" s="538" t="s">
        <v>31</v>
      </c>
      <c r="E6" s="537" t="s">
        <v>7</v>
      </c>
      <c r="F6" s="537" t="s">
        <v>8</v>
      </c>
      <c r="G6" s="539" t="s">
        <v>9</v>
      </c>
      <c r="H6" s="539" t="s">
        <v>626</v>
      </c>
      <c r="I6" s="539" t="s">
        <v>10</v>
      </c>
    </row>
    <row r="7" spans="1:10" ht="12.75" customHeight="1" x14ac:dyDescent="0.15">
      <c r="A7" s="454" t="s">
        <v>11</v>
      </c>
      <c r="B7" s="540"/>
      <c r="C7" s="540"/>
      <c r="D7" s="541"/>
      <c r="E7" s="541"/>
      <c r="F7" s="541"/>
      <c r="G7" s="542"/>
      <c r="H7" s="541"/>
      <c r="I7" s="541"/>
    </row>
    <row r="8" spans="1:10" ht="12.75" customHeight="1" x14ac:dyDescent="0.15">
      <c r="B8" s="455" t="s">
        <v>12</v>
      </c>
      <c r="C8" s="543"/>
      <c r="D8" s="544">
        <v>238833967.47</v>
      </c>
      <c r="E8" s="544">
        <v>238833967.47</v>
      </c>
      <c r="F8" s="544">
        <v>238833967.47</v>
      </c>
      <c r="G8" s="545"/>
      <c r="H8" s="546"/>
      <c r="I8" s="545">
        <v>238833967.47</v>
      </c>
      <c r="J8" s="486"/>
    </row>
    <row r="9" spans="1:10" x14ac:dyDescent="0.15">
      <c r="B9" s="455" t="s">
        <v>13</v>
      </c>
      <c r="C9" s="543"/>
      <c r="D9" s="544">
        <v>238833967.47</v>
      </c>
      <c r="E9" s="547">
        <v>238833967.47</v>
      </c>
      <c r="F9" s="548">
        <v>238833967.47</v>
      </c>
      <c r="G9" s="547"/>
      <c r="H9" s="549"/>
      <c r="I9" s="547">
        <v>238833967.47</v>
      </c>
      <c r="J9" s="486"/>
    </row>
    <row r="10" spans="1:10" x14ac:dyDescent="0.15">
      <c r="B10" s="455" t="s">
        <v>14</v>
      </c>
      <c r="C10" s="543"/>
      <c r="D10" s="544">
        <v>34798947.770000003</v>
      </c>
      <c r="E10" s="547">
        <v>68908465.340000004</v>
      </c>
      <c r="F10" s="548">
        <v>105509363.39</v>
      </c>
      <c r="G10" s="547"/>
      <c r="H10" s="549"/>
      <c r="I10" s="547">
        <v>105509363.39</v>
      </c>
      <c r="J10" s="486"/>
    </row>
    <row r="11" spans="1:10" x14ac:dyDescent="0.15">
      <c r="B11" s="455" t="s">
        <v>15</v>
      </c>
      <c r="C11" s="543"/>
      <c r="D11" s="544"/>
      <c r="E11" s="550"/>
      <c r="F11" s="551"/>
      <c r="G11" s="552"/>
      <c r="H11" s="549"/>
      <c r="I11" s="551"/>
      <c r="J11" s="437"/>
    </row>
    <row r="12" spans="1:10" ht="34.5" customHeight="1" x14ac:dyDescent="0.15">
      <c r="B12" s="739" t="s">
        <v>16</v>
      </c>
      <c r="C12" s="739"/>
      <c r="D12" s="544">
        <v>1049602.45</v>
      </c>
      <c r="E12" s="547">
        <v>3529018.8</v>
      </c>
      <c r="F12" s="548">
        <v>7446881.3099999996</v>
      </c>
      <c r="G12" s="547"/>
      <c r="H12" s="549"/>
      <c r="I12" s="547">
        <v>7446881.3099999996</v>
      </c>
      <c r="J12" s="437"/>
    </row>
    <row r="13" spans="1:10" ht="12.75" customHeight="1" x14ac:dyDescent="0.15">
      <c r="A13" s="455" t="s">
        <v>17</v>
      </c>
      <c r="B13" s="543"/>
      <c r="C13" s="543"/>
      <c r="D13" s="544"/>
      <c r="E13" s="553"/>
      <c r="F13" s="554"/>
      <c r="G13" s="553"/>
      <c r="H13" s="549"/>
      <c r="I13" s="553"/>
      <c r="J13" s="437"/>
    </row>
    <row r="14" spans="1:10" x14ac:dyDescent="0.15">
      <c r="B14" s="455" t="s">
        <v>18</v>
      </c>
      <c r="C14" s="543"/>
      <c r="D14" s="544">
        <v>229039611.56</v>
      </c>
      <c r="E14" s="547">
        <v>229039611.56</v>
      </c>
      <c r="F14" s="547">
        <v>229039611.56</v>
      </c>
      <c r="G14" s="547"/>
      <c r="H14" s="549"/>
      <c r="I14" s="547">
        <v>229039611.56</v>
      </c>
      <c r="J14" s="437"/>
    </row>
    <row r="15" spans="1:10" x14ac:dyDescent="0.15">
      <c r="B15" s="455" t="s">
        <v>19</v>
      </c>
      <c r="C15" s="543"/>
      <c r="D15" s="544">
        <v>230089241.00999999</v>
      </c>
      <c r="E15" s="547">
        <v>234682886.72999999</v>
      </c>
      <c r="F15" s="548">
        <v>240252825.27000001</v>
      </c>
      <c r="G15" s="547"/>
      <c r="H15" s="549"/>
      <c r="I15" s="547">
        <v>240252825.27000001</v>
      </c>
      <c r="J15" s="437"/>
    </row>
    <row r="16" spans="1:10" x14ac:dyDescent="0.15">
      <c r="B16" s="455" t="s">
        <v>20</v>
      </c>
      <c r="C16" s="543"/>
      <c r="D16" s="544">
        <v>43821856.640000001</v>
      </c>
      <c r="E16" s="547">
        <v>77359008.310000002</v>
      </c>
      <c r="F16" s="548">
        <v>113078117.77</v>
      </c>
      <c r="G16" s="547"/>
      <c r="H16" s="549"/>
      <c r="I16" s="547">
        <v>113078117.77</v>
      </c>
      <c r="J16" s="437"/>
    </row>
    <row r="17" spans="1:10" x14ac:dyDescent="0.15">
      <c r="B17" s="455" t="s">
        <v>21</v>
      </c>
      <c r="C17" s="543"/>
      <c r="D17" s="544">
        <v>28776995.899999999</v>
      </c>
      <c r="E17" s="547">
        <v>62730839</v>
      </c>
      <c r="F17" s="548">
        <v>97993239.480000004</v>
      </c>
      <c r="G17" s="547"/>
      <c r="H17" s="549"/>
      <c r="I17" s="547">
        <v>97993239.480000004</v>
      </c>
      <c r="J17" s="437"/>
    </row>
    <row r="18" spans="1:10" x14ac:dyDescent="0.15">
      <c r="B18" s="455" t="s">
        <v>22</v>
      </c>
      <c r="C18" s="543"/>
      <c r="D18" s="544">
        <v>23153460.550000001</v>
      </c>
      <c r="E18" s="547">
        <v>55938544.899999999</v>
      </c>
      <c r="F18" s="548">
        <v>89091323.640000001</v>
      </c>
      <c r="G18" s="547"/>
      <c r="H18" s="549"/>
      <c r="I18" s="547">
        <v>89091323.640000001</v>
      </c>
      <c r="J18" s="437"/>
    </row>
    <row r="19" spans="1:10" ht="9" thickBot="1" x14ac:dyDescent="0.2">
      <c r="B19" s="455" t="s">
        <v>23</v>
      </c>
      <c r="C19" s="543"/>
      <c r="D19" s="544">
        <v>6021951.8700000001</v>
      </c>
      <c r="E19" s="555">
        <v>6177626.3399999999</v>
      </c>
      <c r="F19" s="555">
        <v>7516123.9100000001</v>
      </c>
      <c r="G19" s="548"/>
      <c r="H19" s="556"/>
      <c r="I19" s="665">
        <v>7516123.9100000001</v>
      </c>
      <c r="J19" s="437"/>
    </row>
    <row r="20" spans="1:10" s="8" customFormat="1" ht="9" thickBot="1" x14ac:dyDescent="0.2">
      <c r="A20" s="5"/>
      <c r="B20" s="5"/>
      <c r="C20" s="5"/>
      <c r="D20" s="5"/>
      <c r="E20" s="5"/>
      <c r="F20" s="5"/>
      <c r="G20" s="5"/>
      <c r="H20" s="6"/>
      <c r="I20" s="486"/>
    </row>
    <row r="21" spans="1:10" ht="9" thickBot="1" x14ac:dyDescent="0.2">
      <c r="A21" s="536" t="s">
        <v>24</v>
      </c>
      <c r="B21" s="537"/>
      <c r="C21" s="537"/>
      <c r="D21" s="538" t="s">
        <v>31</v>
      </c>
      <c r="E21" s="537" t="s">
        <v>7</v>
      </c>
      <c r="F21" s="537" t="s">
        <v>8</v>
      </c>
      <c r="G21" s="539" t="s">
        <v>9</v>
      </c>
      <c r="H21" s="539" t="s">
        <v>1304</v>
      </c>
      <c r="I21" s="539" t="s">
        <v>10</v>
      </c>
    </row>
    <row r="22" spans="1:10" x14ac:dyDescent="0.15">
      <c r="A22" s="454" t="s">
        <v>20</v>
      </c>
      <c r="B22" s="541"/>
      <c r="C22" s="541"/>
      <c r="D22" s="557">
        <v>43821856.640000001</v>
      </c>
      <c r="E22" s="558">
        <v>77359008.310000002</v>
      </c>
      <c r="F22" s="559">
        <v>113078117.77</v>
      </c>
      <c r="G22" s="558"/>
      <c r="H22" s="558"/>
      <c r="I22" s="563">
        <v>113078117.77</v>
      </c>
    </row>
    <row r="23" spans="1:10" ht="9" thickBot="1" x14ac:dyDescent="0.2">
      <c r="A23" s="455" t="s">
        <v>21</v>
      </c>
      <c r="B23" s="543"/>
      <c r="C23" s="543"/>
      <c r="D23" s="560">
        <v>28776995.899999999</v>
      </c>
      <c r="E23" s="547">
        <v>62730839</v>
      </c>
      <c r="F23" s="548">
        <v>97993239.480000004</v>
      </c>
      <c r="G23" s="547"/>
      <c r="H23" s="547"/>
      <c r="I23" s="546">
        <v>97993238.480000004</v>
      </c>
    </row>
    <row r="24" spans="1:10" ht="9" thickBot="1" x14ac:dyDescent="0.2">
      <c r="A24" s="5"/>
      <c r="B24" s="5"/>
      <c r="C24" s="5"/>
      <c r="D24" s="745" t="s">
        <v>25</v>
      </c>
      <c r="E24" s="746"/>
      <c r="F24" s="746"/>
      <c r="G24" s="746"/>
      <c r="H24" s="746"/>
      <c r="I24" s="747"/>
    </row>
    <row r="25" spans="1:10" ht="9" thickBot="1" x14ac:dyDescent="0.2">
      <c r="A25" s="743" t="s">
        <v>26</v>
      </c>
      <c r="B25" s="743"/>
      <c r="C25" s="743"/>
      <c r="D25" s="538" t="s">
        <v>31</v>
      </c>
      <c r="E25" s="537" t="s">
        <v>7</v>
      </c>
      <c r="F25" s="537" t="s">
        <v>7</v>
      </c>
      <c r="G25" s="537" t="s">
        <v>9</v>
      </c>
      <c r="H25" s="537" t="s">
        <v>626</v>
      </c>
      <c r="I25" s="539" t="s">
        <v>10</v>
      </c>
    </row>
    <row r="26" spans="1:10" ht="9" thickBot="1" x14ac:dyDescent="0.2">
      <c r="A26" s="454" t="s">
        <v>27</v>
      </c>
      <c r="B26" s="540"/>
      <c r="C26" s="540"/>
      <c r="D26" s="558">
        <v>150307430.59999999</v>
      </c>
      <c r="E26" s="558">
        <v>155936320.44</v>
      </c>
      <c r="F26" s="558">
        <v>161375443.43000001</v>
      </c>
      <c r="G26" s="558"/>
      <c r="H26" s="563"/>
      <c r="I26" s="558">
        <v>161375443.43000001</v>
      </c>
    </row>
    <row r="27" spans="1:10" ht="38.25" customHeight="1" thickBot="1" x14ac:dyDescent="0.2">
      <c r="A27" s="744" t="s">
        <v>28</v>
      </c>
      <c r="B27" s="744"/>
      <c r="C27" s="744"/>
      <c r="D27" s="558">
        <v>148707430.59999999</v>
      </c>
      <c r="E27" s="558">
        <v>155336320.44</v>
      </c>
      <c r="F27" s="564">
        <v>161375443.43000001</v>
      </c>
      <c r="G27" s="564"/>
      <c r="H27" s="563"/>
      <c r="I27" s="564">
        <v>161375443.43000001</v>
      </c>
      <c r="J27" s="127"/>
    </row>
    <row r="28" spans="1:10" ht="36" customHeight="1" thickBot="1" x14ac:dyDescent="0.2">
      <c r="A28" s="744" t="s">
        <v>29</v>
      </c>
      <c r="B28" s="744"/>
      <c r="C28" s="744"/>
      <c r="D28" s="558">
        <v>149707430.59999999</v>
      </c>
      <c r="E28" s="558">
        <v>153544729.78999999</v>
      </c>
      <c r="F28" s="564">
        <v>159560888.78</v>
      </c>
      <c r="G28" s="564"/>
      <c r="H28" s="565"/>
      <c r="I28" s="564">
        <v>159560888.78</v>
      </c>
      <c r="J28" s="127"/>
    </row>
    <row r="29" spans="1:10" s="8" customFormat="1" ht="9" thickBot="1" x14ac:dyDescent="0.2">
      <c r="A29" s="5"/>
      <c r="B29" s="5"/>
      <c r="C29" s="5"/>
      <c r="D29" s="5"/>
      <c r="E29" s="5"/>
      <c r="F29" s="5"/>
      <c r="G29" s="5"/>
      <c r="H29" s="6"/>
      <c r="I29" s="437"/>
    </row>
    <row r="30" spans="1:10" ht="9" thickBot="1" x14ac:dyDescent="0.2">
      <c r="A30" s="743" t="s">
        <v>30</v>
      </c>
      <c r="B30" s="743"/>
      <c r="C30" s="743"/>
      <c r="D30" s="538" t="s">
        <v>31</v>
      </c>
      <c r="E30" s="537" t="s">
        <v>7</v>
      </c>
      <c r="F30" s="537" t="s">
        <v>8</v>
      </c>
      <c r="G30" s="539" t="s">
        <v>9</v>
      </c>
      <c r="H30" s="539" t="s">
        <v>1304</v>
      </c>
      <c r="I30" s="539" t="s">
        <v>10</v>
      </c>
    </row>
    <row r="31" spans="1:10" s="8" customFormat="1" ht="24" customHeight="1" x14ac:dyDescent="0.15">
      <c r="A31" s="748" t="s">
        <v>32</v>
      </c>
      <c r="B31" s="748"/>
      <c r="C31" s="748"/>
      <c r="D31" s="541"/>
      <c r="E31" s="541"/>
      <c r="F31" s="541"/>
      <c r="G31" s="542"/>
      <c r="H31" s="541"/>
      <c r="I31" s="563"/>
    </row>
    <row r="32" spans="1:10" s="8" customFormat="1" ht="23.25" customHeight="1" x14ac:dyDescent="0.15">
      <c r="B32" s="739" t="s">
        <v>33</v>
      </c>
      <c r="C32" s="739"/>
      <c r="D32" s="560">
        <v>4639085.2699999996</v>
      </c>
      <c r="E32" s="547">
        <v>10363046.310000001</v>
      </c>
      <c r="F32" s="548">
        <v>19678961.829999998</v>
      </c>
      <c r="G32" s="547"/>
      <c r="H32" s="547"/>
      <c r="I32" s="547">
        <v>19678961.829999998</v>
      </c>
    </row>
    <row r="33" spans="1:9" s="8" customFormat="1" ht="23.25" customHeight="1" x14ac:dyDescent="0.15">
      <c r="B33" s="739" t="s">
        <v>34</v>
      </c>
      <c r="C33" s="739"/>
      <c r="D33" s="560">
        <v>6428481.5199999996</v>
      </c>
      <c r="E33" s="547">
        <v>13077299.869999999</v>
      </c>
      <c r="F33" s="548">
        <v>21458500.449999999</v>
      </c>
      <c r="G33" s="547"/>
      <c r="H33" s="547"/>
      <c r="I33" s="547">
        <v>21458500.449999999</v>
      </c>
    </row>
    <row r="34" spans="1:9" s="8" customFormat="1" ht="24" customHeight="1" x14ac:dyDescent="0.15">
      <c r="B34" s="739" t="s">
        <v>35</v>
      </c>
      <c r="C34" s="739"/>
      <c r="D34" s="560">
        <v>6428481.5199999996</v>
      </c>
      <c r="E34" s="547">
        <v>13077299.869999999</v>
      </c>
      <c r="F34" s="548">
        <v>21458500.449999999</v>
      </c>
      <c r="G34" s="547"/>
      <c r="H34" s="547"/>
      <c r="I34" s="547">
        <v>21458500.449999999</v>
      </c>
    </row>
    <row r="35" spans="1:9" s="8" customFormat="1" ht="21.75" customHeight="1" x14ac:dyDescent="0.15">
      <c r="B35" s="739" t="s">
        <v>36</v>
      </c>
      <c r="C35" s="739"/>
      <c r="D35" s="560">
        <v>6425148.6399999997</v>
      </c>
      <c r="E35" s="547">
        <v>13072852.27</v>
      </c>
      <c r="F35" s="548">
        <v>21450360.57</v>
      </c>
      <c r="G35" s="547"/>
      <c r="H35" s="547"/>
      <c r="I35" s="547">
        <v>21450360.57</v>
      </c>
    </row>
    <row r="36" spans="1:9" s="8" customFormat="1" x14ac:dyDescent="0.15">
      <c r="B36" s="455" t="s">
        <v>37</v>
      </c>
      <c r="C36" s="543"/>
      <c r="D36" s="560">
        <v>-1789396.25</v>
      </c>
      <c r="E36" s="560">
        <v>-2714253.56</v>
      </c>
      <c r="F36" s="548">
        <v>-1779538.62</v>
      </c>
      <c r="G36" s="547"/>
      <c r="H36" s="547"/>
      <c r="I36" s="629">
        <v>-1779538.62</v>
      </c>
    </row>
    <row r="37" spans="1:9" s="8" customFormat="1" x14ac:dyDescent="0.15">
      <c r="A37" s="455" t="s">
        <v>38</v>
      </c>
      <c r="B37" s="543"/>
      <c r="C37" s="543"/>
      <c r="D37" s="544"/>
      <c r="E37" s="566"/>
      <c r="F37" s="567"/>
      <c r="G37" s="554"/>
      <c r="H37" s="553"/>
      <c r="I37" s="546"/>
    </row>
    <row r="38" spans="1:9" s="8" customFormat="1" x14ac:dyDescent="0.15">
      <c r="B38" s="455" t="s">
        <v>33</v>
      </c>
      <c r="C38" s="543"/>
      <c r="D38" s="560">
        <v>0</v>
      </c>
      <c r="E38" s="560">
        <v>0</v>
      </c>
      <c r="F38" s="547">
        <v>0</v>
      </c>
      <c r="G38" s="547">
        <v>0</v>
      </c>
      <c r="H38" s="547">
        <v>0</v>
      </c>
      <c r="I38" s="547">
        <v>0</v>
      </c>
    </row>
    <row r="39" spans="1:9" s="8" customFormat="1" x14ac:dyDescent="0.15">
      <c r="B39" s="455" t="s">
        <v>34</v>
      </c>
      <c r="C39" s="543"/>
      <c r="D39" s="560">
        <v>0</v>
      </c>
      <c r="E39" s="560">
        <v>0</v>
      </c>
      <c r="F39" s="547">
        <v>0</v>
      </c>
      <c r="G39" s="547">
        <v>0</v>
      </c>
      <c r="H39" s="547">
        <v>0</v>
      </c>
      <c r="I39" s="547">
        <v>0</v>
      </c>
    </row>
    <row r="40" spans="1:9" s="8" customFormat="1" x14ac:dyDescent="0.15">
      <c r="B40" s="455" t="s">
        <v>35</v>
      </c>
      <c r="C40" s="543"/>
      <c r="D40" s="560">
        <v>0</v>
      </c>
      <c r="E40" s="560">
        <v>0</v>
      </c>
      <c r="F40" s="547">
        <v>0</v>
      </c>
      <c r="G40" s="547">
        <v>0</v>
      </c>
      <c r="H40" s="547">
        <v>0</v>
      </c>
      <c r="I40" s="547">
        <v>0</v>
      </c>
    </row>
    <row r="41" spans="1:9" s="8" customFormat="1" x14ac:dyDescent="0.15">
      <c r="B41" s="455" t="s">
        <v>36</v>
      </c>
      <c r="C41" s="543"/>
      <c r="D41" s="560">
        <v>0</v>
      </c>
      <c r="E41" s="560">
        <v>0</v>
      </c>
      <c r="F41" s="547">
        <v>0</v>
      </c>
      <c r="G41" s="547">
        <v>0</v>
      </c>
      <c r="H41" s="547">
        <v>0</v>
      </c>
      <c r="I41" s="547">
        <v>0</v>
      </c>
    </row>
    <row r="42" spans="1:9" s="8" customFormat="1" ht="9" thickBot="1" x14ac:dyDescent="0.2">
      <c r="B42" s="455" t="s">
        <v>37</v>
      </c>
      <c r="C42" s="543"/>
      <c r="D42" s="560">
        <v>0</v>
      </c>
      <c r="E42" s="560">
        <v>0</v>
      </c>
      <c r="F42" s="547">
        <v>0</v>
      </c>
      <c r="G42" s="547">
        <v>0</v>
      </c>
      <c r="H42" s="561">
        <v>0</v>
      </c>
      <c r="I42" s="561">
        <v>0</v>
      </c>
    </row>
    <row r="43" spans="1:9" s="8" customFormat="1" ht="9" thickBot="1" x14ac:dyDescent="0.2">
      <c r="A43" s="5"/>
      <c r="B43" s="5"/>
      <c r="C43" s="5"/>
      <c r="D43" s="5"/>
      <c r="E43" s="5"/>
      <c r="F43" s="5"/>
      <c r="G43" s="5"/>
      <c r="H43" s="6"/>
    </row>
    <row r="44" spans="1:9" ht="15.75" customHeight="1" thickBot="1" x14ac:dyDescent="0.2">
      <c r="A44" s="740" t="s">
        <v>39</v>
      </c>
      <c r="B44" s="740"/>
      <c r="C44" s="740"/>
      <c r="D44" s="537" t="s">
        <v>40</v>
      </c>
      <c r="E44" s="537" t="s">
        <v>41</v>
      </c>
      <c r="F44" s="537" t="s">
        <v>41</v>
      </c>
      <c r="G44" s="537" t="s">
        <v>41</v>
      </c>
      <c r="H44" s="537" t="s">
        <v>41</v>
      </c>
      <c r="I44" s="741" t="s">
        <v>42</v>
      </c>
    </row>
    <row r="45" spans="1:9" ht="9" thickBot="1" x14ac:dyDescent="0.2">
      <c r="A45" s="740"/>
      <c r="B45" s="740"/>
      <c r="C45" s="740"/>
      <c r="D45" s="568" t="s">
        <v>43</v>
      </c>
      <c r="E45" s="568" t="s">
        <v>1457</v>
      </c>
      <c r="F45" s="568" t="s">
        <v>1458</v>
      </c>
      <c r="G45" s="568" t="s">
        <v>947</v>
      </c>
      <c r="H45" s="568" t="s">
        <v>1181</v>
      </c>
      <c r="I45" s="741"/>
    </row>
    <row r="46" spans="1:9" ht="9" thickBot="1" x14ac:dyDescent="0.2">
      <c r="A46" s="740"/>
      <c r="B46" s="740"/>
      <c r="C46" s="740"/>
      <c r="D46" s="568" t="s">
        <v>45</v>
      </c>
      <c r="E46" s="568"/>
      <c r="F46" s="568"/>
      <c r="G46" s="568"/>
      <c r="H46" s="568"/>
      <c r="I46" s="741"/>
    </row>
    <row r="47" spans="1:9" ht="9.75" customHeight="1" thickBot="1" x14ac:dyDescent="0.2">
      <c r="A47" s="740"/>
      <c r="B47" s="740"/>
      <c r="C47" s="740"/>
      <c r="D47" s="568" t="s">
        <v>46</v>
      </c>
      <c r="E47" s="569" t="s">
        <v>960</v>
      </c>
      <c r="F47" s="569" t="s">
        <v>961</v>
      </c>
      <c r="G47" s="569"/>
      <c r="H47" s="569"/>
      <c r="I47" s="568" t="s">
        <v>962</v>
      </c>
    </row>
    <row r="48" spans="1:9" s="8" customFormat="1" x14ac:dyDescent="0.15">
      <c r="A48" s="454" t="s">
        <v>938</v>
      </c>
      <c r="B48" s="540"/>
      <c r="C48" s="540"/>
      <c r="D48" s="558">
        <v>-120927406.232024</v>
      </c>
      <c r="E48" s="6">
        <v>4873037.55</v>
      </c>
      <c r="F48" s="570">
        <v>3862060.82</v>
      </c>
      <c r="G48" s="6">
        <v>3976803.47</v>
      </c>
      <c r="H48" s="623"/>
      <c r="I48" s="571">
        <f>((D48)/G48)</f>
        <v>-30.408192696538759</v>
      </c>
    </row>
    <row r="49" spans="1:9" s="8" customFormat="1" ht="9" thickBot="1" x14ac:dyDescent="0.2">
      <c r="A49" s="455" t="s">
        <v>939</v>
      </c>
      <c r="B49" s="543"/>
      <c r="C49" s="543"/>
      <c r="D49" s="547"/>
      <c r="E49" s="6">
        <v>10272194.32</v>
      </c>
      <c r="F49" s="572">
        <v>10948652.35</v>
      </c>
      <c r="G49" s="6">
        <v>14965745.1</v>
      </c>
      <c r="H49" s="624"/>
      <c r="I49" s="573">
        <f>((D49)/G49)</f>
        <v>0</v>
      </c>
    </row>
    <row r="50" spans="1:9" s="8" customFormat="1" ht="9" thickBot="1" x14ac:dyDescent="0.2">
      <c r="A50" s="5"/>
      <c r="B50" s="5"/>
      <c r="C50" s="5"/>
      <c r="D50" s="5"/>
      <c r="E50" s="5"/>
      <c r="F50" s="5"/>
      <c r="G50" s="5"/>
      <c r="H50" s="6"/>
    </row>
    <row r="51" spans="1:9" ht="9" thickBot="1" x14ac:dyDescent="0.2">
      <c r="A51" s="740" t="s">
        <v>48</v>
      </c>
      <c r="B51" s="740"/>
      <c r="C51" s="740"/>
      <c r="D51" s="537" t="s">
        <v>49</v>
      </c>
      <c r="E51" s="537" t="s">
        <v>50</v>
      </c>
      <c r="F51" s="537" t="s">
        <v>51</v>
      </c>
      <c r="G51" s="539" t="s">
        <v>52</v>
      </c>
      <c r="H51" s="6"/>
    </row>
    <row r="52" spans="1:9" ht="9" thickBot="1" x14ac:dyDescent="0.2">
      <c r="A52" s="740"/>
      <c r="B52" s="740"/>
      <c r="C52" s="740"/>
      <c r="D52" s="568"/>
      <c r="E52" s="568" t="s">
        <v>10</v>
      </c>
      <c r="F52" s="568" t="s">
        <v>10</v>
      </c>
      <c r="G52" s="574" t="s">
        <v>53</v>
      </c>
      <c r="H52" s="6"/>
    </row>
    <row r="53" spans="1:9" s="8" customFormat="1" x14ac:dyDescent="0.15">
      <c r="B53" s="575" t="s">
        <v>54</v>
      </c>
      <c r="C53" s="454"/>
      <c r="D53" s="558">
        <v>53483422.789999999</v>
      </c>
      <c r="E53" s="558">
        <v>0</v>
      </c>
      <c r="F53" s="558">
        <f>F54+F55</f>
        <v>8972717.2999999989</v>
      </c>
      <c r="G53" s="558">
        <f>G54+G55</f>
        <v>44510705.490000002</v>
      </c>
      <c r="H53" s="6"/>
    </row>
    <row r="54" spans="1:9" s="8" customFormat="1" x14ac:dyDescent="0.15">
      <c r="C54" s="576" t="s">
        <v>55</v>
      </c>
      <c r="D54" s="547">
        <v>53481791.520000003</v>
      </c>
      <c r="E54" s="547">
        <v>0</v>
      </c>
      <c r="F54" s="547">
        <v>8971086.0299999993</v>
      </c>
      <c r="G54" s="548">
        <v>44510705.490000002</v>
      </c>
      <c r="H54" s="6"/>
    </row>
    <row r="55" spans="1:9" s="8" customFormat="1" x14ac:dyDescent="0.15">
      <c r="C55" s="576" t="s">
        <v>56</v>
      </c>
      <c r="D55" s="547">
        <v>1631.27</v>
      </c>
      <c r="E55" s="547">
        <v>0</v>
      </c>
      <c r="F55" s="547">
        <v>1631.27</v>
      </c>
      <c r="G55" s="548">
        <v>0</v>
      </c>
      <c r="H55" s="6"/>
    </row>
    <row r="56" spans="1:9" s="8" customFormat="1" x14ac:dyDescent="0.15">
      <c r="B56" s="533" t="s">
        <v>57</v>
      </c>
      <c r="C56" s="455"/>
      <c r="D56" s="547">
        <v>2359327.91</v>
      </c>
      <c r="E56" s="547">
        <v>3000</v>
      </c>
      <c r="F56" s="547">
        <f>SUM(F57:F58)</f>
        <v>1379189.04</v>
      </c>
      <c r="G56" s="547">
        <f>SUM(G57:G58)</f>
        <v>977138.87</v>
      </c>
      <c r="H56" s="6"/>
    </row>
    <row r="57" spans="1:9" s="8" customFormat="1" x14ac:dyDescent="0.15">
      <c r="C57" s="576" t="s">
        <v>55</v>
      </c>
      <c r="D57" s="547">
        <v>2252604.91</v>
      </c>
      <c r="E57" s="547">
        <v>0</v>
      </c>
      <c r="F57" s="547">
        <v>1275466.04</v>
      </c>
      <c r="G57" s="548">
        <v>977138.87</v>
      </c>
      <c r="H57" s="6"/>
    </row>
    <row r="58" spans="1:9" s="8" customFormat="1" ht="9" thickBot="1" x14ac:dyDescent="0.2">
      <c r="C58" s="576" t="s">
        <v>56</v>
      </c>
      <c r="D58" s="547">
        <v>106723</v>
      </c>
      <c r="E58" s="547">
        <v>3000</v>
      </c>
      <c r="F58" s="547">
        <v>103723</v>
      </c>
      <c r="G58" s="548">
        <v>0</v>
      </c>
      <c r="H58" s="6"/>
    </row>
    <row r="59" spans="1:9" s="8" customFormat="1" ht="9" thickBot="1" x14ac:dyDescent="0.2">
      <c r="A59" s="577" t="s">
        <v>58</v>
      </c>
      <c r="B59" s="578"/>
      <c r="C59" s="578"/>
      <c r="D59" s="564">
        <v>55842750.700000003</v>
      </c>
      <c r="E59" s="564">
        <f>E53+E56</f>
        <v>3000</v>
      </c>
      <c r="F59" s="564">
        <f>F53+F56</f>
        <v>10351906.34</v>
      </c>
      <c r="G59" s="579">
        <f>G53+G56</f>
        <v>45487844.359999999</v>
      </c>
      <c r="H59" s="6"/>
    </row>
    <row r="60" spans="1:9" s="8" customFormat="1" ht="9" thickBot="1" x14ac:dyDescent="0.2">
      <c r="H60" s="6"/>
    </row>
    <row r="61" spans="1:9" ht="15.75" customHeight="1" thickBot="1" x14ac:dyDescent="0.2">
      <c r="A61" s="737" t="s">
        <v>59</v>
      </c>
      <c r="B61" s="737"/>
      <c r="C61" s="737"/>
      <c r="D61" s="737"/>
      <c r="E61" s="738" t="s">
        <v>60</v>
      </c>
      <c r="F61" s="738"/>
      <c r="G61" s="738"/>
      <c r="H61" s="6"/>
    </row>
    <row r="62" spans="1:9" ht="9" thickBot="1" x14ac:dyDescent="0.2">
      <c r="A62" s="737"/>
      <c r="B62" s="737"/>
      <c r="C62" s="737"/>
      <c r="D62" s="737"/>
      <c r="E62" s="568" t="s">
        <v>61</v>
      </c>
      <c r="F62" s="568" t="s">
        <v>62</v>
      </c>
      <c r="G62" s="539" t="s">
        <v>63</v>
      </c>
      <c r="H62" s="6"/>
    </row>
    <row r="63" spans="1:9" ht="9.75" customHeight="1" thickBot="1" x14ac:dyDescent="0.2">
      <c r="A63" s="737"/>
      <c r="B63" s="737"/>
      <c r="C63" s="737"/>
      <c r="D63" s="737"/>
      <c r="E63" s="569" t="s">
        <v>44</v>
      </c>
      <c r="F63" s="569" t="s">
        <v>64</v>
      </c>
      <c r="G63" s="580" t="s">
        <v>65</v>
      </c>
      <c r="H63" s="6"/>
    </row>
    <row r="64" spans="1:9" x14ac:dyDescent="0.15">
      <c r="A64" s="454" t="s">
        <v>66</v>
      </c>
      <c r="B64" s="540"/>
      <c r="C64" s="540"/>
      <c r="D64" s="558"/>
      <c r="E64" s="581">
        <v>14301693.16</v>
      </c>
      <c r="F64" s="582">
        <v>0.25</v>
      </c>
      <c r="G64" s="559">
        <v>24.26</v>
      </c>
      <c r="H64" s="6"/>
    </row>
    <row r="65" spans="1:8" x14ac:dyDescent="0.15">
      <c r="A65" s="455" t="s">
        <v>67</v>
      </c>
      <c r="B65" s="543"/>
      <c r="C65" s="543"/>
      <c r="D65" s="547"/>
      <c r="E65" s="583">
        <v>17819848.399999999</v>
      </c>
      <c r="F65" s="584">
        <v>0.7</v>
      </c>
      <c r="G65" s="548">
        <v>100</v>
      </c>
      <c r="H65" s="6"/>
    </row>
    <row r="66" spans="1:8" x14ac:dyDescent="0.15">
      <c r="A66" s="455" t="s">
        <v>68</v>
      </c>
      <c r="B66" s="543"/>
      <c r="C66" s="543"/>
      <c r="D66" s="547"/>
      <c r="E66" s="585"/>
      <c r="F66" s="584">
        <v>0</v>
      </c>
      <c r="G66" s="548">
        <v>0</v>
      </c>
      <c r="H66" s="6"/>
    </row>
    <row r="67" spans="1:8" x14ac:dyDescent="0.15">
      <c r="A67" s="455" t="s">
        <v>69</v>
      </c>
      <c r="B67" s="543"/>
      <c r="C67" s="543"/>
      <c r="D67" s="547"/>
      <c r="E67" s="585"/>
      <c r="F67" s="584">
        <v>0.15</v>
      </c>
      <c r="G67" s="548">
        <v>0</v>
      </c>
      <c r="H67" s="6"/>
    </row>
    <row r="68" spans="1:8" s="8" customFormat="1" ht="9" thickBot="1" x14ac:dyDescent="0.2">
      <c r="A68" s="7"/>
      <c r="B68" s="7"/>
      <c r="C68" s="11"/>
      <c r="D68" s="12"/>
      <c r="E68" s="12"/>
      <c r="F68" s="12"/>
      <c r="G68" s="12"/>
      <c r="H68" s="6"/>
    </row>
    <row r="69" spans="1:8" x14ac:dyDescent="0.15">
      <c r="A69" s="586"/>
      <c r="B69" s="587"/>
      <c r="C69" s="587" t="s">
        <v>70</v>
      </c>
      <c r="D69" s="588"/>
      <c r="E69" s="588"/>
      <c r="F69" s="589" t="s">
        <v>71</v>
      </c>
      <c r="G69" s="590" t="s">
        <v>72</v>
      </c>
    </row>
    <row r="70" spans="1:8" ht="12" customHeight="1" x14ac:dyDescent="0.15">
      <c r="A70" s="544"/>
      <c r="B70" s="6" t="s">
        <v>73</v>
      </c>
      <c r="C70" s="6"/>
      <c r="D70" s="6"/>
      <c r="E70" s="6"/>
      <c r="F70" s="545">
        <v>0</v>
      </c>
      <c r="G70" s="6"/>
      <c r="H70" s="7"/>
    </row>
    <row r="71" spans="1:8" ht="12.75" customHeight="1" thickBot="1" x14ac:dyDescent="0.2">
      <c r="A71" s="591"/>
      <c r="B71" s="592" t="s">
        <v>74</v>
      </c>
      <c r="C71" s="592"/>
      <c r="D71" s="593"/>
      <c r="E71" s="593"/>
      <c r="F71" s="561"/>
      <c r="G71" s="593"/>
      <c r="H71" s="6"/>
    </row>
    <row r="72" spans="1:8" s="8" customFormat="1" ht="9" thickBot="1" x14ac:dyDescent="0.2">
      <c r="A72" s="7"/>
      <c r="B72" s="7"/>
      <c r="C72" s="11"/>
      <c r="D72" s="12"/>
      <c r="E72" s="12"/>
      <c r="F72" s="12"/>
      <c r="G72" s="12"/>
      <c r="H72" s="6"/>
    </row>
    <row r="73" spans="1:8" ht="9" thickBot="1" x14ac:dyDescent="0.2">
      <c r="A73" s="594" t="s">
        <v>75</v>
      </c>
      <c r="B73" s="595"/>
      <c r="C73" s="595"/>
      <c r="D73" s="538" t="s">
        <v>76</v>
      </c>
      <c r="E73" s="596" t="s">
        <v>77</v>
      </c>
      <c r="F73" s="538" t="s">
        <v>78</v>
      </c>
      <c r="G73" s="596" t="s">
        <v>79</v>
      </c>
      <c r="H73" s="6"/>
    </row>
    <row r="74" spans="1:8" s="8" customFormat="1" x14ac:dyDescent="0.15">
      <c r="A74" s="597" t="s">
        <v>80</v>
      </c>
      <c r="B74" s="598"/>
      <c r="C74" s="598"/>
      <c r="D74" s="553"/>
      <c r="E74" s="599"/>
      <c r="F74" s="550"/>
      <c r="G74" s="599"/>
      <c r="H74" s="6"/>
    </row>
    <row r="75" spans="1:8" s="8" customFormat="1" x14ac:dyDescent="0.15">
      <c r="A75" s="597"/>
      <c r="B75" s="598" t="s">
        <v>81</v>
      </c>
      <c r="C75" s="598"/>
      <c r="D75" s="552">
        <v>52925559.219999999</v>
      </c>
      <c r="E75" s="562">
        <v>56598255.829999998</v>
      </c>
      <c r="F75" s="552">
        <v>73518978.189999998</v>
      </c>
      <c r="G75" s="562">
        <v>46671909.969999999</v>
      </c>
      <c r="H75" s="6"/>
    </row>
    <row r="76" spans="1:8" s="8" customFormat="1" x14ac:dyDescent="0.15">
      <c r="A76" s="597"/>
      <c r="B76" s="598" t="s">
        <v>82</v>
      </c>
      <c r="C76" s="598"/>
      <c r="D76" s="552">
        <v>45508297.939999998</v>
      </c>
      <c r="E76" s="562">
        <v>49799289.840000004</v>
      </c>
      <c r="F76" s="552">
        <v>49491088.719999999</v>
      </c>
      <c r="G76" s="562">
        <v>28495893.530000001</v>
      </c>
      <c r="H76" s="6"/>
    </row>
    <row r="77" spans="1:8" s="8" customFormat="1" x14ac:dyDescent="0.15">
      <c r="A77" s="597"/>
      <c r="B77" s="598" t="s">
        <v>37</v>
      </c>
      <c r="C77" s="598"/>
      <c r="D77" s="552">
        <f>D75-D76</f>
        <v>7417261.2800000012</v>
      </c>
      <c r="E77" s="552">
        <f>E75-E76</f>
        <v>6798965.9899999946</v>
      </c>
      <c r="F77" s="552">
        <f>F75-F76</f>
        <v>24027889.469999999</v>
      </c>
      <c r="G77" s="562">
        <f>G75-G76</f>
        <v>18176016.439999998</v>
      </c>
      <c r="H77" s="6"/>
    </row>
    <row r="78" spans="1:8" s="8" customFormat="1" x14ac:dyDescent="0.15">
      <c r="A78" s="597" t="s">
        <v>83</v>
      </c>
      <c r="B78" s="598"/>
      <c r="C78" s="598"/>
      <c r="D78" s="550"/>
      <c r="E78" s="599"/>
      <c r="F78" s="550"/>
      <c r="G78" s="599"/>
      <c r="H78" s="6"/>
    </row>
    <row r="79" spans="1:8" s="8" customFormat="1" x14ac:dyDescent="0.15">
      <c r="A79" s="554"/>
      <c r="B79" s="598" t="s">
        <v>81</v>
      </c>
      <c r="C79" s="600"/>
      <c r="D79" s="547">
        <v>0</v>
      </c>
      <c r="E79" s="12">
        <v>0</v>
      </c>
      <c r="F79" s="547">
        <v>0</v>
      </c>
      <c r="G79" s="12">
        <v>0</v>
      </c>
      <c r="H79" s="6"/>
    </row>
    <row r="80" spans="1:8" s="8" customFormat="1" x14ac:dyDescent="0.15">
      <c r="A80" s="554"/>
      <c r="B80" s="598" t="s">
        <v>82</v>
      </c>
      <c r="C80" s="11"/>
      <c r="D80" s="547">
        <v>0</v>
      </c>
      <c r="E80" s="12">
        <v>0</v>
      </c>
      <c r="F80" s="547">
        <v>0</v>
      </c>
      <c r="G80" s="12">
        <v>0</v>
      </c>
      <c r="H80" s="6"/>
    </row>
    <row r="81" spans="1:8" s="8" customFormat="1" ht="9" thickBot="1" x14ac:dyDescent="0.2">
      <c r="A81" s="591"/>
      <c r="B81" s="601" t="s">
        <v>37</v>
      </c>
      <c r="C81" s="602"/>
      <c r="D81" s="561">
        <v>0</v>
      </c>
      <c r="E81" s="593">
        <v>0</v>
      </c>
      <c r="F81" s="561">
        <v>0</v>
      </c>
      <c r="G81" s="593">
        <v>0</v>
      </c>
      <c r="H81" s="6"/>
    </row>
    <row r="82" spans="1:8" s="8" customFormat="1" ht="9" thickBot="1" x14ac:dyDescent="0.2">
      <c r="A82" s="7"/>
      <c r="B82" s="7"/>
      <c r="C82" s="11"/>
      <c r="D82" s="12"/>
      <c r="E82" s="12"/>
      <c r="F82" s="12"/>
      <c r="G82" s="12"/>
      <c r="H82" s="6"/>
    </row>
    <row r="83" spans="1:8" ht="11.25" customHeight="1" thickBot="1" x14ac:dyDescent="0.2">
      <c r="A83" s="586"/>
      <c r="B83" s="587"/>
      <c r="C83" s="587" t="s">
        <v>84</v>
      </c>
      <c r="D83" s="588"/>
      <c r="E83" s="588"/>
      <c r="F83" s="603" t="s">
        <v>85</v>
      </c>
      <c r="G83" s="604" t="s">
        <v>86</v>
      </c>
    </row>
    <row r="84" spans="1:8" ht="12.75" customHeight="1" x14ac:dyDescent="0.15">
      <c r="A84" s="544"/>
      <c r="B84" s="6" t="s">
        <v>87</v>
      </c>
      <c r="C84" s="6"/>
      <c r="D84" s="6"/>
      <c r="E84" s="6"/>
      <c r="F84" s="558">
        <v>0</v>
      </c>
      <c r="G84" s="12">
        <v>0</v>
      </c>
      <c r="H84" s="7"/>
    </row>
    <row r="85" spans="1:8" ht="9" thickBot="1" x14ac:dyDescent="0.2">
      <c r="A85" s="591"/>
      <c r="B85" s="592" t="s">
        <v>88</v>
      </c>
      <c r="C85" s="592"/>
      <c r="D85" s="593"/>
      <c r="E85" s="593"/>
      <c r="F85" s="561">
        <v>0</v>
      </c>
      <c r="G85" s="593">
        <v>0</v>
      </c>
      <c r="H85" s="6"/>
    </row>
    <row r="86" spans="1:8" s="8" customFormat="1" ht="6.75" customHeight="1" thickBot="1" x14ac:dyDescent="0.2">
      <c r="A86" s="7"/>
      <c r="B86" s="7"/>
      <c r="C86" s="11"/>
      <c r="D86" s="12"/>
      <c r="H86" s="6"/>
    </row>
    <row r="87" spans="1:8" ht="9" thickBot="1" x14ac:dyDescent="0.2">
      <c r="A87" s="605"/>
      <c r="B87" s="605"/>
      <c r="C87" s="605"/>
      <c r="D87" s="606"/>
      <c r="E87" s="537" t="s">
        <v>61</v>
      </c>
      <c r="F87" s="738" t="s">
        <v>89</v>
      </c>
      <c r="G87" s="738"/>
      <c r="H87" s="6"/>
    </row>
    <row r="88" spans="1:8" x14ac:dyDescent="0.15">
      <c r="A88" s="607" t="s">
        <v>90</v>
      </c>
      <c r="B88" s="605"/>
      <c r="C88" s="605"/>
      <c r="D88" s="606"/>
      <c r="E88" s="568" t="s">
        <v>44</v>
      </c>
      <c r="F88" s="568" t="s">
        <v>62</v>
      </c>
      <c r="G88" s="741" t="s">
        <v>91</v>
      </c>
      <c r="H88" s="6"/>
    </row>
    <row r="89" spans="1:8" ht="9" thickBot="1" x14ac:dyDescent="0.2">
      <c r="A89" s="608"/>
      <c r="B89" s="609"/>
      <c r="C89" s="609"/>
      <c r="D89" s="610"/>
      <c r="E89" s="569"/>
      <c r="F89" s="568" t="s">
        <v>92</v>
      </c>
      <c r="G89" s="742"/>
      <c r="H89" s="6"/>
    </row>
    <row r="90" spans="1:8" ht="9" thickBot="1" x14ac:dyDescent="0.2">
      <c r="A90" s="611" t="s">
        <v>93</v>
      </c>
      <c r="B90" s="612"/>
      <c r="C90" s="613"/>
      <c r="D90" s="561"/>
      <c r="E90" s="564">
        <v>13332311.66</v>
      </c>
      <c r="F90" s="614" t="s">
        <v>94</v>
      </c>
      <c r="G90" s="615">
        <v>22.62</v>
      </c>
      <c r="H90" s="6"/>
    </row>
    <row r="91" spans="1:8" s="8" customFormat="1" ht="9" thickBot="1" x14ac:dyDescent="0.2">
      <c r="A91" s="7"/>
      <c r="B91" s="7"/>
      <c r="C91" s="11"/>
      <c r="D91" s="12"/>
      <c r="E91" s="12"/>
      <c r="F91" s="12"/>
      <c r="G91" s="12"/>
      <c r="H91" s="6"/>
    </row>
    <row r="92" spans="1:8" ht="9" thickBot="1" x14ac:dyDescent="0.2">
      <c r="A92" s="616" t="s">
        <v>95</v>
      </c>
      <c r="B92" s="617"/>
      <c r="C92" s="596"/>
      <c r="D92" s="596"/>
      <c r="E92" s="596"/>
      <c r="F92" s="738" t="s">
        <v>96</v>
      </c>
      <c r="G92" s="738"/>
      <c r="H92" s="6"/>
    </row>
    <row r="93" spans="1:8" ht="9" thickBot="1" x14ac:dyDescent="0.2">
      <c r="A93" s="630" t="s">
        <v>97</v>
      </c>
      <c r="B93" s="630"/>
      <c r="C93" s="631"/>
      <c r="D93" s="632"/>
      <c r="E93" s="633"/>
      <c r="F93" s="618"/>
      <c r="G93" s="619">
        <v>0</v>
      </c>
      <c r="H93" s="6"/>
    </row>
    <row r="94" spans="1:8" x14ac:dyDescent="0.15">
      <c r="A94" s="8" t="s">
        <v>2037</v>
      </c>
      <c r="H94" s="6"/>
    </row>
    <row r="95" spans="1:8" x14ac:dyDescent="0.15">
      <c r="H95" s="6"/>
    </row>
    <row r="96" spans="1:8" x14ac:dyDescent="0.15">
      <c r="H96" s="6"/>
    </row>
    <row r="97" spans="2:9" x14ac:dyDescent="0.15">
      <c r="H97" s="6"/>
    </row>
    <row r="98" spans="2:9" x14ac:dyDescent="0.15">
      <c r="E98" s="191"/>
      <c r="G98" s="191"/>
      <c r="H98" s="6"/>
    </row>
    <row r="99" spans="2:9" x14ac:dyDescent="0.15">
      <c r="B99" s="620" t="s">
        <v>1452</v>
      </c>
      <c r="C99" s="621"/>
      <c r="E99" s="229" t="s">
        <v>1453</v>
      </c>
      <c r="F99" s="231"/>
      <c r="G99" s="232" t="s">
        <v>98</v>
      </c>
      <c r="H99" s="6"/>
      <c r="I99" s="232"/>
    </row>
    <row r="100" spans="2:9" x14ac:dyDescent="0.15">
      <c r="B100" s="622" t="s">
        <v>99</v>
      </c>
      <c r="C100" s="230"/>
      <c r="E100" s="229" t="s">
        <v>100</v>
      </c>
      <c r="F100" s="231"/>
      <c r="G100" s="232" t="s">
        <v>101</v>
      </c>
      <c r="I100" s="232"/>
    </row>
    <row r="101" spans="2:9" x14ac:dyDescent="0.15">
      <c r="B101" s="8" t="s">
        <v>1459</v>
      </c>
      <c r="E101" s="8" t="s">
        <v>1460</v>
      </c>
      <c r="G101" s="8" t="s">
        <v>1461</v>
      </c>
    </row>
  </sheetData>
  <mergeCells count="19">
    <mergeCell ref="B12:C12"/>
    <mergeCell ref="A25:C25"/>
    <mergeCell ref="A27:C27"/>
    <mergeCell ref="D24:I24"/>
    <mergeCell ref="I44:I46"/>
    <mergeCell ref="A28:C28"/>
    <mergeCell ref="A30:C30"/>
    <mergeCell ref="A31:C31"/>
    <mergeCell ref="B32:C32"/>
    <mergeCell ref="B33:C33"/>
    <mergeCell ref="A61:D63"/>
    <mergeCell ref="E61:G61"/>
    <mergeCell ref="F87:G87"/>
    <mergeCell ref="F92:G92"/>
    <mergeCell ref="B34:C34"/>
    <mergeCell ref="B35:C35"/>
    <mergeCell ref="A44:C47"/>
    <mergeCell ref="G88:G89"/>
    <mergeCell ref="A51:C5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95"/>
  <sheetViews>
    <sheetView topLeftCell="A167" zoomScaleNormal="100" workbookViewId="0">
      <selection activeCell="B192" sqref="B192"/>
    </sheetView>
  </sheetViews>
  <sheetFormatPr defaultRowHeight="15" x14ac:dyDescent="0.25"/>
  <cols>
    <col min="1" max="1" width="5" style="478" customWidth="1"/>
    <col min="2" max="3" width="11.28515625" style="478" customWidth="1"/>
    <col min="4" max="4" width="11.140625" style="478" customWidth="1"/>
    <col min="5" max="5" width="8.140625" style="478" customWidth="1"/>
    <col min="6" max="6" width="3.140625" style="478" customWidth="1"/>
    <col min="7" max="7" width="10.28515625" style="478" customWidth="1"/>
    <col min="8" max="8" width="0.85546875" style="478" customWidth="1"/>
    <col min="9" max="9" width="1" style="478" customWidth="1"/>
    <col min="10" max="10" width="8.140625" style="478" customWidth="1"/>
    <col min="11" max="11" width="3.140625" style="478" customWidth="1"/>
    <col min="12" max="12" width="2.140625" style="478" customWidth="1"/>
    <col min="13" max="13" width="1" style="478" customWidth="1"/>
    <col min="14" max="14" width="8.140625" style="478" customWidth="1"/>
    <col min="15" max="15" width="0.85546875" style="478" customWidth="1"/>
    <col min="16" max="16" width="3.140625" style="478" customWidth="1"/>
    <col min="17" max="17" width="2.140625" style="478" customWidth="1"/>
    <col min="18" max="18" width="5" style="478" customWidth="1"/>
    <col min="19" max="19" width="4.140625" style="478" customWidth="1"/>
    <col min="20" max="20" width="1" style="478" customWidth="1"/>
    <col min="21" max="21" width="4" style="478" customWidth="1"/>
    <col min="22" max="23" width="1" style="478" customWidth="1"/>
    <col min="24" max="24" width="4" style="478" customWidth="1"/>
    <col min="25" max="25" width="2.140625" style="478" customWidth="1"/>
    <col min="26" max="26" width="5" style="478" customWidth="1"/>
    <col min="27" max="27" width="2.140625" style="478" customWidth="1"/>
    <col min="28" max="28" width="4.140625" style="478" customWidth="1"/>
    <col min="29" max="29" width="1" style="478" customWidth="1"/>
    <col min="30" max="30" width="4" style="478" customWidth="1"/>
    <col min="31" max="31" width="1" style="478" customWidth="1"/>
    <col min="32" max="32" width="10.28515625" style="478" customWidth="1"/>
    <col min="33" max="33" width="0.5703125" style="478" customWidth="1"/>
    <col min="34" max="16384" width="9.140625" style="478"/>
  </cols>
  <sheetData>
    <row r="1" spans="1:33" ht="11.65" customHeight="1" x14ac:dyDescent="0.25">
      <c r="A1" s="797" t="s">
        <v>134</v>
      </c>
      <c r="B1" s="797"/>
      <c r="C1" s="797"/>
      <c r="D1" s="797"/>
      <c r="E1" s="797"/>
      <c r="F1" s="797"/>
      <c r="G1" s="797"/>
      <c r="AE1" s="798" t="s">
        <v>332</v>
      </c>
      <c r="AF1" s="798"/>
    </row>
    <row r="2" spans="1:33" ht="10.9" customHeight="1" x14ac:dyDescent="0.25">
      <c r="A2" s="797" t="s">
        <v>1</v>
      </c>
      <c r="B2" s="797"/>
      <c r="C2" s="797"/>
      <c r="D2" s="797"/>
      <c r="E2" s="797"/>
      <c r="F2" s="797"/>
      <c r="G2" s="797"/>
    </row>
    <row r="3" spans="1:33" ht="11.65" customHeight="1" x14ac:dyDescent="0.25">
      <c r="A3" s="839" t="s">
        <v>1182</v>
      </c>
      <c r="B3" s="839"/>
      <c r="C3" s="839"/>
      <c r="D3" s="839"/>
      <c r="E3" s="839"/>
      <c r="F3" s="839"/>
      <c r="G3" s="839"/>
    </row>
    <row r="4" spans="1:33" ht="11.65" customHeight="1" x14ac:dyDescent="0.25">
      <c r="A4" s="797" t="s">
        <v>219</v>
      </c>
      <c r="B4" s="797"/>
      <c r="C4" s="797"/>
      <c r="D4" s="797"/>
      <c r="E4" s="797"/>
      <c r="F4" s="797"/>
      <c r="G4" s="797"/>
    </row>
    <row r="5" spans="1:33" ht="11.65" customHeight="1" x14ac:dyDescent="0.25">
      <c r="A5" s="797" t="s">
        <v>2347</v>
      </c>
      <c r="B5" s="797"/>
      <c r="C5" s="797"/>
      <c r="D5" s="797"/>
      <c r="E5" s="797"/>
      <c r="F5" s="797"/>
      <c r="G5" s="797"/>
    </row>
    <row r="6" spans="1:33" ht="5.85" customHeight="1" x14ac:dyDescent="0.25"/>
    <row r="7" spans="1:33" ht="10.9" customHeight="1" x14ac:dyDescent="0.25">
      <c r="A7" s="902" t="s">
        <v>1183</v>
      </c>
      <c r="B7" s="902"/>
      <c r="C7" s="902"/>
      <c r="D7" s="902"/>
      <c r="E7" s="902"/>
      <c r="F7" s="902"/>
      <c r="G7" s="902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</row>
    <row r="8" spans="1:33" ht="11.65" customHeight="1" x14ac:dyDescent="0.25">
      <c r="A8" s="996" t="s">
        <v>1184</v>
      </c>
      <c r="B8" s="1002"/>
      <c r="C8" s="1002"/>
      <c r="D8" s="1002"/>
      <c r="E8" s="1002"/>
      <c r="F8" s="1002"/>
      <c r="G8" s="1002"/>
      <c r="H8" s="1002"/>
      <c r="I8" s="1003"/>
      <c r="J8" s="909" t="s">
        <v>139</v>
      </c>
      <c r="K8" s="973"/>
      <c r="L8" s="973"/>
      <c r="M8" s="973"/>
      <c r="N8" s="973"/>
      <c r="O8" s="970"/>
      <c r="P8" s="909" t="s">
        <v>140</v>
      </c>
      <c r="Q8" s="973"/>
      <c r="R8" s="973"/>
      <c r="S8" s="973"/>
      <c r="T8" s="973"/>
      <c r="U8" s="973"/>
      <c r="V8" s="970"/>
      <c r="W8" s="799" t="s">
        <v>141</v>
      </c>
      <c r="X8" s="823"/>
      <c r="Y8" s="823"/>
      <c r="Z8" s="823"/>
      <c r="AA8" s="823"/>
      <c r="AB8" s="823"/>
      <c r="AC8" s="823"/>
      <c r="AD8" s="823"/>
      <c r="AE8" s="823"/>
      <c r="AF8" s="823"/>
      <c r="AG8" s="800"/>
    </row>
    <row r="9" spans="1:33" ht="17.45" customHeight="1" x14ac:dyDescent="0.25">
      <c r="A9" s="1004"/>
      <c r="B9" s="1005"/>
      <c r="C9" s="1005"/>
      <c r="D9" s="1005"/>
      <c r="E9" s="1005"/>
      <c r="F9" s="1005"/>
      <c r="G9" s="1005"/>
      <c r="H9" s="1005"/>
      <c r="I9" s="1006"/>
      <c r="J9" s="971"/>
      <c r="K9" s="974"/>
      <c r="L9" s="974"/>
      <c r="M9" s="974"/>
      <c r="N9" s="974"/>
      <c r="O9" s="972"/>
      <c r="P9" s="971"/>
      <c r="Q9" s="974"/>
      <c r="R9" s="974"/>
      <c r="S9" s="974"/>
      <c r="T9" s="974"/>
      <c r="U9" s="974"/>
      <c r="V9" s="972"/>
      <c r="W9" s="909" t="s">
        <v>1185</v>
      </c>
      <c r="X9" s="911"/>
      <c r="Y9" s="911"/>
      <c r="Z9" s="911"/>
      <c r="AA9" s="911"/>
      <c r="AB9" s="910"/>
      <c r="AC9" s="909" t="s">
        <v>1186</v>
      </c>
      <c r="AD9" s="911"/>
      <c r="AE9" s="911"/>
      <c r="AF9" s="911"/>
      <c r="AG9" s="910"/>
    </row>
    <row r="10" spans="1:33" ht="10.9" customHeight="1" x14ac:dyDescent="0.25">
      <c r="A10" s="1012" t="s">
        <v>1187</v>
      </c>
      <c r="B10" s="1013"/>
      <c r="C10" s="1013"/>
      <c r="D10" s="1013"/>
      <c r="E10" s="1013"/>
      <c r="F10" s="1013"/>
      <c r="G10" s="1013"/>
      <c r="H10" s="1013"/>
      <c r="I10" s="1014"/>
      <c r="J10" s="831" t="s">
        <v>1465</v>
      </c>
      <c r="K10" s="805"/>
      <c r="L10" s="805"/>
      <c r="M10" s="805"/>
      <c r="N10" s="805"/>
      <c r="O10" s="804"/>
      <c r="P10" s="831" t="s">
        <v>1465</v>
      </c>
      <c r="Q10" s="805"/>
      <c r="R10" s="805"/>
      <c r="S10" s="805"/>
      <c r="T10" s="805"/>
      <c r="U10" s="805"/>
      <c r="V10" s="804"/>
      <c r="W10" s="831" t="s">
        <v>2058</v>
      </c>
      <c r="X10" s="805"/>
      <c r="Y10" s="805"/>
      <c r="Z10" s="805"/>
      <c r="AA10" s="805"/>
      <c r="AB10" s="804"/>
      <c r="AC10" s="831" t="s">
        <v>2059</v>
      </c>
      <c r="AD10" s="805"/>
      <c r="AE10" s="805"/>
      <c r="AF10" s="805"/>
      <c r="AG10" s="804"/>
    </row>
    <row r="11" spans="1:33" ht="11.65" customHeight="1" x14ac:dyDescent="0.25">
      <c r="A11" s="864" t="s">
        <v>1188</v>
      </c>
      <c r="B11" s="865"/>
      <c r="C11" s="865"/>
      <c r="D11" s="865"/>
      <c r="E11" s="865"/>
      <c r="F11" s="865"/>
      <c r="G11" s="865"/>
      <c r="H11" s="865"/>
      <c r="I11" s="866"/>
      <c r="J11" s="806" t="s">
        <v>1505</v>
      </c>
      <c r="K11" s="807"/>
      <c r="L11" s="807"/>
      <c r="M11" s="807"/>
      <c r="N11" s="807"/>
      <c r="O11" s="808"/>
      <c r="P11" s="806" t="s">
        <v>1505</v>
      </c>
      <c r="Q11" s="807"/>
      <c r="R11" s="807"/>
      <c r="S11" s="807"/>
      <c r="T11" s="807"/>
      <c r="U11" s="807"/>
      <c r="V11" s="808"/>
      <c r="W11" s="806" t="s">
        <v>2200</v>
      </c>
      <c r="X11" s="807"/>
      <c r="Y11" s="807"/>
      <c r="Z11" s="807"/>
      <c r="AA11" s="807"/>
      <c r="AB11" s="808"/>
      <c r="AC11" s="806" t="s">
        <v>2348</v>
      </c>
      <c r="AD11" s="807"/>
      <c r="AE11" s="807"/>
      <c r="AF11" s="807"/>
      <c r="AG11" s="808"/>
    </row>
    <row r="12" spans="1:33" ht="11.65" customHeight="1" x14ac:dyDescent="0.25">
      <c r="A12" s="864" t="s">
        <v>1189</v>
      </c>
      <c r="B12" s="865"/>
      <c r="C12" s="865"/>
      <c r="D12" s="865"/>
      <c r="E12" s="865"/>
      <c r="F12" s="865"/>
      <c r="G12" s="865"/>
      <c r="H12" s="865"/>
      <c r="I12" s="866"/>
      <c r="J12" s="806" t="s">
        <v>1507</v>
      </c>
      <c r="K12" s="807"/>
      <c r="L12" s="807"/>
      <c r="M12" s="807"/>
      <c r="N12" s="807"/>
      <c r="O12" s="808"/>
      <c r="P12" s="806" t="s">
        <v>1507</v>
      </c>
      <c r="Q12" s="807"/>
      <c r="R12" s="807"/>
      <c r="S12" s="807"/>
      <c r="T12" s="807"/>
      <c r="U12" s="807"/>
      <c r="V12" s="808"/>
      <c r="W12" s="806" t="s">
        <v>2202</v>
      </c>
      <c r="X12" s="807"/>
      <c r="Y12" s="807"/>
      <c r="Z12" s="807"/>
      <c r="AA12" s="807"/>
      <c r="AB12" s="808"/>
      <c r="AC12" s="806" t="s">
        <v>2349</v>
      </c>
      <c r="AD12" s="807"/>
      <c r="AE12" s="807"/>
      <c r="AF12" s="807"/>
      <c r="AG12" s="808"/>
    </row>
    <row r="13" spans="1:33" ht="11.65" customHeight="1" x14ac:dyDescent="0.25">
      <c r="A13" s="864" t="s">
        <v>1190</v>
      </c>
      <c r="B13" s="865"/>
      <c r="C13" s="865"/>
      <c r="D13" s="865"/>
      <c r="E13" s="865"/>
      <c r="F13" s="865"/>
      <c r="G13" s="865"/>
      <c r="H13" s="865"/>
      <c r="I13" s="866"/>
      <c r="J13" s="806" t="s">
        <v>1506</v>
      </c>
      <c r="K13" s="807"/>
      <c r="L13" s="807"/>
      <c r="M13" s="807"/>
      <c r="N13" s="807"/>
      <c r="O13" s="808"/>
      <c r="P13" s="806" t="s">
        <v>1506</v>
      </c>
      <c r="Q13" s="807"/>
      <c r="R13" s="807"/>
      <c r="S13" s="807"/>
      <c r="T13" s="807"/>
      <c r="U13" s="807"/>
      <c r="V13" s="808"/>
      <c r="W13" s="806" t="s">
        <v>2201</v>
      </c>
      <c r="X13" s="807"/>
      <c r="Y13" s="807"/>
      <c r="Z13" s="807"/>
      <c r="AA13" s="807"/>
      <c r="AB13" s="808"/>
      <c r="AC13" s="806" t="s">
        <v>2350</v>
      </c>
      <c r="AD13" s="807"/>
      <c r="AE13" s="807"/>
      <c r="AF13" s="807"/>
      <c r="AG13" s="808"/>
    </row>
    <row r="14" spans="1:33" ht="10.9" customHeight="1" x14ac:dyDescent="0.25">
      <c r="A14" s="864" t="s">
        <v>1191</v>
      </c>
      <c r="B14" s="865"/>
      <c r="C14" s="865"/>
      <c r="D14" s="865"/>
      <c r="E14" s="865"/>
      <c r="F14" s="865"/>
      <c r="G14" s="865"/>
      <c r="H14" s="865"/>
      <c r="I14" s="866"/>
      <c r="J14" s="806" t="s">
        <v>1508</v>
      </c>
      <c r="K14" s="807"/>
      <c r="L14" s="807"/>
      <c r="M14" s="807"/>
      <c r="N14" s="807"/>
      <c r="O14" s="808"/>
      <c r="P14" s="806" t="s">
        <v>1508</v>
      </c>
      <c r="Q14" s="807"/>
      <c r="R14" s="807"/>
      <c r="S14" s="807"/>
      <c r="T14" s="807"/>
      <c r="U14" s="807"/>
      <c r="V14" s="808"/>
      <c r="W14" s="806" t="s">
        <v>2203</v>
      </c>
      <c r="X14" s="807"/>
      <c r="Y14" s="807"/>
      <c r="Z14" s="807"/>
      <c r="AA14" s="807"/>
      <c r="AB14" s="808"/>
      <c r="AC14" s="806" t="s">
        <v>2351</v>
      </c>
      <c r="AD14" s="807"/>
      <c r="AE14" s="807"/>
      <c r="AF14" s="807"/>
      <c r="AG14" s="808"/>
    </row>
    <row r="15" spans="1:33" ht="11.65" customHeight="1" x14ac:dyDescent="0.25">
      <c r="A15" s="1018" t="s">
        <v>1192</v>
      </c>
      <c r="B15" s="1019"/>
      <c r="C15" s="1019"/>
      <c r="D15" s="1019"/>
      <c r="E15" s="1019"/>
      <c r="F15" s="1019"/>
      <c r="G15" s="1019"/>
      <c r="H15" s="1019"/>
      <c r="I15" s="1020"/>
      <c r="J15" s="806" t="s">
        <v>1573</v>
      </c>
      <c r="K15" s="807"/>
      <c r="L15" s="807"/>
      <c r="M15" s="807"/>
      <c r="N15" s="807"/>
      <c r="O15" s="808"/>
      <c r="P15" s="806" t="s">
        <v>1573</v>
      </c>
      <c r="Q15" s="807"/>
      <c r="R15" s="807"/>
      <c r="S15" s="807"/>
      <c r="T15" s="807"/>
      <c r="U15" s="807"/>
      <c r="V15" s="808"/>
      <c r="W15" s="806" t="s">
        <v>2311</v>
      </c>
      <c r="X15" s="807"/>
      <c r="Y15" s="807"/>
      <c r="Z15" s="807"/>
      <c r="AA15" s="807"/>
      <c r="AB15" s="808"/>
      <c r="AC15" s="806" t="s">
        <v>2352</v>
      </c>
      <c r="AD15" s="807"/>
      <c r="AE15" s="807"/>
      <c r="AF15" s="807"/>
      <c r="AG15" s="808"/>
    </row>
    <row r="16" spans="1:33" ht="11.65" customHeight="1" x14ac:dyDescent="0.25">
      <c r="A16" s="864" t="s">
        <v>1193</v>
      </c>
      <c r="B16" s="865"/>
      <c r="C16" s="865"/>
      <c r="D16" s="865"/>
      <c r="E16" s="865"/>
      <c r="F16" s="865"/>
      <c r="G16" s="865"/>
      <c r="H16" s="865"/>
      <c r="I16" s="866"/>
      <c r="J16" s="806" t="s">
        <v>1554</v>
      </c>
      <c r="K16" s="807"/>
      <c r="L16" s="807"/>
      <c r="M16" s="807"/>
      <c r="N16" s="807"/>
      <c r="O16" s="808"/>
      <c r="P16" s="806" t="s">
        <v>1554</v>
      </c>
      <c r="Q16" s="807"/>
      <c r="R16" s="807"/>
      <c r="S16" s="807"/>
      <c r="T16" s="807"/>
      <c r="U16" s="807"/>
      <c r="V16" s="808"/>
      <c r="W16" s="806" t="s">
        <v>2313</v>
      </c>
      <c r="X16" s="807"/>
      <c r="Y16" s="807"/>
      <c r="Z16" s="807"/>
      <c r="AA16" s="807"/>
      <c r="AB16" s="808"/>
      <c r="AC16" s="806" t="s">
        <v>2353</v>
      </c>
      <c r="AD16" s="807"/>
      <c r="AE16" s="807"/>
      <c r="AF16" s="807"/>
      <c r="AG16" s="808"/>
    </row>
    <row r="17" spans="1:33" ht="11.65" customHeight="1" x14ac:dyDescent="0.25">
      <c r="A17" s="864" t="s">
        <v>1194</v>
      </c>
      <c r="B17" s="865"/>
      <c r="C17" s="865"/>
      <c r="D17" s="865"/>
      <c r="E17" s="865"/>
      <c r="F17" s="865"/>
      <c r="G17" s="865"/>
      <c r="H17" s="865"/>
      <c r="I17" s="866"/>
      <c r="J17" s="806" t="s">
        <v>1557</v>
      </c>
      <c r="K17" s="807"/>
      <c r="L17" s="807"/>
      <c r="M17" s="807"/>
      <c r="N17" s="807"/>
      <c r="O17" s="808"/>
      <c r="P17" s="806" t="s">
        <v>1557</v>
      </c>
      <c r="Q17" s="807"/>
      <c r="R17" s="807"/>
      <c r="S17" s="807"/>
      <c r="T17" s="807"/>
      <c r="U17" s="807"/>
      <c r="V17" s="808"/>
      <c r="W17" s="806" t="s">
        <v>2317</v>
      </c>
      <c r="X17" s="807"/>
      <c r="Y17" s="807"/>
      <c r="Z17" s="807"/>
      <c r="AA17" s="807"/>
      <c r="AB17" s="808"/>
      <c r="AC17" s="806" t="s">
        <v>2354</v>
      </c>
      <c r="AD17" s="807"/>
      <c r="AE17" s="807"/>
      <c r="AF17" s="807"/>
      <c r="AG17" s="808"/>
    </row>
    <row r="18" spans="1:33" ht="10.9" customHeight="1" x14ac:dyDescent="0.25">
      <c r="A18" s="864" t="s">
        <v>1195</v>
      </c>
      <c r="B18" s="865"/>
      <c r="C18" s="865"/>
      <c r="D18" s="865"/>
      <c r="E18" s="865"/>
      <c r="F18" s="865"/>
      <c r="G18" s="865"/>
      <c r="H18" s="865"/>
      <c r="I18" s="866"/>
      <c r="J18" s="806" t="s">
        <v>1558</v>
      </c>
      <c r="K18" s="807"/>
      <c r="L18" s="807"/>
      <c r="M18" s="807"/>
      <c r="N18" s="807"/>
      <c r="O18" s="808"/>
      <c r="P18" s="806" t="s">
        <v>1558</v>
      </c>
      <c r="Q18" s="807"/>
      <c r="R18" s="807"/>
      <c r="S18" s="807"/>
      <c r="T18" s="807"/>
      <c r="U18" s="807"/>
      <c r="V18" s="808"/>
      <c r="W18" s="806" t="s">
        <v>2318</v>
      </c>
      <c r="X18" s="807"/>
      <c r="Y18" s="807"/>
      <c r="Z18" s="807"/>
      <c r="AA18" s="807"/>
      <c r="AB18" s="808"/>
      <c r="AC18" s="806" t="s">
        <v>2355</v>
      </c>
      <c r="AD18" s="807"/>
      <c r="AE18" s="807"/>
      <c r="AF18" s="807"/>
      <c r="AG18" s="808"/>
    </row>
    <row r="19" spans="1:33" ht="11.65" customHeight="1" x14ac:dyDescent="0.25">
      <c r="A19" s="864" t="s">
        <v>1196</v>
      </c>
      <c r="B19" s="865"/>
      <c r="C19" s="865"/>
      <c r="D19" s="865"/>
      <c r="E19" s="865"/>
      <c r="F19" s="865"/>
      <c r="G19" s="865"/>
      <c r="H19" s="865"/>
      <c r="I19" s="866"/>
      <c r="J19" s="806" t="s">
        <v>1555</v>
      </c>
      <c r="K19" s="807"/>
      <c r="L19" s="807"/>
      <c r="M19" s="807"/>
      <c r="N19" s="807"/>
      <c r="O19" s="808"/>
      <c r="P19" s="806" t="s">
        <v>1555</v>
      </c>
      <c r="Q19" s="807"/>
      <c r="R19" s="807"/>
      <c r="S19" s="807"/>
      <c r="T19" s="807"/>
      <c r="U19" s="807"/>
      <c r="V19" s="808"/>
      <c r="W19" s="806" t="s">
        <v>2315</v>
      </c>
      <c r="X19" s="807"/>
      <c r="Y19" s="807"/>
      <c r="Z19" s="807"/>
      <c r="AA19" s="807"/>
      <c r="AB19" s="808"/>
      <c r="AC19" s="806" t="s">
        <v>2356</v>
      </c>
      <c r="AD19" s="807"/>
      <c r="AE19" s="807"/>
      <c r="AF19" s="807"/>
      <c r="AG19" s="808"/>
    </row>
    <row r="20" spans="1:33" ht="11.65" customHeight="1" x14ac:dyDescent="0.25">
      <c r="A20" s="864" t="s">
        <v>1197</v>
      </c>
      <c r="B20" s="865"/>
      <c r="C20" s="865"/>
      <c r="D20" s="865"/>
      <c r="E20" s="865"/>
      <c r="F20" s="865"/>
      <c r="G20" s="865"/>
      <c r="H20" s="865"/>
      <c r="I20" s="866"/>
      <c r="J20" s="806" t="s">
        <v>1556</v>
      </c>
      <c r="K20" s="807"/>
      <c r="L20" s="807"/>
      <c r="M20" s="807"/>
      <c r="N20" s="807"/>
      <c r="O20" s="808"/>
      <c r="P20" s="806" t="s">
        <v>1556</v>
      </c>
      <c r="Q20" s="807"/>
      <c r="R20" s="807"/>
      <c r="S20" s="807"/>
      <c r="T20" s="807"/>
      <c r="U20" s="807"/>
      <c r="V20" s="808"/>
      <c r="W20" s="806" t="s">
        <v>2316</v>
      </c>
      <c r="X20" s="807"/>
      <c r="Y20" s="807"/>
      <c r="Z20" s="807"/>
      <c r="AA20" s="807"/>
      <c r="AB20" s="808"/>
      <c r="AC20" s="806" t="s">
        <v>2357</v>
      </c>
      <c r="AD20" s="807"/>
      <c r="AE20" s="807"/>
      <c r="AF20" s="807"/>
      <c r="AG20" s="808"/>
    </row>
    <row r="21" spans="1:33" ht="11.65" customHeight="1" x14ac:dyDescent="0.25">
      <c r="A21" s="867" t="s">
        <v>1198</v>
      </c>
      <c r="B21" s="868"/>
      <c r="C21" s="868"/>
      <c r="D21" s="868"/>
      <c r="E21" s="868"/>
      <c r="F21" s="868"/>
      <c r="G21" s="868"/>
      <c r="H21" s="868"/>
      <c r="I21" s="869"/>
      <c r="J21" s="814" t="s">
        <v>159</v>
      </c>
      <c r="K21" s="815"/>
      <c r="L21" s="815"/>
      <c r="M21" s="815"/>
      <c r="N21" s="815"/>
      <c r="O21" s="816"/>
      <c r="P21" s="814" t="s">
        <v>159</v>
      </c>
      <c r="Q21" s="815"/>
      <c r="R21" s="815"/>
      <c r="S21" s="815"/>
      <c r="T21" s="815"/>
      <c r="U21" s="815"/>
      <c r="V21" s="816"/>
      <c r="W21" s="814" t="s">
        <v>159</v>
      </c>
      <c r="X21" s="815"/>
      <c r="Y21" s="815"/>
      <c r="Z21" s="815"/>
      <c r="AA21" s="815"/>
      <c r="AB21" s="816"/>
      <c r="AC21" s="814" t="s">
        <v>159</v>
      </c>
      <c r="AD21" s="815"/>
      <c r="AE21" s="815"/>
      <c r="AF21" s="815"/>
      <c r="AG21" s="816"/>
    </row>
    <row r="22" spans="1:33" ht="10.9" customHeight="1" x14ac:dyDescent="0.25">
      <c r="A22" s="1015" t="s">
        <v>1199</v>
      </c>
      <c r="B22" s="1016"/>
      <c r="C22" s="1016"/>
      <c r="D22" s="1016"/>
      <c r="E22" s="1016"/>
      <c r="F22" s="1016"/>
      <c r="G22" s="1016"/>
      <c r="H22" s="1016"/>
      <c r="I22" s="1017"/>
      <c r="J22" s="1009" t="s">
        <v>1574</v>
      </c>
      <c r="K22" s="1010"/>
      <c r="L22" s="1010"/>
      <c r="M22" s="1010"/>
      <c r="N22" s="1010"/>
      <c r="O22" s="1011"/>
      <c r="P22" s="1009" t="s">
        <v>1574</v>
      </c>
      <c r="Q22" s="1010"/>
      <c r="R22" s="1010"/>
      <c r="S22" s="1010"/>
      <c r="T22" s="1010"/>
      <c r="U22" s="1010"/>
      <c r="V22" s="1011"/>
      <c r="W22" s="1009" t="s">
        <v>2321</v>
      </c>
      <c r="X22" s="1010"/>
      <c r="Y22" s="1010"/>
      <c r="Z22" s="1010"/>
      <c r="AA22" s="1010"/>
      <c r="AB22" s="1011"/>
      <c r="AC22" s="1009" t="s">
        <v>2358</v>
      </c>
      <c r="AD22" s="1010"/>
      <c r="AE22" s="1010"/>
      <c r="AF22" s="1010"/>
      <c r="AG22" s="1011"/>
    </row>
    <row r="23" spans="1:33" ht="11.65" customHeight="1" x14ac:dyDescent="0.25">
      <c r="A23" s="821"/>
      <c r="B23" s="821"/>
      <c r="C23" s="821"/>
      <c r="D23" s="821"/>
      <c r="E23" s="821"/>
      <c r="F23" s="821"/>
      <c r="G23" s="821"/>
      <c r="H23" s="821"/>
      <c r="I23" s="821"/>
      <c r="J23" s="821"/>
      <c r="K23" s="821"/>
      <c r="L23" s="821"/>
      <c r="M23" s="821"/>
      <c r="N23" s="821"/>
      <c r="O23" s="821"/>
      <c r="P23" s="821"/>
      <c r="Q23" s="821"/>
      <c r="R23" s="821"/>
      <c r="S23" s="821"/>
      <c r="T23" s="821"/>
      <c r="U23" s="821"/>
      <c r="V23" s="821"/>
      <c r="W23" s="821"/>
      <c r="X23" s="821"/>
      <c r="Y23" s="821"/>
      <c r="Z23" s="821"/>
      <c r="AA23" s="821"/>
      <c r="AB23" s="821"/>
      <c r="AC23" s="821"/>
      <c r="AD23" s="821"/>
      <c r="AE23" s="821"/>
      <c r="AF23" s="821"/>
      <c r="AG23" s="821"/>
    </row>
    <row r="24" spans="1:33" ht="11.65" customHeight="1" x14ac:dyDescent="0.25">
      <c r="A24" s="964" t="s">
        <v>1200</v>
      </c>
      <c r="B24" s="965"/>
      <c r="C24" s="965"/>
      <c r="D24" s="965"/>
      <c r="E24" s="966"/>
      <c r="F24" s="909" t="s">
        <v>1201</v>
      </c>
      <c r="G24" s="970"/>
      <c r="H24" s="909" t="s">
        <v>359</v>
      </c>
      <c r="I24" s="973"/>
      <c r="J24" s="973"/>
      <c r="K24" s="970"/>
      <c r="L24" s="799" t="s">
        <v>187</v>
      </c>
      <c r="M24" s="823"/>
      <c r="N24" s="823"/>
      <c r="O24" s="823"/>
      <c r="P24" s="823"/>
      <c r="Q24" s="823"/>
      <c r="R24" s="800"/>
      <c r="S24" s="799" t="s">
        <v>189</v>
      </c>
      <c r="T24" s="823"/>
      <c r="U24" s="823"/>
      <c r="V24" s="823"/>
      <c r="W24" s="823"/>
      <c r="X24" s="823"/>
      <c r="Y24" s="823"/>
      <c r="Z24" s="800"/>
      <c r="AA24" s="799" t="s">
        <v>1202</v>
      </c>
      <c r="AB24" s="823"/>
      <c r="AC24" s="823"/>
      <c r="AD24" s="823"/>
      <c r="AE24" s="823"/>
      <c r="AF24" s="823"/>
      <c r="AG24" s="800"/>
    </row>
    <row r="25" spans="1:33" ht="17.45" customHeight="1" x14ac:dyDescent="0.25">
      <c r="A25" s="967"/>
      <c r="B25" s="968"/>
      <c r="C25" s="968"/>
      <c r="D25" s="968"/>
      <c r="E25" s="969"/>
      <c r="F25" s="971"/>
      <c r="G25" s="972"/>
      <c r="H25" s="971"/>
      <c r="I25" s="974"/>
      <c r="J25" s="974"/>
      <c r="K25" s="972"/>
      <c r="L25" s="909" t="s">
        <v>1203</v>
      </c>
      <c r="M25" s="911"/>
      <c r="N25" s="910"/>
      <c r="O25" s="909" t="s">
        <v>1204</v>
      </c>
      <c r="P25" s="911"/>
      <c r="Q25" s="911"/>
      <c r="R25" s="910"/>
      <c r="S25" s="909" t="s">
        <v>1205</v>
      </c>
      <c r="T25" s="911"/>
      <c r="U25" s="911"/>
      <c r="V25" s="911"/>
      <c r="W25" s="910"/>
      <c r="X25" s="909" t="s">
        <v>1206</v>
      </c>
      <c r="Y25" s="911"/>
      <c r="Z25" s="910"/>
      <c r="AA25" s="909" t="s">
        <v>1207</v>
      </c>
      <c r="AB25" s="911"/>
      <c r="AC25" s="911"/>
      <c r="AD25" s="910"/>
      <c r="AE25" s="909" t="s">
        <v>1208</v>
      </c>
      <c r="AF25" s="911"/>
      <c r="AG25" s="910"/>
    </row>
    <row r="26" spans="1:33" ht="10.9" customHeight="1" x14ac:dyDescent="0.25">
      <c r="A26" s="884" t="s">
        <v>1209</v>
      </c>
      <c r="B26" s="885"/>
      <c r="C26" s="885"/>
      <c r="D26" s="885"/>
      <c r="E26" s="886"/>
      <c r="F26" s="831" t="s">
        <v>1575</v>
      </c>
      <c r="G26" s="804"/>
      <c r="H26" s="831" t="s">
        <v>1693</v>
      </c>
      <c r="I26" s="805"/>
      <c r="J26" s="805"/>
      <c r="K26" s="804"/>
      <c r="L26" s="831" t="s">
        <v>2359</v>
      </c>
      <c r="M26" s="805"/>
      <c r="N26" s="804"/>
      <c r="O26" s="831" t="s">
        <v>2360</v>
      </c>
      <c r="P26" s="805"/>
      <c r="Q26" s="805"/>
      <c r="R26" s="804"/>
      <c r="S26" s="831" t="s">
        <v>2361</v>
      </c>
      <c r="T26" s="805"/>
      <c r="U26" s="805"/>
      <c r="V26" s="805"/>
      <c r="W26" s="804"/>
      <c r="X26" s="831" t="s">
        <v>2362</v>
      </c>
      <c r="Y26" s="805"/>
      <c r="Z26" s="804"/>
      <c r="AA26" s="831" t="s">
        <v>2363</v>
      </c>
      <c r="AB26" s="805"/>
      <c r="AC26" s="805"/>
      <c r="AD26" s="804"/>
      <c r="AE26" s="831" t="s">
        <v>2364</v>
      </c>
      <c r="AF26" s="805"/>
      <c r="AG26" s="804"/>
    </row>
    <row r="27" spans="1:33" ht="11.65" customHeight="1" x14ac:dyDescent="0.25">
      <c r="A27" s="864" t="s">
        <v>1210</v>
      </c>
      <c r="B27" s="865"/>
      <c r="C27" s="865"/>
      <c r="D27" s="865"/>
      <c r="E27" s="866"/>
      <c r="F27" s="806" t="s">
        <v>1576</v>
      </c>
      <c r="G27" s="808"/>
      <c r="H27" s="806" t="s">
        <v>1694</v>
      </c>
      <c r="I27" s="807"/>
      <c r="J27" s="807"/>
      <c r="K27" s="808"/>
      <c r="L27" s="806" t="s">
        <v>2359</v>
      </c>
      <c r="M27" s="807"/>
      <c r="N27" s="808"/>
      <c r="O27" s="806" t="s">
        <v>2365</v>
      </c>
      <c r="P27" s="807"/>
      <c r="Q27" s="807"/>
      <c r="R27" s="808"/>
      <c r="S27" s="806" t="s">
        <v>2361</v>
      </c>
      <c r="T27" s="807"/>
      <c r="U27" s="807"/>
      <c r="V27" s="807"/>
      <c r="W27" s="808"/>
      <c r="X27" s="806" t="s">
        <v>2366</v>
      </c>
      <c r="Y27" s="807"/>
      <c r="Z27" s="808"/>
      <c r="AA27" s="806" t="s">
        <v>2363</v>
      </c>
      <c r="AB27" s="807"/>
      <c r="AC27" s="807"/>
      <c r="AD27" s="808"/>
      <c r="AE27" s="806" t="s">
        <v>2367</v>
      </c>
      <c r="AF27" s="807"/>
      <c r="AG27" s="808"/>
    </row>
    <row r="28" spans="1:33" ht="11.65" customHeight="1" x14ac:dyDescent="0.25">
      <c r="A28" s="864" t="s">
        <v>446</v>
      </c>
      <c r="B28" s="865"/>
      <c r="C28" s="865"/>
      <c r="D28" s="865"/>
      <c r="E28" s="866"/>
      <c r="F28" s="806" t="s">
        <v>1577</v>
      </c>
      <c r="G28" s="808"/>
      <c r="H28" s="806" t="s">
        <v>1577</v>
      </c>
      <c r="I28" s="807"/>
      <c r="J28" s="807"/>
      <c r="K28" s="808"/>
      <c r="L28" s="806" t="s">
        <v>159</v>
      </c>
      <c r="M28" s="807"/>
      <c r="N28" s="808"/>
      <c r="O28" s="806" t="s">
        <v>159</v>
      </c>
      <c r="P28" s="807"/>
      <c r="Q28" s="807"/>
      <c r="R28" s="808"/>
      <c r="S28" s="806" t="s">
        <v>159</v>
      </c>
      <c r="T28" s="807"/>
      <c r="U28" s="807"/>
      <c r="V28" s="807"/>
      <c r="W28" s="808"/>
      <c r="X28" s="806" t="s">
        <v>159</v>
      </c>
      <c r="Y28" s="807"/>
      <c r="Z28" s="808"/>
      <c r="AA28" s="806" t="s">
        <v>159</v>
      </c>
      <c r="AB28" s="807"/>
      <c r="AC28" s="807"/>
      <c r="AD28" s="808"/>
      <c r="AE28" s="806" t="s">
        <v>159</v>
      </c>
      <c r="AF28" s="807"/>
      <c r="AG28" s="808"/>
    </row>
    <row r="29" spans="1:33" ht="11.65" customHeight="1" x14ac:dyDescent="0.25">
      <c r="A29" s="864" t="s">
        <v>1211</v>
      </c>
      <c r="B29" s="865"/>
      <c r="C29" s="865"/>
      <c r="D29" s="865"/>
      <c r="E29" s="866"/>
      <c r="F29" s="806" t="s">
        <v>2368</v>
      </c>
      <c r="G29" s="808"/>
      <c r="H29" s="806" t="s">
        <v>2369</v>
      </c>
      <c r="I29" s="807"/>
      <c r="J29" s="807"/>
      <c r="K29" s="808"/>
      <c r="L29" s="806" t="s">
        <v>2370</v>
      </c>
      <c r="M29" s="807"/>
      <c r="N29" s="808"/>
      <c r="O29" s="806" t="s">
        <v>2371</v>
      </c>
      <c r="P29" s="807"/>
      <c r="Q29" s="807"/>
      <c r="R29" s="808"/>
      <c r="S29" s="806" t="s">
        <v>2372</v>
      </c>
      <c r="T29" s="807"/>
      <c r="U29" s="807"/>
      <c r="V29" s="807"/>
      <c r="W29" s="808"/>
      <c r="X29" s="806" t="s">
        <v>2373</v>
      </c>
      <c r="Y29" s="807"/>
      <c r="Z29" s="808"/>
      <c r="AA29" s="806" t="s">
        <v>2374</v>
      </c>
      <c r="AB29" s="807"/>
      <c r="AC29" s="807"/>
      <c r="AD29" s="808"/>
      <c r="AE29" s="806" t="s">
        <v>2375</v>
      </c>
      <c r="AF29" s="807"/>
      <c r="AG29" s="808"/>
    </row>
    <row r="30" spans="1:33" ht="10.9" customHeight="1" x14ac:dyDescent="0.25">
      <c r="A30" s="864" t="s">
        <v>1210</v>
      </c>
      <c r="B30" s="865"/>
      <c r="C30" s="865"/>
      <c r="D30" s="865"/>
      <c r="E30" s="866"/>
      <c r="F30" s="806" t="s">
        <v>2376</v>
      </c>
      <c r="G30" s="808"/>
      <c r="H30" s="806" t="s">
        <v>2377</v>
      </c>
      <c r="I30" s="807"/>
      <c r="J30" s="807"/>
      <c r="K30" s="808"/>
      <c r="L30" s="806" t="s">
        <v>2370</v>
      </c>
      <c r="M30" s="807"/>
      <c r="N30" s="808"/>
      <c r="O30" s="806" t="s">
        <v>2371</v>
      </c>
      <c r="P30" s="807"/>
      <c r="Q30" s="807"/>
      <c r="R30" s="808"/>
      <c r="S30" s="806" t="s">
        <v>2372</v>
      </c>
      <c r="T30" s="807"/>
      <c r="U30" s="807"/>
      <c r="V30" s="807"/>
      <c r="W30" s="808"/>
      <c r="X30" s="806" t="s">
        <v>2373</v>
      </c>
      <c r="Y30" s="807"/>
      <c r="Z30" s="808"/>
      <c r="AA30" s="806" t="s">
        <v>2374</v>
      </c>
      <c r="AB30" s="807"/>
      <c r="AC30" s="807"/>
      <c r="AD30" s="808"/>
      <c r="AE30" s="806" t="s">
        <v>2375</v>
      </c>
      <c r="AF30" s="807"/>
      <c r="AG30" s="808"/>
    </row>
    <row r="31" spans="1:33" ht="11.65" customHeight="1" x14ac:dyDescent="0.25">
      <c r="A31" s="864" t="s">
        <v>446</v>
      </c>
      <c r="B31" s="865"/>
      <c r="C31" s="865"/>
      <c r="D31" s="865"/>
      <c r="E31" s="866"/>
      <c r="F31" s="806" t="s">
        <v>1578</v>
      </c>
      <c r="G31" s="808"/>
      <c r="H31" s="806" t="s">
        <v>1578</v>
      </c>
      <c r="I31" s="807"/>
      <c r="J31" s="807"/>
      <c r="K31" s="808"/>
      <c r="L31" s="806" t="s">
        <v>159</v>
      </c>
      <c r="M31" s="807"/>
      <c r="N31" s="808"/>
      <c r="O31" s="806" t="s">
        <v>159</v>
      </c>
      <c r="P31" s="807"/>
      <c r="Q31" s="807"/>
      <c r="R31" s="808"/>
      <c r="S31" s="806" t="s">
        <v>159</v>
      </c>
      <c r="T31" s="807"/>
      <c r="U31" s="807"/>
      <c r="V31" s="807"/>
      <c r="W31" s="808"/>
      <c r="X31" s="806" t="s">
        <v>159</v>
      </c>
      <c r="Y31" s="807"/>
      <c r="Z31" s="808"/>
      <c r="AA31" s="806" t="s">
        <v>159</v>
      </c>
      <c r="AB31" s="807"/>
      <c r="AC31" s="807"/>
      <c r="AD31" s="808"/>
      <c r="AE31" s="806" t="s">
        <v>159</v>
      </c>
      <c r="AF31" s="807"/>
      <c r="AG31" s="808"/>
    </row>
    <row r="32" spans="1:33" ht="11.65" customHeight="1" x14ac:dyDescent="0.25">
      <c r="A32" s="864" t="s">
        <v>1212</v>
      </c>
      <c r="B32" s="865"/>
      <c r="C32" s="865"/>
      <c r="D32" s="865"/>
      <c r="E32" s="866"/>
      <c r="F32" s="806" t="s">
        <v>1579</v>
      </c>
      <c r="G32" s="808"/>
      <c r="H32" s="806" t="s">
        <v>2378</v>
      </c>
      <c r="I32" s="807"/>
      <c r="J32" s="807"/>
      <c r="K32" s="808"/>
      <c r="L32" s="806" t="s">
        <v>2379</v>
      </c>
      <c r="M32" s="807"/>
      <c r="N32" s="808"/>
      <c r="O32" s="806" t="s">
        <v>2380</v>
      </c>
      <c r="P32" s="807"/>
      <c r="Q32" s="807"/>
      <c r="R32" s="808"/>
      <c r="S32" s="806" t="s">
        <v>2381</v>
      </c>
      <c r="T32" s="807"/>
      <c r="U32" s="807"/>
      <c r="V32" s="807"/>
      <c r="W32" s="808"/>
      <c r="X32" s="806" t="s">
        <v>2382</v>
      </c>
      <c r="Y32" s="807"/>
      <c r="Z32" s="808"/>
      <c r="AA32" s="806" t="s">
        <v>2383</v>
      </c>
      <c r="AB32" s="807"/>
      <c r="AC32" s="807"/>
      <c r="AD32" s="808"/>
      <c r="AE32" s="806" t="s">
        <v>2384</v>
      </c>
      <c r="AF32" s="807"/>
      <c r="AG32" s="808"/>
    </row>
    <row r="33" spans="1:33" ht="11.65" customHeight="1" x14ac:dyDescent="0.25">
      <c r="A33" s="864" t="s">
        <v>1210</v>
      </c>
      <c r="B33" s="865"/>
      <c r="C33" s="865"/>
      <c r="D33" s="865"/>
      <c r="E33" s="866"/>
      <c r="F33" s="806" t="s">
        <v>1579</v>
      </c>
      <c r="G33" s="808"/>
      <c r="H33" s="806" t="s">
        <v>2378</v>
      </c>
      <c r="I33" s="807"/>
      <c r="J33" s="807"/>
      <c r="K33" s="808"/>
      <c r="L33" s="806" t="s">
        <v>2379</v>
      </c>
      <c r="M33" s="807"/>
      <c r="N33" s="808"/>
      <c r="O33" s="806" t="s">
        <v>2380</v>
      </c>
      <c r="P33" s="807"/>
      <c r="Q33" s="807"/>
      <c r="R33" s="808"/>
      <c r="S33" s="806" t="s">
        <v>2381</v>
      </c>
      <c r="T33" s="807"/>
      <c r="U33" s="807"/>
      <c r="V33" s="807"/>
      <c r="W33" s="808"/>
      <c r="X33" s="806" t="s">
        <v>2382</v>
      </c>
      <c r="Y33" s="807"/>
      <c r="Z33" s="808"/>
      <c r="AA33" s="806" t="s">
        <v>2383</v>
      </c>
      <c r="AB33" s="807"/>
      <c r="AC33" s="807"/>
      <c r="AD33" s="808"/>
      <c r="AE33" s="806" t="s">
        <v>2384</v>
      </c>
      <c r="AF33" s="807"/>
      <c r="AG33" s="808"/>
    </row>
    <row r="34" spans="1:33" ht="10.9" customHeight="1" x14ac:dyDescent="0.25">
      <c r="A34" s="864" t="s">
        <v>446</v>
      </c>
      <c r="B34" s="865"/>
      <c r="C34" s="865"/>
      <c r="D34" s="865"/>
      <c r="E34" s="866"/>
      <c r="F34" s="806" t="s">
        <v>159</v>
      </c>
      <c r="G34" s="808"/>
      <c r="H34" s="806" t="s">
        <v>159</v>
      </c>
      <c r="I34" s="807"/>
      <c r="J34" s="807"/>
      <c r="K34" s="808"/>
      <c r="L34" s="806" t="s">
        <v>159</v>
      </c>
      <c r="M34" s="807"/>
      <c r="N34" s="808"/>
      <c r="O34" s="806" t="s">
        <v>159</v>
      </c>
      <c r="P34" s="807"/>
      <c r="Q34" s="807"/>
      <c r="R34" s="808"/>
      <c r="S34" s="806" t="s">
        <v>159</v>
      </c>
      <c r="T34" s="807"/>
      <c r="U34" s="807"/>
      <c r="V34" s="807"/>
      <c r="W34" s="808"/>
      <c r="X34" s="806" t="s">
        <v>159</v>
      </c>
      <c r="Y34" s="807"/>
      <c r="Z34" s="808"/>
      <c r="AA34" s="806" t="s">
        <v>159</v>
      </c>
      <c r="AB34" s="807"/>
      <c r="AC34" s="807"/>
      <c r="AD34" s="808"/>
      <c r="AE34" s="806" t="s">
        <v>159</v>
      </c>
      <c r="AF34" s="807"/>
      <c r="AG34" s="808"/>
    </row>
    <row r="35" spans="1:33" ht="11.65" customHeight="1" x14ac:dyDescent="0.25">
      <c r="A35" s="864" t="s">
        <v>1213</v>
      </c>
      <c r="B35" s="865"/>
      <c r="C35" s="865"/>
      <c r="D35" s="865"/>
      <c r="E35" s="866"/>
      <c r="F35" s="806" t="s">
        <v>1580</v>
      </c>
      <c r="G35" s="808"/>
      <c r="H35" s="806" t="s">
        <v>2385</v>
      </c>
      <c r="I35" s="807"/>
      <c r="J35" s="807"/>
      <c r="K35" s="808"/>
      <c r="L35" s="806" t="s">
        <v>2386</v>
      </c>
      <c r="M35" s="807"/>
      <c r="N35" s="808"/>
      <c r="O35" s="806" t="s">
        <v>2387</v>
      </c>
      <c r="P35" s="807"/>
      <c r="Q35" s="807"/>
      <c r="R35" s="808"/>
      <c r="S35" s="806" t="s">
        <v>2388</v>
      </c>
      <c r="T35" s="807"/>
      <c r="U35" s="807"/>
      <c r="V35" s="807"/>
      <c r="W35" s="808"/>
      <c r="X35" s="806" t="s">
        <v>1667</v>
      </c>
      <c r="Y35" s="807"/>
      <c r="Z35" s="808"/>
      <c r="AA35" s="806" t="s">
        <v>2389</v>
      </c>
      <c r="AB35" s="807"/>
      <c r="AC35" s="807"/>
      <c r="AD35" s="808"/>
      <c r="AE35" s="806" t="s">
        <v>2390</v>
      </c>
      <c r="AF35" s="807"/>
      <c r="AG35" s="808"/>
    </row>
    <row r="36" spans="1:33" ht="11.65" customHeight="1" x14ac:dyDescent="0.25">
      <c r="A36" s="864" t="s">
        <v>1210</v>
      </c>
      <c r="B36" s="865"/>
      <c r="C36" s="865"/>
      <c r="D36" s="865"/>
      <c r="E36" s="866"/>
      <c r="F36" s="806" t="s">
        <v>1581</v>
      </c>
      <c r="G36" s="808"/>
      <c r="H36" s="806" t="s">
        <v>2391</v>
      </c>
      <c r="I36" s="807"/>
      <c r="J36" s="807"/>
      <c r="K36" s="808"/>
      <c r="L36" s="806" t="s">
        <v>2386</v>
      </c>
      <c r="M36" s="807"/>
      <c r="N36" s="808"/>
      <c r="O36" s="806" t="s">
        <v>2392</v>
      </c>
      <c r="P36" s="807"/>
      <c r="Q36" s="807"/>
      <c r="R36" s="808"/>
      <c r="S36" s="806" t="s">
        <v>2388</v>
      </c>
      <c r="T36" s="807"/>
      <c r="U36" s="807"/>
      <c r="V36" s="807"/>
      <c r="W36" s="808"/>
      <c r="X36" s="806" t="s">
        <v>2393</v>
      </c>
      <c r="Y36" s="807"/>
      <c r="Z36" s="808"/>
      <c r="AA36" s="806" t="s">
        <v>2389</v>
      </c>
      <c r="AB36" s="807"/>
      <c r="AC36" s="807"/>
      <c r="AD36" s="808"/>
      <c r="AE36" s="806" t="s">
        <v>2394</v>
      </c>
      <c r="AF36" s="807"/>
      <c r="AG36" s="808"/>
    </row>
    <row r="37" spans="1:33" ht="11.65" customHeight="1" x14ac:dyDescent="0.25">
      <c r="A37" s="864" t="s">
        <v>446</v>
      </c>
      <c r="B37" s="865"/>
      <c r="C37" s="865"/>
      <c r="D37" s="865"/>
      <c r="E37" s="866"/>
      <c r="F37" s="806" t="s">
        <v>1582</v>
      </c>
      <c r="G37" s="808"/>
      <c r="H37" s="806" t="s">
        <v>1582</v>
      </c>
      <c r="I37" s="807"/>
      <c r="J37" s="807"/>
      <c r="K37" s="808"/>
      <c r="L37" s="806" t="s">
        <v>159</v>
      </c>
      <c r="M37" s="807"/>
      <c r="N37" s="808"/>
      <c r="O37" s="806" t="s">
        <v>159</v>
      </c>
      <c r="P37" s="807"/>
      <c r="Q37" s="807"/>
      <c r="R37" s="808"/>
      <c r="S37" s="806" t="s">
        <v>159</v>
      </c>
      <c r="T37" s="807"/>
      <c r="U37" s="807"/>
      <c r="V37" s="807"/>
      <c r="W37" s="808"/>
      <c r="X37" s="806" t="s">
        <v>159</v>
      </c>
      <c r="Y37" s="807"/>
      <c r="Z37" s="808"/>
      <c r="AA37" s="806" t="s">
        <v>159</v>
      </c>
      <c r="AB37" s="807"/>
      <c r="AC37" s="807"/>
      <c r="AD37" s="808"/>
      <c r="AE37" s="806" t="s">
        <v>159</v>
      </c>
      <c r="AF37" s="807"/>
      <c r="AG37" s="808"/>
    </row>
    <row r="38" spans="1:33" ht="10.9" customHeight="1" x14ac:dyDescent="0.25">
      <c r="A38" s="864" t="s">
        <v>1214</v>
      </c>
      <c r="B38" s="865"/>
      <c r="C38" s="865"/>
      <c r="D38" s="865"/>
      <c r="E38" s="866"/>
      <c r="F38" s="806" t="s">
        <v>1583</v>
      </c>
      <c r="G38" s="808"/>
      <c r="H38" s="806" t="s">
        <v>1583</v>
      </c>
      <c r="I38" s="807"/>
      <c r="J38" s="807"/>
      <c r="K38" s="808"/>
      <c r="L38" s="806" t="s">
        <v>2395</v>
      </c>
      <c r="M38" s="807"/>
      <c r="N38" s="808"/>
      <c r="O38" s="806" t="s">
        <v>2396</v>
      </c>
      <c r="P38" s="807"/>
      <c r="Q38" s="807"/>
      <c r="R38" s="808"/>
      <c r="S38" s="806" t="s">
        <v>2395</v>
      </c>
      <c r="T38" s="807"/>
      <c r="U38" s="807"/>
      <c r="V38" s="807"/>
      <c r="W38" s="808"/>
      <c r="X38" s="806" t="s">
        <v>2396</v>
      </c>
      <c r="Y38" s="807"/>
      <c r="Z38" s="808"/>
      <c r="AA38" s="806" t="s">
        <v>2397</v>
      </c>
      <c r="AB38" s="807"/>
      <c r="AC38" s="807"/>
      <c r="AD38" s="808"/>
      <c r="AE38" s="806" t="s">
        <v>2398</v>
      </c>
      <c r="AF38" s="807"/>
      <c r="AG38" s="808"/>
    </row>
    <row r="39" spans="1:33" ht="11.65" customHeight="1" x14ac:dyDescent="0.25">
      <c r="A39" s="864" t="s">
        <v>1210</v>
      </c>
      <c r="B39" s="865"/>
      <c r="C39" s="865"/>
      <c r="D39" s="865"/>
      <c r="E39" s="866"/>
      <c r="F39" s="806" t="s">
        <v>1583</v>
      </c>
      <c r="G39" s="808"/>
      <c r="H39" s="806" t="s">
        <v>1583</v>
      </c>
      <c r="I39" s="807"/>
      <c r="J39" s="807"/>
      <c r="K39" s="808"/>
      <c r="L39" s="806" t="s">
        <v>2395</v>
      </c>
      <c r="M39" s="807"/>
      <c r="N39" s="808"/>
      <c r="O39" s="806" t="s">
        <v>2396</v>
      </c>
      <c r="P39" s="807"/>
      <c r="Q39" s="807"/>
      <c r="R39" s="808"/>
      <c r="S39" s="806" t="s">
        <v>2395</v>
      </c>
      <c r="T39" s="807"/>
      <c r="U39" s="807"/>
      <c r="V39" s="807"/>
      <c r="W39" s="808"/>
      <c r="X39" s="806" t="s">
        <v>2396</v>
      </c>
      <c r="Y39" s="807"/>
      <c r="Z39" s="808"/>
      <c r="AA39" s="806" t="s">
        <v>2397</v>
      </c>
      <c r="AB39" s="807"/>
      <c r="AC39" s="807"/>
      <c r="AD39" s="808"/>
      <c r="AE39" s="806" t="s">
        <v>2398</v>
      </c>
      <c r="AF39" s="807"/>
      <c r="AG39" s="808"/>
    </row>
    <row r="40" spans="1:33" ht="11.65" customHeight="1" x14ac:dyDescent="0.25">
      <c r="A40" s="864" t="s">
        <v>446</v>
      </c>
      <c r="B40" s="865"/>
      <c r="C40" s="865"/>
      <c r="D40" s="865"/>
      <c r="E40" s="866"/>
      <c r="F40" s="806" t="s">
        <v>159</v>
      </c>
      <c r="G40" s="808"/>
      <c r="H40" s="806" t="s">
        <v>159</v>
      </c>
      <c r="I40" s="807"/>
      <c r="J40" s="807"/>
      <c r="K40" s="808"/>
      <c r="L40" s="806" t="s">
        <v>159</v>
      </c>
      <c r="M40" s="807"/>
      <c r="N40" s="808"/>
      <c r="O40" s="806" t="s">
        <v>159</v>
      </c>
      <c r="P40" s="807"/>
      <c r="Q40" s="807"/>
      <c r="R40" s="808"/>
      <c r="S40" s="806" t="s">
        <v>159</v>
      </c>
      <c r="T40" s="807"/>
      <c r="U40" s="807"/>
      <c r="V40" s="807"/>
      <c r="W40" s="808"/>
      <c r="X40" s="806" t="s">
        <v>159</v>
      </c>
      <c r="Y40" s="807"/>
      <c r="Z40" s="808"/>
      <c r="AA40" s="806" t="s">
        <v>159</v>
      </c>
      <c r="AB40" s="807"/>
      <c r="AC40" s="807"/>
      <c r="AD40" s="808"/>
      <c r="AE40" s="806" t="s">
        <v>159</v>
      </c>
      <c r="AF40" s="807"/>
      <c r="AG40" s="808"/>
    </row>
    <row r="41" spans="1:33" ht="11.65" customHeight="1" x14ac:dyDescent="0.25">
      <c r="A41" s="864" t="s">
        <v>1215</v>
      </c>
      <c r="B41" s="865"/>
      <c r="C41" s="865"/>
      <c r="D41" s="865"/>
      <c r="E41" s="866"/>
      <c r="F41" s="806" t="s">
        <v>159</v>
      </c>
      <c r="G41" s="808"/>
      <c r="H41" s="806" t="s">
        <v>159</v>
      </c>
      <c r="I41" s="807"/>
      <c r="J41" s="807"/>
      <c r="K41" s="808"/>
      <c r="L41" s="806" t="s">
        <v>159</v>
      </c>
      <c r="M41" s="807"/>
      <c r="N41" s="808"/>
      <c r="O41" s="806" t="s">
        <v>159</v>
      </c>
      <c r="P41" s="807"/>
      <c r="Q41" s="807"/>
      <c r="R41" s="808"/>
      <c r="S41" s="806" t="s">
        <v>159</v>
      </c>
      <c r="T41" s="807"/>
      <c r="U41" s="807"/>
      <c r="V41" s="807"/>
      <c r="W41" s="808"/>
      <c r="X41" s="806" t="s">
        <v>159</v>
      </c>
      <c r="Y41" s="807"/>
      <c r="Z41" s="808"/>
      <c r="AA41" s="806" t="s">
        <v>159</v>
      </c>
      <c r="AB41" s="807"/>
      <c r="AC41" s="807"/>
      <c r="AD41" s="808"/>
      <c r="AE41" s="806" t="s">
        <v>159</v>
      </c>
      <c r="AF41" s="807"/>
      <c r="AG41" s="808"/>
    </row>
    <row r="42" spans="1:33" ht="10.9" customHeight="1" x14ac:dyDescent="0.25">
      <c r="A42" s="864" t="s">
        <v>1210</v>
      </c>
      <c r="B42" s="865"/>
      <c r="C42" s="865"/>
      <c r="D42" s="865"/>
      <c r="E42" s="866"/>
      <c r="F42" s="806" t="s">
        <v>159</v>
      </c>
      <c r="G42" s="808"/>
      <c r="H42" s="806" t="s">
        <v>159</v>
      </c>
      <c r="I42" s="807"/>
      <c r="J42" s="807"/>
      <c r="K42" s="808"/>
      <c r="L42" s="806" t="s">
        <v>159</v>
      </c>
      <c r="M42" s="807"/>
      <c r="N42" s="808"/>
      <c r="O42" s="806" t="s">
        <v>159</v>
      </c>
      <c r="P42" s="807"/>
      <c r="Q42" s="807"/>
      <c r="R42" s="808"/>
      <c r="S42" s="806" t="s">
        <v>159</v>
      </c>
      <c r="T42" s="807"/>
      <c r="U42" s="807"/>
      <c r="V42" s="807"/>
      <c r="W42" s="808"/>
      <c r="X42" s="806" t="s">
        <v>159</v>
      </c>
      <c r="Y42" s="807"/>
      <c r="Z42" s="808"/>
      <c r="AA42" s="806" t="s">
        <v>159</v>
      </c>
      <c r="AB42" s="807"/>
      <c r="AC42" s="807"/>
      <c r="AD42" s="808"/>
      <c r="AE42" s="806" t="s">
        <v>159</v>
      </c>
      <c r="AF42" s="807"/>
      <c r="AG42" s="808"/>
    </row>
    <row r="43" spans="1:33" ht="11.65" customHeight="1" x14ac:dyDescent="0.25">
      <c r="A43" s="864" t="s">
        <v>446</v>
      </c>
      <c r="B43" s="865"/>
      <c r="C43" s="865"/>
      <c r="D43" s="865"/>
      <c r="E43" s="866"/>
      <c r="F43" s="806" t="s">
        <v>159</v>
      </c>
      <c r="G43" s="808"/>
      <c r="H43" s="806" t="s">
        <v>159</v>
      </c>
      <c r="I43" s="807"/>
      <c r="J43" s="807"/>
      <c r="K43" s="808"/>
      <c r="L43" s="806" t="s">
        <v>159</v>
      </c>
      <c r="M43" s="807"/>
      <c r="N43" s="808"/>
      <c r="O43" s="806" t="s">
        <v>159</v>
      </c>
      <c r="P43" s="807"/>
      <c r="Q43" s="807"/>
      <c r="R43" s="808"/>
      <c r="S43" s="806" t="s">
        <v>159</v>
      </c>
      <c r="T43" s="807"/>
      <c r="U43" s="807"/>
      <c r="V43" s="807"/>
      <c r="W43" s="808"/>
      <c r="X43" s="806" t="s">
        <v>159</v>
      </c>
      <c r="Y43" s="807"/>
      <c r="Z43" s="808"/>
      <c r="AA43" s="806" t="s">
        <v>159</v>
      </c>
      <c r="AB43" s="807"/>
      <c r="AC43" s="807"/>
      <c r="AD43" s="808"/>
      <c r="AE43" s="806" t="s">
        <v>159</v>
      </c>
      <c r="AF43" s="807"/>
      <c r="AG43" s="808"/>
    </row>
    <row r="44" spans="1:33" ht="11.65" customHeight="1" x14ac:dyDescent="0.25">
      <c r="A44" s="864" t="s">
        <v>1216</v>
      </c>
      <c r="B44" s="865"/>
      <c r="C44" s="865"/>
      <c r="D44" s="865"/>
      <c r="E44" s="866"/>
      <c r="F44" s="806" t="s">
        <v>1584</v>
      </c>
      <c r="G44" s="808"/>
      <c r="H44" s="806" t="s">
        <v>2399</v>
      </c>
      <c r="I44" s="807"/>
      <c r="J44" s="807"/>
      <c r="K44" s="808"/>
      <c r="L44" s="806" t="s">
        <v>2400</v>
      </c>
      <c r="M44" s="807"/>
      <c r="N44" s="808"/>
      <c r="O44" s="806" t="s">
        <v>2401</v>
      </c>
      <c r="P44" s="807"/>
      <c r="Q44" s="807"/>
      <c r="R44" s="808"/>
      <c r="S44" s="806" t="s">
        <v>2402</v>
      </c>
      <c r="T44" s="807"/>
      <c r="U44" s="807"/>
      <c r="V44" s="807"/>
      <c r="W44" s="808"/>
      <c r="X44" s="806" t="s">
        <v>2403</v>
      </c>
      <c r="Y44" s="807"/>
      <c r="Z44" s="808"/>
      <c r="AA44" s="806" t="s">
        <v>2404</v>
      </c>
      <c r="AB44" s="807"/>
      <c r="AC44" s="807"/>
      <c r="AD44" s="808"/>
      <c r="AE44" s="806" t="s">
        <v>2405</v>
      </c>
      <c r="AF44" s="807"/>
      <c r="AG44" s="808"/>
    </row>
    <row r="45" spans="1:33" ht="11.65" customHeight="1" x14ac:dyDescent="0.25">
      <c r="A45" s="864" t="s">
        <v>1210</v>
      </c>
      <c r="B45" s="865"/>
      <c r="C45" s="865"/>
      <c r="D45" s="865"/>
      <c r="E45" s="866"/>
      <c r="F45" s="806" t="s">
        <v>1585</v>
      </c>
      <c r="G45" s="808"/>
      <c r="H45" s="806" t="s">
        <v>2406</v>
      </c>
      <c r="I45" s="807"/>
      <c r="J45" s="807"/>
      <c r="K45" s="808"/>
      <c r="L45" s="806" t="s">
        <v>2407</v>
      </c>
      <c r="M45" s="807"/>
      <c r="N45" s="808"/>
      <c r="O45" s="806" t="s">
        <v>2408</v>
      </c>
      <c r="P45" s="807"/>
      <c r="Q45" s="807"/>
      <c r="R45" s="808"/>
      <c r="S45" s="806" t="s">
        <v>2409</v>
      </c>
      <c r="T45" s="807"/>
      <c r="U45" s="807"/>
      <c r="V45" s="807"/>
      <c r="W45" s="808"/>
      <c r="X45" s="806" t="s">
        <v>2410</v>
      </c>
      <c r="Y45" s="807"/>
      <c r="Z45" s="808"/>
      <c r="AA45" s="806" t="s">
        <v>2411</v>
      </c>
      <c r="AB45" s="807"/>
      <c r="AC45" s="807"/>
      <c r="AD45" s="808"/>
      <c r="AE45" s="806" t="s">
        <v>2412</v>
      </c>
      <c r="AF45" s="807"/>
      <c r="AG45" s="808"/>
    </row>
    <row r="46" spans="1:33" ht="5.0999999999999996" customHeight="1" x14ac:dyDescent="0.25"/>
    <row r="47" spans="1:33" ht="11.65" customHeight="1" x14ac:dyDescent="0.25">
      <c r="A47" s="796" t="s">
        <v>2413</v>
      </c>
      <c r="B47" s="796"/>
      <c r="C47" s="796"/>
      <c r="D47" s="796"/>
      <c r="E47" s="796"/>
      <c r="F47" s="796"/>
      <c r="G47" s="796"/>
      <c r="H47" s="796"/>
      <c r="I47" s="796"/>
      <c r="J47" s="796"/>
      <c r="K47" s="796"/>
      <c r="L47" s="796"/>
      <c r="M47" s="796"/>
      <c r="N47" s="796"/>
      <c r="O47" s="796"/>
      <c r="P47" s="796"/>
      <c r="Q47" s="796"/>
      <c r="R47" s="796"/>
      <c r="S47" s="796"/>
      <c r="T47" s="796"/>
      <c r="U47" s="796"/>
      <c r="V47" s="796"/>
      <c r="W47" s="796"/>
      <c r="X47" s="796"/>
      <c r="Y47" s="796"/>
      <c r="Z47" s="796"/>
      <c r="AA47" s="796"/>
      <c r="AB47" s="796"/>
      <c r="AC47" s="796"/>
      <c r="AD47" s="796"/>
      <c r="AE47" s="796"/>
      <c r="AF47" s="796"/>
    </row>
    <row r="48" spans="1:33" ht="5.85" customHeight="1" x14ac:dyDescent="0.25"/>
    <row r="49" spans="1:33" ht="11.65" customHeight="1" x14ac:dyDescent="0.25">
      <c r="A49" s="797" t="s">
        <v>134</v>
      </c>
      <c r="B49" s="797"/>
      <c r="C49" s="797"/>
      <c r="D49" s="797"/>
      <c r="E49" s="797"/>
      <c r="F49" s="797"/>
      <c r="G49" s="797"/>
      <c r="AE49" s="798" t="s">
        <v>371</v>
      </c>
      <c r="AF49" s="798"/>
    </row>
    <row r="50" spans="1:33" ht="11.65" customHeight="1" x14ac:dyDescent="0.25">
      <c r="A50" s="797" t="s">
        <v>1</v>
      </c>
      <c r="B50" s="797"/>
      <c r="C50" s="797"/>
      <c r="D50" s="797"/>
      <c r="E50" s="797"/>
      <c r="F50" s="797"/>
      <c r="G50" s="797"/>
    </row>
    <row r="51" spans="1:33" ht="10.9" customHeight="1" x14ac:dyDescent="0.25">
      <c r="A51" s="839" t="s">
        <v>1182</v>
      </c>
      <c r="B51" s="839"/>
      <c r="C51" s="839"/>
      <c r="D51" s="839"/>
      <c r="E51" s="839"/>
      <c r="F51" s="839"/>
      <c r="G51" s="839"/>
    </row>
    <row r="52" spans="1:33" ht="11.65" customHeight="1" x14ac:dyDescent="0.25">
      <c r="A52" s="797" t="s">
        <v>219</v>
      </c>
      <c r="B52" s="797"/>
      <c r="C52" s="797"/>
      <c r="D52" s="797"/>
      <c r="E52" s="797"/>
      <c r="F52" s="797"/>
      <c r="G52" s="797"/>
    </row>
    <row r="53" spans="1:33" ht="11.65" customHeight="1" x14ac:dyDescent="0.25">
      <c r="A53" s="797" t="s">
        <v>2347</v>
      </c>
      <c r="B53" s="797"/>
      <c r="C53" s="797"/>
      <c r="D53" s="797"/>
      <c r="E53" s="797"/>
      <c r="F53" s="797"/>
      <c r="G53" s="797"/>
    </row>
    <row r="54" spans="1:33" ht="5.85" customHeight="1" x14ac:dyDescent="0.25"/>
    <row r="55" spans="1:33" ht="10.9" customHeight="1" x14ac:dyDescent="0.25">
      <c r="A55" s="902" t="s">
        <v>1183</v>
      </c>
      <c r="B55" s="902"/>
      <c r="C55" s="902"/>
      <c r="D55" s="902"/>
      <c r="E55" s="902"/>
      <c r="F55" s="902"/>
      <c r="G55" s="902"/>
      <c r="H55" s="479"/>
      <c r="I55" s="479"/>
      <c r="J55" s="479"/>
      <c r="K55" s="479"/>
      <c r="L55" s="479"/>
      <c r="M55" s="479"/>
      <c r="N55" s="479"/>
      <c r="O55" s="479"/>
      <c r="P55" s="479"/>
      <c r="Q55" s="479"/>
      <c r="R55" s="479"/>
      <c r="S55" s="479"/>
      <c r="T55" s="479"/>
      <c r="U55" s="479"/>
      <c r="V55" s="479"/>
      <c r="W55" s="479"/>
      <c r="X55" s="479"/>
      <c r="Y55" s="479"/>
      <c r="Z55" s="479"/>
      <c r="AA55" s="479"/>
      <c r="AB55" s="479"/>
      <c r="AC55" s="479"/>
      <c r="AD55" s="479"/>
      <c r="AE55" s="479"/>
      <c r="AF55" s="479"/>
      <c r="AG55" s="479"/>
    </row>
    <row r="56" spans="1:33" ht="11.65" customHeight="1" x14ac:dyDescent="0.25">
      <c r="A56" s="964" t="s">
        <v>1200</v>
      </c>
      <c r="B56" s="965"/>
      <c r="C56" s="965"/>
      <c r="D56" s="965"/>
      <c r="E56" s="966"/>
      <c r="F56" s="909" t="s">
        <v>1201</v>
      </c>
      <c r="G56" s="970"/>
      <c r="H56" s="909" t="s">
        <v>359</v>
      </c>
      <c r="I56" s="973"/>
      <c r="J56" s="973"/>
      <c r="K56" s="970"/>
      <c r="L56" s="799" t="s">
        <v>187</v>
      </c>
      <c r="M56" s="823"/>
      <c r="N56" s="823"/>
      <c r="O56" s="823"/>
      <c r="P56" s="823"/>
      <c r="Q56" s="823"/>
      <c r="R56" s="800"/>
      <c r="S56" s="799" t="s">
        <v>189</v>
      </c>
      <c r="T56" s="823"/>
      <c r="U56" s="823"/>
      <c r="V56" s="823"/>
      <c r="W56" s="823"/>
      <c r="X56" s="823"/>
      <c r="Y56" s="823"/>
      <c r="Z56" s="800"/>
      <c r="AA56" s="799" t="s">
        <v>1202</v>
      </c>
      <c r="AB56" s="823"/>
      <c r="AC56" s="823"/>
      <c r="AD56" s="823"/>
      <c r="AE56" s="823"/>
      <c r="AF56" s="823"/>
      <c r="AG56" s="800"/>
    </row>
    <row r="57" spans="1:33" ht="17.45" customHeight="1" x14ac:dyDescent="0.25">
      <c r="A57" s="967"/>
      <c r="B57" s="968"/>
      <c r="C57" s="968"/>
      <c r="D57" s="968"/>
      <c r="E57" s="969"/>
      <c r="F57" s="971"/>
      <c r="G57" s="972"/>
      <c r="H57" s="971"/>
      <c r="I57" s="974"/>
      <c r="J57" s="974"/>
      <c r="K57" s="972"/>
      <c r="L57" s="909" t="s">
        <v>1203</v>
      </c>
      <c r="M57" s="911"/>
      <c r="N57" s="910"/>
      <c r="O57" s="909" t="s">
        <v>1204</v>
      </c>
      <c r="P57" s="911"/>
      <c r="Q57" s="911"/>
      <c r="R57" s="910"/>
      <c r="S57" s="909" t="s">
        <v>1205</v>
      </c>
      <c r="T57" s="911"/>
      <c r="U57" s="911"/>
      <c r="V57" s="911"/>
      <c r="W57" s="910"/>
      <c r="X57" s="909" t="s">
        <v>1206</v>
      </c>
      <c r="Y57" s="911"/>
      <c r="Z57" s="910"/>
      <c r="AA57" s="909" t="s">
        <v>1207</v>
      </c>
      <c r="AB57" s="911"/>
      <c r="AC57" s="911"/>
      <c r="AD57" s="910"/>
      <c r="AE57" s="909" t="s">
        <v>1208</v>
      </c>
      <c r="AF57" s="911"/>
      <c r="AG57" s="910"/>
    </row>
    <row r="58" spans="1:33" ht="11.65" customHeight="1" x14ac:dyDescent="0.25">
      <c r="A58" s="1000" t="s">
        <v>446</v>
      </c>
      <c r="B58" s="1007"/>
      <c r="C58" s="1007"/>
      <c r="D58" s="1007"/>
      <c r="E58" s="1001"/>
      <c r="F58" s="844" t="s">
        <v>1586</v>
      </c>
      <c r="G58" s="846"/>
      <c r="H58" s="844" t="s">
        <v>2414</v>
      </c>
      <c r="I58" s="845"/>
      <c r="J58" s="845"/>
      <c r="K58" s="846"/>
      <c r="L58" s="844" t="s">
        <v>2415</v>
      </c>
      <c r="M58" s="845"/>
      <c r="N58" s="846"/>
      <c r="O58" s="844" t="s">
        <v>2416</v>
      </c>
      <c r="P58" s="845"/>
      <c r="Q58" s="845"/>
      <c r="R58" s="846"/>
      <c r="S58" s="844" t="s">
        <v>2417</v>
      </c>
      <c r="T58" s="845"/>
      <c r="U58" s="845"/>
      <c r="V58" s="845"/>
      <c r="W58" s="846"/>
      <c r="X58" s="844" t="s">
        <v>2418</v>
      </c>
      <c r="Y58" s="845"/>
      <c r="Z58" s="846"/>
      <c r="AA58" s="844" t="s">
        <v>1695</v>
      </c>
      <c r="AB58" s="845"/>
      <c r="AC58" s="845"/>
      <c r="AD58" s="846"/>
      <c r="AE58" s="844" t="s">
        <v>2419</v>
      </c>
      <c r="AF58" s="845"/>
      <c r="AG58" s="846"/>
    </row>
    <row r="59" spans="1:33" ht="10.9" customHeight="1" x14ac:dyDescent="0.25">
      <c r="A59" s="975" t="s">
        <v>1217</v>
      </c>
      <c r="B59" s="976"/>
      <c r="C59" s="976"/>
      <c r="D59" s="976"/>
      <c r="E59" s="977"/>
      <c r="F59" s="952" t="s">
        <v>2420</v>
      </c>
      <c r="G59" s="953"/>
      <c r="H59" s="952" t="s">
        <v>2420</v>
      </c>
      <c r="I59" s="954"/>
      <c r="J59" s="954"/>
      <c r="K59" s="953"/>
      <c r="L59" s="952" t="s">
        <v>2421</v>
      </c>
      <c r="M59" s="954"/>
      <c r="N59" s="953"/>
      <c r="O59" s="952" t="s">
        <v>2422</v>
      </c>
      <c r="P59" s="954"/>
      <c r="Q59" s="954"/>
      <c r="R59" s="953"/>
      <c r="S59" s="952" t="s">
        <v>2423</v>
      </c>
      <c r="T59" s="954"/>
      <c r="U59" s="954"/>
      <c r="V59" s="954"/>
      <c r="W59" s="953"/>
      <c r="X59" s="952" t="s">
        <v>2424</v>
      </c>
      <c r="Y59" s="954"/>
      <c r="Z59" s="953"/>
      <c r="AA59" s="952" t="s">
        <v>2425</v>
      </c>
      <c r="AB59" s="954"/>
      <c r="AC59" s="954"/>
      <c r="AD59" s="953"/>
      <c r="AE59" s="952" t="s">
        <v>1697</v>
      </c>
      <c r="AF59" s="954"/>
      <c r="AG59" s="953"/>
    </row>
    <row r="60" spans="1:33" ht="11.65" customHeight="1" x14ac:dyDescent="0.25">
      <c r="A60" s="821"/>
      <c r="B60" s="821"/>
      <c r="C60" s="821"/>
      <c r="D60" s="821"/>
      <c r="E60" s="821"/>
      <c r="F60" s="821"/>
      <c r="G60" s="821"/>
      <c r="H60" s="821"/>
      <c r="I60" s="821"/>
      <c r="J60" s="821"/>
      <c r="K60" s="821"/>
      <c r="L60" s="821"/>
      <c r="M60" s="821"/>
      <c r="N60" s="821"/>
      <c r="O60" s="821"/>
      <c r="P60" s="821"/>
      <c r="Q60" s="821"/>
      <c r="R60" s="821"/>
      <c r="S60" s="821"/>
      <c r="T60" s="821"/>
      <c r="U60" s="821"/>
      <c r="V60" s="821"/>
      <c r="W60" s="821"/>
      <c r="X60" s="821"/>
      <c r="Y60" s="821"/>
      <c r="Z60" s="821"/>
      <c r="AA60" s="821"/>
      <c r="AB60" s="821"/>
      <c r="AC60" s="821"/>
      <c r="AD60" s="821"/>
      <c r="AE60" s="821"/>
      <c r="AF60" s="821"/>
      <c r="AG60" s="821"/>
    </row>
    <row r="61" spans="1:33" ht="28.35" customHeight="1" x14ac:dyDescent="0.25">
      <c r="A61" s="996" t="s">
        <v>1218</v>
      </c>
      <c r="B61" s="1008"/>
      <c r="C61" s="1008"/>
      <c r="D61" s="1008"/>
      <c r="E61" s="1008"/>
      <c r="F61" s="1008"/>
      <c r="G61" s="1008"/>
      <c r="H61" s="1008"/>
      <c r="I61" s="1008"/>
      <c r="J61" s="1008"/>
      <c r="K61" s="1008"/>
      <c r="L61" s="1008"/>
      <c r="M61" s="997"/>
      <c r="N61" s="909" t="s">
        <v>1219</v>
      </c>
      <c r="O61" s="911"/>
      <c r="P61" s="911"/>
      <c r="Q61" s="911"/>
      <c r="R61" s="911"/>
      <c r="S61" s="910"/>
      <c r="T61" s="909" t="s">
        <v>1220</v>
      </c>
      <c r="U61" s="911"/>
      <c r="V61" s="911"/>
      <c r="W61" s="911"/>
      <c r="X61" s="911"/>
      <c r="Y61" s="911"/>
      <c r="Z61" s="911"/>
      <c r="AA61" s="910"/>
      <c r="AB61" s="909" t="s">
        <v>1221</v>
      </c>
      <c r="AC61" s="911"/>
      <c r="AD61" s="911"/>
      <c r="AE61" s="911"/>
      <c r="AF61" s="911"/>
      <c r="AG61" s="910"/>
    </row>
    <row r="62" spans="1:33" ht="11.65" customHeight="1" x14ac:dyDescent="0.25">
      <c r="A62" s="884" t="s">
        <v>1222</v>
      </c>
      <c r="B62" s="885"/>
      <c r="C62" s="885"/>
      <c r="D62" s="885"/>
      <c r="E62" s="885"/>
      <c r="F62" s="885"/>
      <c r="G62" s="885"/>
      <c r="H62" s="885"/>
      <c r="I62" s="885"/>
      <c r="J62" s="885"/>
      <c r="K62" s="885"/>
      <c r="L62" s="885"/>
      <c r="M62" s="886"/>
      <c r="N62" s="831" t="s">
        <v>2421</v>
      </c>
      <c r="O62" s="805"/>
      <c r="P62" s="805"/>
      <c r="Q62" s="805"/>
      <c r="R62" s="805"/>
      <c r="S62" s="804"/>
      <c r="T62" s="831" t="s">
        <v>2423</v>
      </c>
      <c r="U62" s="805"/>
      <c r="V62" s="805"/>
      <c r="W62" s="805"/>
      <c r="X62" s="805"/>
      <c r="Y62" s="805"/>
      <c r="Z62" s="805"/>
      <c r="AA62" s="804"/>
      <c r="AB62" s="831" t="s">
        <v>2425</v>
      </c>
      <c r="AC62" s="805"/>
      <c r="AD62" s="805"/>
      <c r="AE62" s="805"/>
      <c r="AF62" s="805"/>
      <c r="AG62" s="804"/>
    </row>
    <row r="63" spans="1:33" ht="11.65" customHeight="1" x14ac:dyDescent="0.25">
      <c r="A63" s="864" t="s">
        <v>1223</v>
      </c>
      <c r="B63" s="865"/>
      <c r="C63" s="865"/>
      <c r="D63" s="865"/>
      <c r="E63" s="865"/>
      <c r="F63" s="865"/>
      <c r="G63" s="865"/>
      <c r="H63" s="865"/>
      <c r="I63" s="865"/>
      <c r="J63" s="865"/>
      <c r="K63" s="865"/>
      <c r="L63" s="865"/>
      <c r="M63" s="866"/>
      <c r="N63" s="806" t="s">
        <v>159</v>
      </c>
      <c r="O63" s="807"/>
      <c r="P63" s="807"/>
      <c r="Q63" s="807"/>
      <c r="R63" s="807"/>
      <c r="S63" s="808"/>
      <c r="T63" s="806" t="s">
        <v>159</v>
      </c>
      <c r="U63" s="807"/>
      <c r="V63" s="807"/>
      <c r="W63" s="807"/>
      <c r="X63" s="807"/>
      <c r="Y63" s="807"/>
      <c r="Z63" s="807"/>
      <c r="AA63" s="808"/>
      <c r="AB63" s="806" t="s">
        <v>159</v>
      </c>
      <c r="AC63" s="807"/>
      <c r="AD63" s="807"/>
      <c r="AE63" s="807"/>
      <c r="AF63" s="807"/>
      <c r="AG63" s="808"/>
    </row>
    <row r="64" spans="1:33" ht="11.65" customHeight="1" x14ac:dyDescent="0.25">
      <c r="A64" s="864" t="s">
        <v>1224</v>
      </c>
      <c r="B64" s="865"/>
      <c r="C64" s="865"/>
      <c r="D64" s="865"/>
      <c r="E64" s="865"/>
      <c r="F64" s="865"/>
      <c r="G64" s="865"/>
      <c r="H64" s="865"/>
      <c r="I64" s="865"/>
      <c r="J64" s="865"/>
      <c r="K64" s="865"/>
      <c r="L64" s="865"/>
      <c r="M64" s="866"/>
      <c r="N64" s="806" t="s">
        <v>159</v>
      </c>
      <c r="O64" s="807"/>
      <c r="P64" s="807"/>
      <c r="Q64" s="807"/>
      <c r="R64" s="807"/>
      <c r="S64" s="808"/>
      <c r="T64" s="806" t="s">
        <v>159</v>
      </c>
      <c r="U64" s="807"/>
      <c r="V64" s="807"/>
      <c r="W64" s="807"/>
      <c r="X64" s="807"/>
      <c r="Y64" s="807"/>
      <c r="Z64" s="807"/>
      <c r="AA64" s="808"/>
      <c r="AB64" s="806" t="s">
        <v>159</v>
      </c>
      <c r="AC64" s="807"/>
      <c r="AD64" s="807"/>
      <c r="AE64" s="807"/>
      <c r="AF64" s="807"/>
      <c r="AG64" s="808"/>
    </row>
    <row r="65" spans="1:33" ht="10.9" customHeight="1" x14ac:dyDescent="0.25">
      <c r="A65" s="867" t="s">
        <v>1225</v>
      </c>
      <c r="B65" s="868"/>
      <c r="C65" s="868"/>
      <c r="D65" s="868"/>
      <c r="E65" s="868"/>
      <c r="F65" s="868"/>
      <c r="G65" s="868"/>
      <c r="H65" s="868"/>
      <c r="I65" s="868"/>
      <c r="J65" s="868"/>
      <c r="K65" s="868"/>
      <c r="L65" s="868"/>
      <c r="M65" s="869"/>
      <c r="N65" s="814" t="s">
        <v>159</v>
      </c>
      <c r="O65" s="815"/>
      <c r="P65" s="815"/>
      <c r="Q65" s="815"/>
      <c r="R65" s="815"/>
      <c r="S65" s="816"/>
      <c r="T65" s="814" t="s">
        <v>159</v>
      </c>
      <c r="U65" s="815"/>
      <c r="V65" s="815"/>
      <c r="W65" s="815"/>
      <c r="X65" s="815"/>
      <c r="Y65" s="815"/>
      <c r="Z65" s="815"/>
      <c r="AA65" s="816"/>
      <c r="AB65" s="814" t="s">
        <v>159</v>
      </c>
      <c r="AC65" s="815"/>
      <c r="AD65" s="815"/>
      <c r="AE65" s="815"/>
      <c r="AF65" s="815"/>
      <c r="AG65" s="816"/>
    </row>
    <row r="66" spans="1:33" ht="11.65" customHeight="1" x14ac:dyDescent="0.25">
      <c r="A66" s="975" t="s">
        <v>1226</v>
      </c>
      <c r="B66" s="976"/>
      <c r="C66" s="976"/>
      <c r="D66" s="976"/>
      <c r="E66" s="976"/>
      <c r="F66" s="976"/>
      <c r="G66" s="976"/>
      <c r="H66" s="976"/>
      <c r="I66" s="976"/>
      <c r="J66" s="976"/>
      <c r="K66" s="976"/>
      <c r="L66" s="976"/>
      <c r="M66" s="977"/>
      <c r="N66" s="952" t="s">
        <v>2421</v>
      </c>
      <c r="O66" s="954"/>
      <c r="P66" s="954"/>
      <c r="Q66" s="954"/>
      <c r="R66" s="954"/>
      <c r="S66" s="953"/>
      <c r="T66" s="952" t="s">
        <v>2423</v>
      </c>
      <c r="U66" s="954"/>
      <c r="V66" s="954"/>
      <c r="W66" s="954"/>
      <c r="X66" s="954"/>
      <c r="Y66" s="954"/>
      <c r="Z66" s="954"/>
      <c r="AA66" s="953"/>
      <c r="AB66" s="952" t="s">
        <v>2425</v>
      </c>
      <c r="AC66" s="954"/>
      <c r="AD66" s="954"/>
      <c r="AE66" s="954"/>
      <c r="AF66" s="954"/>
      <c r="AG66" s="953"/>
    </row>
    <row r="67" spans="1:33" ht="11.65" customHeight="1" x14ac:dyDescent="0.25">
      <c r="A67" s="884" t="s">
        <v>1227</v>
      </c>
      <c r="B67" s="885"/>
      <c r="C67" s="885"/>
      <c r="D67" s="885"/>
      <c r="E67" s="885"/>
      <c r="F67" s="885"/>
      <c r="G67" s="885"/>
      <c r="H67" s="885"/>
      <c r="I67" s="885"/>
      <c r="J67" s="885"/>
      <c r="K67" s="885"/>
      <c r="L67" s="885"/>
      <c r="M67" s="886"/>
      <c r="N67" s="844" t="s">
        <v>2426</v>
      </c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6"/>
    </row>
    <row r="68" spans="1:33" ht="11.65" customHeight="1" x14ac:dyDescent="0.25">
      <c r="A68" s="864" t="s">
        <v>1228</v>
      </c>
      <c r="B68" s="865"/>
      <c r="C68" s="865"/>
      <c r="D68" s="865"/>
      <c r="E68" s="865"/>
      <c r="F68" s="865"/>
      <c r="G68" s="865"/>
      <c r="H68" s="865"/>
      <c r="I68" s="865"/>
      <c r="J68" s="865"/>
      <c r="K68" s="865"/>
      <c r="L68" s="865"/>
      <c r="M68" s="866"/>
      <c r="N68" s="844" t="s">
        <v>2426</v>
      </c>
      <c r="O68" s="845"/>
      <c r="P68" s="845"/>
      <c r="Q68" s="845"/>
      <c r="R68" s="845"/>
      <c r="S68" s="845"/>
      <c r="T68" s="845"/>
      <c r="U68" s="845"/>
      <c r="V68" s="845"/>
      <c r="W68" s="845"/>
      <c r="X68" s="845"/>
      <c r="Y68" s="845"/>
      <c r="Z68" s="845"/>
      <c r="AA68" s="845"/>
      <c r="AB68" s="845"/>
      <c r="AC68" s="845"/>
      <c r="AD68" s="845"/>
      <c r="AE68" s="845"/>
      <c r="AF68" s="845"/>
      <c r="AG68" s="846"/>
    </row>
    <row r="69" spans="1:33" ht="16.7" customHeight="1" x14ac:dyDescent="0.25">
      <c r="A69" s="837" t="s">
        <v>1229</v>
      </c>
      <c r="B69" s="999"/>
      <c r="C69" s="999"/>
      <c r="D69" s="999"/>
      <c r="E69" s="999"/>
      <c r="F69" s="999"/>
      <c r="G69" s="999"/>
      <c r="H69" s="999"/>
      <c r="I69" s="999"/>
      <c r="J69" s="999"/>
      <c r="K69" s="999"/>
      <c r="L69" s="999"/>
      <c r="M69" s="838"/>
      <c r="N69" s="1021" t="s">
        <v>159</v>
      </c>
      <c r="O69" s="1022"/>
      <c r="P69" s="1022"/>
      <c r="Q69" s="1022"/>
      <c r="R69" s="1022"/>
      <c r="S69" s="1023"/>
      <c r="T69" s="1021" t="s">
        <v>2427</v>
      </c>
      <c r="U69" s="1022"/>
      <c r="V69" s="1022"/>
      <c r="W69" s="1022"/>
      <c r="X69" s="1022"/>
      <c r="Y69" s="1022"/>
      <c r="Z69" s="1022"/>
      <c r="AA69" s="1023"/>
      <c r="AB69" s="1021" t="s">
        <v>2428</v>
      </c>
      <c r="AC69" s="1022"/>
      <c r="AD69" s="1022"/>
      <c r="AE69" s="1022"/>
      <c r="AF69" s="1022"/>
      <c r="AG69" s="1023"/>
    </row>
    <row r="70" spans="1:33" ht="17.45" customHeight="1" x14ac:dyDescent="0.25">
      <c r="A70" s="812" t="s">
        <v>1230</v>
      </c>
      <c r="B70" s="1024"/>
      <c r="C70" s="1024"/>
      <c r="D70" s="1024"/>
      <c r="E70" s="1024"/>
      <c r="F70" s="1024"/>
      <c r="G70" s="1024"/>
      <c r="H70" s="1024"/>
      <c r="I70" s="1024"/>
      <c r="J70" s="1024"/>
      <c r="K70" s="1024"/>
      <c r="L70" s="1024"/>
      <c r="M70" s="813"/>
      <c r="N70" s="1021" t="s">
        <v>159</v>
      </c>
      <c r="O70" s="1022"/>
      <c r="P70" s="1022"/>
      <c r="Q70" s="1022"/>
      <c r="R70" s="1022"/>
      <c r="S70" s="1023"/>
      <c r="T70" s="1025"/>
      <c r="U70" s="1026"/>
      <c r="V70" s="1026"/>
      <c r="W70" s="1026"/>
      <c r="X70" s="1026"/>
      <c r="Y70" s="1026"/>
      <c r="Z70" s="1026"/>
      <c r="AA70" s="1027"/>
      <c r="AB70" s="1025"/>
      <c r="AC70" s="1026"/>
      <c r="AD70" s="1026"/>
      <c r="AE70" s="1026"/>
      <c r="AF70" s="1026"/>
      <c r="AG70" s="1027"/>
    </row>
    <row r="71" spans="1:33" ht="16.7" customHeight="1" x14ac:dyDescent="0.25">
      <c r="A71" s="949" t="s">
        <v>1231</v>
      </c>
      <c r="B71" s="950"/>
      <c r="C71" s="950"/>
      <c r="D71" s="950"/>
      <c r="E71" s="950"/>
      <c r="F71" s="950"/>
      <c r="G71" s="950"/>
      <c r="H71" s="950"/>
      <c r="I71" s="950"/>
      <c r="J71" s="950"/>
      <c r="K71" s="950"/>
      <c r="L71" s="950"/>
      <c r="M71" s="951"/>
      <c r="N71" s="945" t="s">
        <v>159</v>
      </c>
      <c r="O71" s="946"/>
      <c r="P71" s="946"/>
      <c r="Q71" s="946"/>
      <c r="R71" s="946"/>
      <c r="S71" s="947"/>
      <c r="T71" s="945" t="s">
        <v>2429</v>
      </c>
      <c r="U71" s="946"/>
      <c r="V71" s="946"/>
      <c r="W71" s="946"/>
      <c r="X71" s="946"/>
      <c r="Y71" s="946"/>
      <c r="Z71" s="946"/>
      <c r="AA71" s="947"/>
      <c r="AB71" s="1025"/>
      <c r="AC71" s="1026"/>
      <c r="AD71" s="1026"/>
      <c r="AE71" s="1026"/>
      <c r="AF71" s="1026"/>
      <c r="AG71" s="1027"/>
    </row>
    <row r="72" spans="1:33" ht="11.65" customHeight="1" x14ac:dyDescent="0.25">
      <c r="A72" s="821"/>
      <c r="B72" s="821"/>
      <c r="C72" s="821"/>
      <c r="D72" s="821"/>
      <c r="E72" s="821"/>
      <c r="F72" s="821"/>
      <c r="G72" s="821"/>
      <c r="H72" s="821"/>
      <c r="I72" s="821"/>
      <c r="J72" s="821"/>
      <c r="K72" s="821"/>
      <c r="L72" s="821"/>
      <c r="M72" s="821"/>
      <c r="N72" s="821"/>
      <c r="O72" s="821"/>
      <c r="P72" s="821"/>
      <c r="Q72" s="821"/>
      <c r="R72" s="821"/>
      <c r="S72" s="821"/>
      <c r="T72" s="821"/>
      <c r="U72" s="821"/>
      <c r="V72" s="821"/>
      <c r="W72" s="821"/>
      <c r="X72" s="821"/>
      <c r="Y72" s="821"/>
      <c r="Z72" s="821"/>
      <c r="AA72" s="821"/>
      <c r="AB72" s="821"/>
      <c r="AC72" s="821"/>
      <c r="AD72" s="821"/>
      <c r="AE72" s="821"/>
      <c r="AF72" s="821"/>
      <c r="AG72" s="821"/>
    </row>
    <row r="73" spans="1:33" ht="11.65" customHeight="1" x14ac:dyDescent="0.25">
      <c r="A73" s="964" t="s">
        <v>1232</v>
      </c>
      <c r="B73" s="965"/>
      <c r="C73" s="965"/>
      <c r="D73" s="965"/>
      <c r="E73" s="965"/>
      <c r="F73" s="965"/>
      <c r="G73" s="965"/>
      <c r="H73" s="965"/>
      <c r="I73" s="965"/>
      <c r="J73" s="966"/>
      <c r="K73" s="909" t="s">
        <v>1233</v>
      </c>
      <c r="L73" s="911"/>
      <c r="M73" s="911"/>
      <c r="N73" s="911"/>
      <c r="O73" s="911"/>
      <c r="P73" s="911"/>
      <c r="Q73" s="911"/>
      <c r="R73" s="911"/>
      <c r="S73" s="911"/>
      <c r="T73" s="911"/>
      <c r="U73" s="911"/>
      <c r="V73" s="911"/>
      <c r="W73" s="911"/>
      <c r="X73" s="911"/>
      <c r="Y73" s="911"/>
      <c r="Z73" s="911"/>
      <c r="AA73" s="911"/>
      <c r="AB73" s="911"/>
      <c r="AC73" s="911"/>
      <c r="AD73" s="911"/>
      <c r="AE73" s="911"/>
      <c r="AF73" s="911"/>
      <c r="AG73" s="910"/>
    </row>
    <row r="74" spans="1:33" ht="17.45" customHeight="1" x14ac:dyDescent="0.25">
      <c r="A74" s="993"/>
      <c r="B74" s="994"/>
      <c r="C74" s="994"/>
      <c r="D74" s="994"/>
      <c r="E74" s="994"/>
      <c r="F74" s="994"/>
      <c r="G74" s="994"/>
      <c r="H74" s="994"/>
      <c r="I74" s="994"/>
      <c r="J74" s="995"/>
      <c r="K74" s="909" t="s">
        <v>1234</v>
      </c>
      <c r="L74" s="973"/>
      <c r="M74" s="973"/>
      <c r="N74" s="973"/>
      <c r="O74" s="973"/>
      <c r="P74" s="973"/>
      <c r="Q74" s="970"/>
      <c r="R74" s="909" t="s">
        <v>1235</v>
      </c>
      <c r="S74" s="911"/>
      <c r="T74" s="911"/>
      <c r="U74" s="911"/>
      <c r="V74" s="911"/>
      <c r="W74" s="911"/>
      <c r="X74" s="911"/>
      <c r="Y74" s="911"/>
      <c r="Z74" s="911"/>
      <c r="AA74" s="910"/>
      <c r="AB74" s="909" t="s">
        <v>1236</v>
      </c>
      <c r="AC74" s="973"/>
      <c r="AD74" s="973"/>
      <c r="AE74" s="973"/>
      <c r="AF74" s="973"/>
      <c r="AG74" s="970"/>
    </row>
    <row r="75" spans="1:33" ht="22.5" customHeight="1" x14ac:dyDescent="0.25">
      <c r="A75" s="967"/>
      <c r="B75" s="968"/>
      <c r="C75" s="968"/>
      <c r="D75" s="968"/>
      <c r="E75" s="968"/>
      <c r="F75" s="968"/>
      <c r="G75" s="968"/>
      <c r="H75" s="968"/>
      <c r="I75" s="968"/>
      <c r="J75" s="969"/>
      <c r="K75" s="971"/>
      <c r="L75" s="974"/>
      <c r="M75" s="974"/>
      <c r="N75" s="974"/>
      <c r="O75" s="974"/>
      <c r="P75" s="974"/>
      <c r="Q75" s="972"/>
      <c r="R75" s="909" t="s">
        <v>1237</v>
      </c>
      <c r="S75" s="911"/>
      <c r="T75" s="910"/>
      <c r="U75" s="909" t="s">
        <v>1238</v>
      </c>
      <c r="V75" s="911"/>
      <c r="W75" s="911"/>
      <c r="X75" s="910"/>
      <c r="Y75" s="909" t="s">
        <v>1239</v>
      </c>
      <c r="Z75" s="911"/>
      <c r="AA75" s="910"/>
      <c r="AB75" s="971"/>
      <c r="AC75" s="974"/>
      <c r="AD75" s="974"/>
      <c r="AE75" s="974"/>
      <c r="AF75" s="974"/>
      <c r="AG75" s="972"/>
    </row>
    <row r="76" spans="1:33" ht="11.65" customHeight="1" x14ac:dyDescent="0.25">
      <c r="A76" s="884" t="s">
        <v>1587</v>
      </c>
      <c r="B76" s="885"/>
      <c r="C76" s="885"/>
      <c r="D76" s="885"/>
      <c r="E76" s="885"/>
      <c r="F76" s="885"/>
      <c r="G76" s="885"/>
      <c r="H76" s="885"/>
      <c r="I76" s="885"/>
      <c r="J76" s="886"/>
      <c r="K76" s="831" t="s">
        <v>159</v>
      </c>
      <c r="L76" s="805"/>
      <c r="M76" s="805"/>
      <c r="N76" s="805"/>
      <c r="O76" s="805"/>
      <c r="P76" s="805"/>
      <c r="Q76" s="804"/>
      <c r="R76" s="831" t="s">
        <v>159</v>
      </c>
      <c r="S76" s="805"/>
      <c r="T76" s="804"/>
      <c r="U76" s="831" t="s">
        <v>159</v>
      </c>
      <c r="V76" s="805"/>
      <c r="W76" s="805"/>
      <c r="X76" s="804"/>
      <c r="Y76" s="831" t="s">
        <v>159</v>
      </c>
      <c r="Z76" s="805"/>
      <c r="AA76" s="804"/>
      <c r="AB76" s="831" t="s">
        <v>159</v>
      </c>
      <c r="AC76" s="805"/>
      <c r="AD76" s="805"/>
      <c r="AE76" s="805"/>
      <c r="AF76" s="805"/>
      <c r="AG76" s="804"/>
    </row>
    <row r="77" spans="1:33" ht="11.65" customHeight="1" x14ac:dyDescent="0.25">
      <c r="A77" s="864" t="s">
        <v>1588</v>
      </c>
      <c r="B77" s="865"/>
      <c r="C77" s="865"/>
      <c r="D77" s="865"/>
      <c r="E77" s="865"/>
      <c r="F77" s="865"/>
      <c r="G77" s="865"/>
      <c r="H77" s="865"/>
      <c r="I77" s="865"/>
      <c r="J77" s="866"/>
      <c r="K77" s="806" t="s">
        <v>159</v>
      </c>
      <c r="L77" s="807"/>
      <c r="M77" s="807"/>
      <c r="N77" s="807"/>
      <c r="O77" s="807"/>
      <c r="P77" s="807"/>
      <c r="Q77" s="808"/>
      <c r="R77" s="806" t="s">
        <v>159</v>
      </c>
      <c r="S77" s="807"/>
      <c r="T77" s="808"/>
      <c r="U77" s="806" t="s">
        <v>159</v>
      </c>
      <c r="V77" s="807"/>
      <c r="W77" s="807"/>
      <c r="X77" s="808"/>
      <c r="Y77" s="806" t="s">
        <v>159</v>
      </c>
      <c r="Z77" s="807"/>
      <c r="AA77" s="808"/>
      <c r="AB77" s="806" t="s">
        <v>159</v>
      </c>
      <c r="AC77" s="807"/>
      <c r="AD77" s="807"/>
      <c r="AE77" s="807"/>
      <c r="AF77" s="807"/>
      <c r="AG77" s="808"/>
    </row>
    <row r="78" spans="1:33" ht="10.9" customHeight="1" x14ac:dyDescent="0.25">
      <c r="A78" s="867" t="s">
        <v>1240</v>
      </c>
      <c r="B78" s="868"/>
      <c r="C78" s="868"/>
      <c r="D78" s="868"/>
      <c r="E78" s="868"/>
      <c r="F78" s="868"/>
      <c r="G78" s="868"/>
      <c r="H78" s="868"/>
      <c r="I78" s="868"/>
      <c r="J78" s="869"/>
      <c r="K78" s="814" t="s">
        <v>159</v>
      </c>
      <c r="L78" s="815"/>
      <c r="M78" s="815"/>
      <c r="N78" s="815"/>
      <c r="O78" s="815"/>
      <c r="P78" s="815"/>
      <c r="Q78" s="816"/>
      <c r="R78" s="814" t="s">
        <v>159</v>
      </c>
      <c r="S78" s="815"/>
      <c r="T78" s="816"/>
      <c r="U78" s="814" t="s">
        <v>159</v>
      </c>
      <c r="V78" s="815"/>
      <c r="W78" s="815"/>
      <c r="X78" s="816"/>
      <c r="Y78" s="814" t="s">
        <v>159</v>
      </c>
      <c r="Z78" s="815"/>
      <c r="AA78" s="816"/>
      <c r="AB78" s="814" t="s">
        <v>159</v>
      </c>
      <c r="AC78" s="815"/>
      <c r="AD78" s="815"/>
      <c r="AE78" s="815"/>
      <c r="AF78" s="815"/>
      <c r="AG78" s="816"/>
    </row>
    <row r="79" spans="1:33" ht="11.65" customHeight="1" x14ac:dyDescent="0.25">
      <c r="A79" s="975" t="s">
        <v>1241</v>
      </c>
      <c r="B79" s="976"/>
      <c r="C79" s="976"/>
      <c r="D79" s="976"/>
      <c r="E79" s="976"/>
      <c r="F79" s="976"/>
      <c r="G79" s="976"/>
      <c r="H79" s="976"/>
      <c r="I79" s="976"/>
      <c r="J79" s="977"/>
      <c r="K79" s="952" t="s">
        <v>159</v>
      </c>
      <c r="L79" s="954"/>
      <c r="M79" s="954"/>
      <c r="N79" s="954"/>
      <c r="O79" s="954"/>
      <c r="P79" s="954"/>
      <c r="Q79" s="953"/>
      <c r="R79" s="952" t="s">
        <v>159</v>
      </c>
      <c r="S79" s="954"/>
      <c r="T79" s="953"/>
      <c r="U79" s="952" t="s">
        <v>159</v>
      </c>
      <c r="V79" s="954"/>
      <c r="W79" s="954"/>
      <c r="X79" s="953"/>
      <c r="Y79" s="952" t="s">
        <v>159</v>
      </c>
      <c r="Z79" s="954"/>
      <c r="AA79" s="953"/>
      <c r="AB79" s="952" t="s">
        <v>159</v>
      </c>
      <c r="AC79" s="954"/>
      <c r="AD79" s="954"/>
      <c r="AE79" s="954"/>
      <c r="AF79" s="954"/>
      <c r="AG79" s="953"/>
    </row>
    <row r="80" spans="1:33" ht="11.65" customHeight="1" x14ac:dyDescent="0.25">
      <c r="A80" s="821"/>
      <c r="B80" s="821"/>
      <c r="C80" s="821"/>
      <c r="D80" s="821"/>
      <c r="E80" s="821"/>
      <c r="F80" s="821"/>
      <c r="G80" s="821"/>
      <c r="H80" s="821"/>
      <c r="I80" s="821"/>
      <c r="J80" s="821"/>
      <c r="K80" s="821"/>
      <c r="L80" s="821"/>
      <c r="M80" s="821"/>
      <c r="N80" s="821"/>
      <c r="O80" s="821"/>
      <c r="P80" s="821"/>
      <c r="Q80" s="821"/>
      <c r="R80" s="821"/>
      <c r="S80" s="821"/>
      <c r="T80" s="821"/>
      <c r="U80" s="821"/>
      <c r="V80" s="821"/>
      <c r="W80" s="821"/>
      <c r="X80" s="821"/>
      <c r="Y80" s="821"/>
      <c r="Z80" s="821"/>
      <c r="AA80" s="821"/>
      <c r="AB80" s="821"/>
      <c r="AC80" s="821"/>
      <c r="AD80" s="821"/>
      <c r="AE80" s="821"/>
      <c r="AF80" s="821"/>
      <c r="AG80" s="821"/>
    </row>
    <row r="81" spans="1:33" ht="16.7" customHeight="1" x14ac:dyDescent="0.25">
      <c r="A81" s="799" t="s">
        <v>1242</v>
      </c>
      <c r="B81" s="823"/>
      <c r="C81" s="823"/>
      <c r="D81" s="823"/>
      <c r="E81" s="823"/>
      <c r="F81" s="823"/>
      <c r="G81" s="823"/>
      <c r="H81" s="823"/>
      <c r="I81" s="823"/>
      <c r="J81" s="823"/>
      <c r="K81" s="823"/>
      <c r="L81" s="823"/>
      <c r="M81" s="823"/>
      <c r="N81" s="823"/>
      <c r="O81" s="823"/>
      <c r="P81" s="823"/>
      <c r="Q81" s="823"/>
      <c r="R81" s="823"/>
      <c r="S81" s="823"/>
      <c r="T81" s="823"/>
      <c r="U81" s="823"/>
      <c r="V81" s="823"/>
      <c r="W81" s="823"/>
      <c r="X81" s="823"/>
      <c r="Y81" s="823"/>
      <c r="Z81" s="823"/>
      <c r="AA81" s="823"/>
      <c r="AB81" s="823"/>
      <c r="AC81" s="823"/>
      <c r="AD81" s="823"/>
      <c r="AE81" s="823"/>
      <c r="AF81" s="823"/>
      <c r="AG81" s="800"/>
    </row>
    <row r="82" spans="1:33" ht="40.700000000000003" customHeight="1" x14ac:dyDescent="0.25">
      <c r="A82" s="996" t="s">
        <v>1243</v>
      </c>
      <c r="B82" s="997"/>
      <c r="C82" s="679" t="s">
        <v>1244</v>
      </c>
      <c r="D82" s="679" t="s">
        <v>1245</v>
      </c>
      <c r="E82" s="909" t="s">
        <v>1246</v>
      </c>
      <c r="F82" s="910"/>
      <c r="G82" s="909" t="s">
        <v>1247</v>
      </c>
      <c r="H82" s="910"/>
      <c r="I82" s="909" t="s">
        <v>1248</v>
      </c>
      <c r="J82" s="911"/>
      <c r="K82" s="911"/>
      <c r="L82" s="910"/>
      <c r="M82" s="909" t="s">
        <v>1249</v>
      </c>
      <c r="N82" s="911"/>
      <c r="O82" s="911"/>
      <c r="P82" s="910"/>
      <c r="Q82" s="909" t="s">
        <v>1250</v>
      </c>
      <c r="R82" s="911"/>
      <c r="S82" s="911"/>
      <c r="T82" s="910"/>
      <c r="U82" s="909" t="s">
        <v>1251</v>
      </c>
      <c r="V82" s="911"/>
      <c r="W82" s="911"/>
      <c r="X82" s="911"/>
      <c r="Y82" s="910"/>
      <c r="Z82" s="909" t="s">
        <v>1252</v>
      </c>
      <c r="AA82" s="911"/>
      <c r="AB82" s="911"/>
      <c r="AC82" s="910"/>
      <c r="AD82" s="909" t="s">
        <v>1253</v>
      </c>
      <c r="AE82" s="911"/>
      <c r="AF82" s="911"/>
      <c r="AG82" s="910"/>
    </row>
    <row r="83" spans="1:33" ht="10.9" customHeight="1" x14ac:dyDescent="0.25">
      <c r="A83" s="884" t="s">
        <v>1589</v>
      </c>
      <c r="B83" s="886"/>
      <c r="C83" s="688" t="s">
        <v>2426</v>
      </c>
      <c r="D83" s="688" t="s">
        <v>2423</v>
      </c>
      <c r="E83" s="831" t="s">
        <v>2427</v>
      </c>
      <c r="F83" s="804"/>
      <c r="G83" s="831" t="s">
        <v>159</v>
      </c>
      <c r="H83" s="804"/>
      <c r="I83" s="831" t="s">
        <v>159</v>
      </c>
      <c r="J83" s="805"/>
      <c r="K83" s="805"/>
      <c r="L83" s="804"/>
      <c r="M83" s="831" t="s">
        <v>159</v>
      </c>
      <c r="N83" s="805"/>
      <c r="O83" s="805"/>
      <c r="P83" s="804"/>
      <c r="Q83" s="831" t="s">
        <v>159</v>
      </c>
      <c r="R83" s="805"/>
      <c r="S83" s="805"/>
      <c r="T83" s="804"/>
      <c r="U83" s="831" t="s">
        <v>159</v>
      </c>
      <c r="V83" s="805"/>
      <c r="W83" s="805"/>
      <c r="X83" s="805"/>
      <c r="Y83" s="804"/>
      <c r="Z83" s="831" t="s">
        <v>159</v>
      </c>
      <c r="AA83" s="805"/>
      <c r="AB83" s="805"/>
      <c r="AC83" s="804"/>
      <c r="AD83" s="831" t="s">
        <v>2427</v>
      </c>
      <c r="AE83" s="805"/>
      <c r="AF83" s="805"/>
      <c r="AG83" s="804"/>
    </row>
    <row r="84" spans="1:33" ht="11.65" customHeight="1" x14ac:dyDescent="0.25">
      <c r="A84" s="864" t="s">
        <v>1254</v>
      </c>
      <c r="B84" s="866"/>
      <c r="C84" s="682" t="s">
        <v>159</v>
      </c>
      <c r="D84" s="682" t="s">
        <v>159</v>
      </c>
      <c r="E84" s="806" t="s">
        <v>159</v>
      </c>
      <c r="F84" s="808"/>
      <c r="G84" s="806" t="s">
        <v>159</v>
      </c>
      <c r="H84" s="808"/>
      <c r="I84" s="806" t="s">
        <v>159</v>
      </c>
      <c r="J84" s="807"/>
      <c r="K84" s="807"/>
      <c r="L84" s="808"/>
      <c r="M84" s="806" t="s">
        <v>159</v>
      </c>
      <c r="N84" s="807"/>
      <c r="O84" s="807"/>
      <c r="P84" s="808"/>
      <c r="Q84" s="806" t="s">
        <v>159</v>
      </c>
      <c r="R84" s="807"/>
      <c r="S84" s="807"/>
      <c r="T84" s="808"/>
      <c r="U84" s="806" t="s">
        <v>159</v>
      </c>
      <c r="V84" s="807"/>
      <c r="W84" s="807"/>
      <c r="X84" s="807"/>
      <c r="Y84" s="808"/>
      <c r="Z84" s="806" t="s">
        <v>159</v>
      </c>
      <c r="AA84" s="807"/>
      <c r="AB84" s="807"/>
      <c r="AC84" s="808"/>
      <c r="AD84" s="806" t="s">
        <v>159</v>
      </c>
      <c r="AE84" s="807"/>
      <c r="AF84" s="807"/>
      <c r="AG84" s="808"/>
    </row>
    <row r="85" spans="1:33" ht="11.65" customHeight="1" x14ac:dyDescent="0.25">
      <c r="A85" s="864" t="s">
        <v>1255</v>
      </c>
      <c r="B85" s="866"/>
      <c r="C85" s="682" t="s">
        <v>159</v>
      </c>
      <c r="D85" s="682" t="s">
        <v>159</v>
      </c>
      <c r="E85" s="806" t="s">
        <v>159</v>
      </c>
      <c r="F85" s="808"/>
      <c r="G85" s="806" t="s">
        <v>159</v>
      </c>
      <c r="H85" s="808"/>
      <c r="I85" s="806" t="s">
        <v>159</v>
      </c>
      <c r="J85" s="807"/>
      <c r="K85" s="807"/>
      <c r="L85" s="808"/>
      <c r="M85" s="806" t="s">
        <v>159</v>
      </c>
      <c r="N85" s="807"/>
      <c r="O85" s="807"/>
      <c r="P85" s="808"/>
      <c r="Q85" s="806" t="s">
        <v>159</v>
      </c>
      <c r="R85" s="807"/>
      <c r="S85" s="807"/>
      <c r="T85" s="808"/>
      <c r="U85" s="806" t="s">
        <v>159</v>
      </c>
      <c r="V85" s="807"/>
      <c r="W85" s="807"/>
      <c r="X85" s="807"/>
      <c r="Y85" s="808"/>
      <c r="Z85" s="806" t="s">
        <v>159</v>
      </c>
      <c r="AA85" s="807"/>
      <c r="AB85" s="807"/>
      <c r="AC85" s="808"/>
      <c r="AD85" s="806" t="s">
        <v>159</v>
      </c>
      <c r="AE85" s="807"/>
      <c r="AF85" s="807"/>
      <c r="AG85" s="808"/>
    </row>
    <row r="86" spans="1:33" ht="11.65" customHeight="1" x14ac:dyDescent="0.25">
      <c r="A86" s="864" t="s">
        <v>1256</v>
      </c>
      <c r="B86" s="866"/>
      <c r="C86" s="682" t="s">
        <v>159</v>
      </c>
      <c r="D86" s="682" t="s">
        <v>159</v>
      </c>
      <c r="E86" s="806" t="s">
        <v>159</v>
      </c>
      <c r="F86" s="808"/>
      <c r="G86" s="806" t="s">
        <v>159</v>
      </c>
      <c r="H86" s="808"/>
      <c r="I86" s="806" t="s">
        <v>159</v>
      </c>
      <c r="J86" s="807"/>
      <c r="K86" s="807"/>
      <c r="L86" s="808"/>
      <c r="M86" s="806" t="s">
        <v>159</v>
      </c>
      <c r="N86" s="807"/>
      <c r="O86" s="807"/>
      <c r="P86" s="808"/>
      <c r="Q86" s="806" t="s">
        <v>159</v>
      </c>
      <c r="R86" s="807"/>
      <c r="S86" s="807"/>
      <c r="T86" s="808"/>
      <c r="U86" s="806" t="s">
        <v>159</v>
      </c>
      <c r="V86" s="807"/>
      <c r="W86" s="807"/>
      <c r="X86" s="807"/>
      <c r="Y86" s="808"/>
      <c r="Z86" s="806" t="s">
        <v>159</v>
      </c>
      <c r="AA86" s="807"/>
      <c r="AB86" s="807"/>
      <c r="AC86" s="808"/>
      <c r="AD86" s="806" t="s">
        <v>159</v>
      </c>
      <c r="AE86" s="807"/>
      <c r="AF86" s="807"/>
      <c r="AG86" s="808"/>
    </row>
    <row r="87" spans="1:33" ht="5.0999999999999996" customHeight="1" x14ac:dyDescent="0.25"/>
    <row r="88" spans="1:33" ht="11.65" customHeight="1" x14ac:dyDescent="0.25">
      <c r="A88" s="796" t="s">
        <v>2413</v>
      </c>
      <c r="B88" s="796"/>
      <c r="C88" s="796"/>
      <c r="D88" s="796"/>
      <c r="E88" s="796"/>
      <c r="F88" s="796"/>
      <c r="G88" s="796"/>
      <c r="H88" s="796"/>
      <c r="I88" s="796"/>
      <c r="J88" s="796"/>
      <c r="K88" s="796"/>
      <c r="L88" s="796"/>
      <c r="M88" s="796"/>
      <c r="N88" s="796"/>
      <c r="O88" s="796"/>
      <c r="P88" s="796"/>
      <c r="Q88" s="796"/>
      <c r="R88" s="796"/>
      <c r="S88" s="796"/>
      <c r="T88" s="796"/>
      <c r="U88" s="796"/>
      <c r="V88" s="796"/>
      <c r="W88" s="796"/>
      <c r="X88" s="796"/>
      <c r="Y88" s="796"/>
      <c r="Z88" s="796"/>
      <c r="AA88" s="796"/>
      <c r="AB88" s="796"/>
      <c r="AC88" s="796"/>
      <c r="AD88" s="796"/>
      <c r="AE88" s="796"/>
      <c r="AF88" s="796"/>
    </row>
    <row r="89" spans="1:33" ht="5.85" customHeight="1" x14ac:dyDescent="0.25"/>
    <row r="90" spans="1:33" ht="11.65" customHeight="1" x14ac:dyDescent="0.25">
      <c r="A90" s="797" t="s">
        <v>134</v>
      </c>
      <c r="B90" s="797"/>
      <c r="C90" s="797"/>
      <c r="D90" s="797"/>
      <c r="E90" s="797"/>
      <c r="F90" s="797"/>
      <c r="G90" s="797"/>
      <c r="AE90" s="798" t="s">
        <v>384</v>
      </c>
      <c r="AF90" s="798"/>
    </row>
    <row r="91" spans="1:33" ht="11.65" customHeight="1" x14ac:dyDescent="0.25">
      <c r="A91" s="797" t="s">
        <v>1</v>
      </c>
      <c r="B91" s="797"/>
      <c r="C91" s="797"/>
      <c r="D91" s="797"/>
      <c r="E91" s="797"/>
      <c r="F91" s="797"/>
      <c r="G91" s="797"/>
    </row>
    <row r="92" spans="1:33" ht="10.9" customHeight="1" x14ac:dyDescent="0.25">
      <c r="A92" s="839" t="s">
        <v>1182</v>
      </c>
      <c r="B92" s="839"/>
      <c r="C92" s="839"/>
      <c r="D92" s="839"/>
      <c r="E92" s="839"/>
      <c r="F92" s="839"/>
      <c r="G92" s="839"/>
    </row>
    <row r="93" spans="1:33" ht="11.65" customHeight="1" x14ac:dyDescent="0.25">
      <c r="A93" s="797" t="s">
        <v>219</v>
      </c>
      <c r="B93" s="797"/>
      <c r="C93" s="797"/>
      <c r="D93" s="797"/>
      <c r="E93" s="797"/>
      <c r="F93" s="797"/>
      <c r="G93" s="797"/>
    </row>
    <row r="94" spans="1:33" ht="11.65" customHeight="1" x14ac:dyDescent="0.25">
      <c r="A94" s="797" t="s">
        <v>2347</v>
      </c>
      <c r="B94" s="797"/>
      <c r="C94" s="797"/>
      <c r="D94" s="797"/>
      <c r="E94" s="797"/>
      <c r="F94" s="797"/>
      <c r="G94" s="797"/>
    </row>
    <row r="95" spans="1:33" ht="5.85" customHeight="1" x14ac:dyDescent="0.25"/>
    <row r="96" spans="1:33" ht="10.9" customHeight="1" x14ac:dyDescent="0.25">
      <c r="A96" s="902" t="s">
        <v>1183</v>
      </c>
      <c r="B96" s="902"/>
      <c r="C96" s="902"/>
      <c r="D96" s="902"/>
      <c r="E96" s="902"/>
      <c r="F96" s="902"/>
      <c r="G96" s="902"/>
      <c r="H96" s="479"/>
      <c r="I96" s="479"/>
      <c r="J96" s="479"/>
      <c r="K96" s="479"/>
      <c r="L96" s="479"/>
      <c r="M96" s="479"/>
      <c r="N96" s="479"/>
      <c r="O96" s="479"/>
      <c r="P96" s="479"/>
      <c r="Q96" s="479"/>
      <c r="R96" s="479"/>
      <c r="S96" s="479"/>
      <c r="T96" s="479"/>
      <c r="U96" s="479"/>
      <c r="V96" s="479"/>
      <c r="W96" s="479"/>
      <c r="X96" s="479"/>
      <c r="Y96" s="479"/>
      <c r="Z96" s="479"/>
      <c r="AA96" s="479"/>
      <c r="AB96" s="479"/>
      <c r="AC96" s="479"/>
      <c r="AD96" s="479"/>
      <c r="AE96" s="479"/>
      <c r="AF96" s="479"/>
      <c r="AG96" s="479"/>
    </row>
    <row r="97" spans="1:33" ht="17.45" customHeight="1" x14ac:dyDescent="0.25">
      <c r="A97" s="799" t="s">
        <v>1242</v>
      </c>
      <c r="B97" s="823"/>
      <c r="C97" s="823"/>
      <c r="D97" s="823"/>
      <c r="E97" s="823"/>
      <c r="F97" s="823"/>
      <c r="G97" s="823"/>
      <c r="H97" s="823"/>
      <c r="I97" s="823"/>
      <c r="J97" s="823"/>
      <c r="K97" s="823"/>
      <c r="L97" s="823"/>
      <c r="M97" s="823"/>
      <c r="N97" s="823"/>
      <c r="O97" s="823"/>
      <c r="P97" s="823"/>
      <c r="Q97" s="823"/>
      <c r="R97" s="823"/>
      <c r="S97" s="823"/>
      <c r="T97" s="823"/>
      <c r="U97" s="823"/>
      <c r="V97" s="823"/>
      <c r="W97" s="823"/>
      <c r="X97" s="823"/>
      <c r="Y97" s="823"/>
      <c r="Z97" s="823"/>
      <c r="AA97" s="823"/>
      <c r="AB97" s="823"/>
      <c r="AC97" s="823"/>
      <c r="AD97" s="823"/>
      <c r="AE97" s="823"/>
      <c r="AF97" s="823"/>
      <c r="AG97" s="800"/>
    </row>
    <row r="98" spans="1:33" ht="39.950000000000003" customHeight="1" x14ac:dyDescent="0.25">
      <c r="A98" s="996" t="s">
        <v>1243</v>
      </c>
      <c r="B98" s="997"/>
      <c r="C98" s="679" t="s">
        <v>1244</v>
      </c>
      <c r="D98" s="679" t="s">
        <v>1245</v>
      </c>
      <c r="E98" s="909" t="s">
        <v>1246</v>
      </c>
      <c r="F98" s="910"/>
      <c r="G98" s="909" t="s">
        <v>1247</v>
      </c>
      <c r="H98" s="910"/>
      <c r="I98" s="909" t="s">
        <v>1248</v>
      </c>
      <c r="J98" s="911"/>
      <c r="K98" s="911"/>
      <c r="L98" s="910"/>
      <c r="M98" s="909" t="s">
        <v>1249</v>
      </c>
      <c r="N98" s="911"/>
      <c r="O98" s="911"/>
      <c r="P98" s="910"/>
      <c r="Q98" s="909" t="s">
        <v>1250</v>
      </c>
      <c r="R98" s="911"/>
      <c r="S98" s="911"/>
      <c r="T98" s="910"/>
      <c r="U98" s="909" t="s">
        <v>1251</v>
      </c>
      <c r="V98" s="911"/>
      <c r="W98" s="911"/>
      <c r="X98" s="911"/>
      <c r="Y98" s="910"/>
      <c r="Z98" s="909" t="s">
        <v>1252</v>
      </c>
      <c r="AA98" s="911"/>
      <c r="AB98" s="911"/>
      <c r="AC98" s="910"/>
      <c r="AD98" s="909" t="s">
        <v>1253</v>
      </c>
      <c r="AE98" s="911"/>
      <c r="AF98" s="911"/>
      <c r="AG98" s="910"/>
    </row>
    <row r="99" spans="1:33" ht="11.65" customHeight="1" x14ac:dyDescent="0.25">
      <c r="A99" s="1000" t="s">
        <v>1590</v>
      </c>
      <c r="B99" s="1001"/>
      <c r="C99" s="695" t="s">
        <v>159</v>
      </c>
      <c r="D99" s="695" t="s">
        <v>159</v>
      </c>
      <c r="E99" s="844" t="s">
        <v>159</v>
      </c>
      <c r="F99" s="846"/>
      <c r="G99" s="844" t="s">
        <v>159</v>
      </c>
      <c r="H99" s="846"/>
      <c r="I99" s="844" t="s">
        <v>159</v>
      </c>
      <c r="J99" s="845"/>
      <c r="K99" s="845"/>
      <c r="L99" s="846"/>
      <c r="M99" s="844" t="s">
        <v>159</v>
      </c>
      <c r="N99" s="845"/>
      <c r="O99" s="845"/>
      <c r="P99" s="846"/>
      <c r="Q99" s="844" t="s">
        <v>159</v>
      </c>
      <c r="R99" s="845"/>
      <c r="S99" s="845"/>
      <c r="T99" s="846"/>
      <c r="U99" s="844" t="s">
        <v>159</v>
      </c>
      <c r="V99" s="845"/>
      <c r="W99" s="845"/>
      <c r="X99" s="845"/>
      <c r="Y99" s="846"/>
      <c r="Z99" s="844" t="s">
        <v>159</v>
      </c>
      <c r="AA99" s="845"/>
      <c r="AB99" s="845"/>
      <c r="AC99" s="846"/>
      <c r="AD99" s="831" t="s">
        <v>159</v>
      </c>
      <c r="AE99" s="845"/>
      <c r="AF99" s="845"/>
      <c r="AG99" s="804"/>
    </row>
    <row r="100" spans="1:33" ht="11.65" customHeight="1" x14ac:dyDescent="0.25">
      <c r="A100" s="902"/>
      <c r="B100" s="821"/>
      <c r="C100" s="821"/>
      <c r="D100" s="821"/>
      <c r="E100" s="821"/>
      <c r="F100" s="821"/>
      <c r="G100" s="821"/>
      <c r="H100" s="821"/>
      <c r="I100" s="821"/>
      <c r="J100" s="821"/>
      <c r="K100" s="821"/>
      <c r="L100" s="821"/>
      <c r="M100" s="821"/>
      <c r="N100" s="821"/>
      <c r="O100" s="821"/>
      <c r="P100" s="821"/>
      <c r="Q100" s="821"/>
      <c r="R100" s="821"/>
      <c r="S100" s="821"/>
      <c r="T100" s="821"/>
      <c r="U100" s="821"/>
      <c r="V100" s="821"/>
      <c r="W100" s="821"/>
      <c r="X100" s="821"/>
      <c r="Y100" s="821"/>
      <c r="Z100" s="821"/>
      <c r="AA100" s="821"/>
      <c r="AB100" s="821"/>
      <c r="AC100" s="821"/>
      <c r="AD100" s="821"/>
      <c r="AE100" s="821"/>
      <c r="AF100" s="821"/>
      <c r="AG100" s="902"/>
    </row>
    <row r="101" spans="1:33" ht="10.9" customHeight="1" x14ac:dyDescent="0.25">
      <c r="A101" s="990" t="s">
        <v>1257</v>
      </c>
      <c r="B101" s="991"/>
      <c r="C101" s="991"/>
      <c r="D101" s="991"/>
      <c r="E101" s="991"/>
      <c r="F101" s="991"/>
      <c r="G101" s="991"/>
      <c r="H101" s="991"/>
      <c r="I101" s="991"/>
      <c r="J101" s="991"/>
      <c r="K101" s="991"/>
      <c r="L101" s="991"/>
      <c r="M101" s="991"/>
      <c r="N101" s="991"/>
      <c r="O101" s="991"/>
      <c r="P101" s="991"/>
      <c r="Q101" s="991"/>
      <c r="R101" s="991"/>
      <c r="S101" s="991"/>
      <c r="T101" s="991"/>
      <c r="U101" s="991"/>
      <c r="V101" s="991"/>
      <c r="W101" s="991"/>
      <c r="X101" s="991"/>
      <c r="Y101" s="991"/>
      <c r="Z101" s="991"/>
      <c r="AA101" s="991"/>
      <c r="AB101" s="991"/>
      <c r="AC101" s="992"/>
      <c r="AD101" s="834" t="s">
        <v>159</v>
      </c>
      <c r="AE101" s="835"/>
      <c r="AF101" s="835"/>
      <c r="AG101" s="836"/>
    </row>
    <row r="102" spans="1:33" ht="11.65" customHeight="1" x14ac:dyDescent="0.25">
      <c r="A102" s="990" t="s">
        <v>1258</v>
      </c>
      <c r="B102" s="991"/>
      <c r="C102" s="991"/>
      <c r="D102" s="991"/>
      <c r="E102" s="991"/>
      <c r="F102" s="991"/>
      <c r="G102" s="991"/>
      <c r="H102" s="991"/>
      <c r="I102" s="991"/>
      <c r="J102" s="991"/>
      <c r="K102" s="991"/>
      <c r="L102" s="991"/>
      <c r="M102" s="991"/>
      <c r="N102" s="991"/>
      <c r="O102" s="991"/>
      <c r="P102" s="991"/>
      <c r="Q102" s="991"/>
      <c r="R102" s="991"/>
      <c r="S102" s="991"/>
      <c r="T102" s="991"/>
      <c r="U102" s="991"/>
      <c r="V102" s="991"/>
      <c r="W102" s="991"/>
      <c r="X102" s="991"/>
      <c r="Y102" s="991"/>
      <c r="Z102" s="991"/>
      <c r="AA102" s="991"/>
      <c r="AB102" s="991"/>
      <c r="AC102" s="992"/>
      <c r="AD102" s="834" t="s">
        <v>159</v>
      </c>
      <c r="AE102" s="835"/>
      <c r="AF102" s="835"/>
      <c r="AG102" s="836"/>
    </row>
    <row r="103" spans="1:33" ht="11.65" customHeight="1" x14ac:dyDescent="0.25">
      <c r="A103" s="990" t="s">
        <v>1259</v>
      </c>
      <c r="B103" s="991"/>
      <c r="C103" s="991"/>
      <c r="D103" s="991"/>
      <c r="E103" s="991"/>
      <c r="F103" s="991"/>
      <c r="G103" s="991"/>
      <c r="H103" s="991"/>
      <c r="I103" s="991"/>
      <c r="J103" s="991"/>
      <c r="K103" s="991"/>
      <c r="L103" s="991"/>
      <c r="M103" s="991"/>
      <c r="N103" s="991"/>
      <c r="O103" s="991"/>
      <c r="P103" s="991"/>
      <c r="Q103" s="991"/>
      <c r="R103" s="991"/>
      <c r="S103" s="991"/>
      <c r="T103" s="991"/>
      <c r="U103" s="991"/>
      <c r="V103" s="991"/>
      <c r="W103" s="991"/>
      <c r="X103" s="991"/>
      <c r="Y103" s="991"/>
      <c r="Z103" s="991"/>
      <c r="AA103" s="991"/>
      <c r="AB103" s="991"/>
      <c r="AC103" s="992"/>
      <c r="AD103" s="834" t="s">
        <v>159</v>
      </c>
      <c r="AE103" s="835"/>
      <c r="AF103" s="835"/>
      <c r="AG103" s="836"/>
    </row>
    <row r="104" spans="1:33" ht="11.65" customHeight="1" x14ac:dyDescent="0.25">
      <c r="A104" s="821"/>
      <c r="B104" s="821"/>
      <c r="C104" s="821"/>
      <c r="D104" s="821"/>
      <c r="E104" s="821"/>
      <c r="F104" s="821"/>
      <c r="G104" s="821"/>
      <c r="H104" s="821"/>
      <c r="I104" s="821"/>
      <c r="J104" s="821"/>
      <c r="K104" s="821"/>
      <c r="L104" s="821"/>
      <c r="M104" s="821"/>
      <c r="N104" s="821"/>
      <c r="O104" s="821"/>
      <c r="P104" s="821"/>
      <c r="Q104" s="821"/>
      <c r="R104" s="821"/>
      <c r="S104" s="821"/>
      <c r="T104" s="821"/>
      <c r="U104" s="821"/>
      <c r="V104" s="821"/>
      <c r="W104" s="821"/>
      <c r="X104" s="821"/>
      <c r="Y104" s="821"/>
      <c r="Z104" s="821"/>
      <c r="AA104" s="821"/>
      <c r="AB104" s="821"/>
      <c r="AC104" s="821"/>
      <c r="AD104" s="821"/>
      <c r="AE104" s="821"/>
      <c r="AF104" s="821"/>
      <c r="AG104" s="821"/>
    </row>
    <row r="105" spans="1:33" ht="10.9" customHeight="1" x14ac:dyDescent="0.25">
      <c r="A105" s="964" t="s">
        <v>1260</v>
      </c>
      <c r="B105" s="965"/>
      <c r="C105" s="965"/>
      <c r="D105" s="965"/>
      <c r="E105" s="965"/>
      <c r="F105" s="965"/>
      <c r="G105" s="965"/>
      <c r="H105" s="965"/>
      <c r="I105" s="965"/>
      <c r="J105" s="966"/>
      <c r="K105" s="909" t="s">
        <v>1261</v>
      </c>
      <c r="L105" s="911"/>
      <c r="M105" s="911"/>
      <c r="N105" s="911"/>
      <c r="O105" s="911"/>
      <c r="P105" s="911"/>
      <c r="Q105" s="911"/>
      <c r="R105" s="911"/>
      <c r="S105" s="911"/>
      <c r="T105" s="911"/>
      <c r="U105" s="911"/>
      <c r="V105" s="911"/>
      <c r="W105" s="911"/>
      <c r="X105" s="911"/>
      <c r="Y105" s="911"/>
      <c r="Z105" s="911"/>
      <c r="AA105" s="911"/>
      <c r="AB105" s="911"/>
      <c r="AC105" s="911"/>
      <c r="AD105" s="911"/>
      <c r="AE105" s="911"/>
      <c r="AF105" s="911"/>
      <c r="AG105" s="910"/>
    </row>
    <row r="106" spans="1:33" ht="17.45" customHeight="1" x14ac:dyDescent="0.25">
      <c r="A106" s="993"/>
      <c r="B106" s="994"/>
      <c r="C106" s="994"/>
      <c r="D106" s="994"/>
      <c r="E106" s="994"/>
      <c r="F106" s="994"/>
      <c r="G106" s="994"/>
      <c r="H106" s="994"/>
      <c r="I106" s="994"/>
      <c r="J106" s="995"/>
      <c r="K106" s="909" t="s">
        <v>1262</v>
      </c>
      <c r="L106" s="973"/>
      <c r="M106" s="973"/>
      <c r="N106" s="973"/>
      <c r="O106" s="973"/>
      <c r="P106" s="973"/>
      <c r="Q106" s="970"/>
      <c r="R106" s="909" t="s">
        <v>1235</v>
      </c>
      <c r="S106" s="911"/>
      <c r="T106" s="911"/>
      <c r="U106" s="911"/>
      <c r="V106" s="911"/>
      <c r="W106" s="911"/>
      <c r="X106" s="911"/>
      <c r="Y106" s="911"/>
      <c r="Z106" s="911"/>
      <c r="AA106" s="910"/>
      <c r="AB106" s="909" t="s">
        <v>1263</v>
      </c>
      <c r="AC106" s="973"/>
      <c r="AD106" s="973"/>
      <c r="AE106" s="973"/>
      <c r="AF106" s="973"/>
      <c r="AG106" s="970"/>
    </row>
    <row r="107" spans="1:33" ht="23.25" customHeight="1" x14ac:dyDescent="0.25">
      <c r="A107" s="967"/>
      <c r="B107" s="968"/>
      <c r="C107" s="968"/>
      <c r="D107" s="968"/>
      <c r="E107" s="968"/>
      <c r="F107" s="968"/>
      <c r="G107" s="968"/>
      <c r="H107" s="968"/>
      <c r="I107" s="968"/>
      <c r="J107" s="969"/>
      <c r="K107" s="971"/>
      <c r="L107" s="974"/>
      <c r="M107" s="974"/>
      <c r="N107" s="974"/>
      <c r="O107" s="974"/>
      <c r="P107" s="974"/>
      <c r="Q107" s="972"/>
      <c r="R107" s="909" t="s">
        <v>1264</v>
      </c>
      <c r="S107" s="911"/>
      <c r="T107" s="910"/>
      <c r="U107" s="909" t="s">
        <v>1265</v>
      </c>
      <c r="V107" s="911"/>
      <c r="W107" s="911"/>
      <c r="X107" s="910"/>
      <c r="Y107" s="909" t="s">
        <v>1266</v>
      </c>
      <c r="Z107" s="911"/>
      <c r="AA107" s="910"/>
      <c r="AB107" s="971"/>
      <c r="AC107" s="974"/>
      <c r="AD107" s="974"/>
      <c r="AE107" s="974"/>
      <c r="AF107" s="974"/>
      <c r="AG107" s="972"/>
    </row>
    <row r="108" spans="1:33" ht="10.9" customHeight="1" x14ac:dyDescent="0.25">
      <c r="A108" s="984" t="s">
        <v>1591</v>
      </c>
      <c r="B108" s="985"/>
      <c r="C108" s="985"/>
      <c r="D108" s="985"/>
      <c r="E108" s="985"/>
      <c r="F108" s="985"/>
      <c r="G108" s="985"/>
      <c r="H108" s="985"/>
      <c r="I108" s="985"/>
      <c r="J108" s="986"/>
      <c r="K108" s="831" t="s">
        <v>159</v>
      </c>
      <c r="L108" s="805"/>
      <c r="M108" s="805"/>
      <c r="N108" s="805"/>
      <c r="O108" s="805"/>
      <c r="P108" s="805"/>
      <c r="Q108" s="804"/>
      <c r="R108" s="831" t="s">
        <v>159</v>
      </c>
      <c r="S108" s="805"/>
      <c r="T108" s="804"/>
      <c r="U108" s="831" t="s">
        <v>159</v>
      </c>
      <c r="V108" s="805"/>
      <c r="W108" s="805"/>
      <c r="X108" s="804"/>
      <c r="Y108" s="831" t="s">
        <v>159</v>
      </c>
      <c r="Z108" s="805"/>
      <c r="AA108" s="804"/>
      <c r="AB108" s="831" t="s">
        <v>159</v>
      </c>
      <c r="AC108" s="805"/>
      <c r="AD108" s="805"/>
      <c r="AE108" s="805"/>
      <c r="AF108" s="805"/>
      <c r="AG108" s="804"/>
    </row>
    <row r="109" spans="1:33" ht="11.65" customHeight="1" x14ac:dyDescent="0.25">
      <c r="A109" s="987" t="s">
        <v>1592</v>
      </c>
      <c r="B109" s="988"/>
      <c r="C109" s="988"/>
      <c r="D109" s="988"/>
      <c r="E109" s="988"/>
      <c r="F109" s="988"/>
      <c r="G109" s="988"/>
      <c r="H109" s="988"/>
      <c r="I109" s="988"/>
      <c r="J109" s="989"/>
      <c r="K109" s="806" t="s">
        <v>1593</v>
      </c>
      <c r="L109" s="807"/>
      <c r="M109" s="807"/>
      <c r="N109" s="807"/>
      <c r="O109" s="807"/>
      <c r="P109" s="807"/>
      <c r="Q109" s="808"/>
      <c r="R109" s="806" t="s">
        <v>159</v>
      </c>
      <c r="S109" s="807"/>
      <c r="T109" s="808"/>
      <c r="U109" s="806" t="s">
        <v>159</v>
      </c>
      <c r="V109" s="807"/>
      <c r="W109" s="807"/>
      <c r="X109" s="808"/>
      <c r="Y109" s="806" t="s">
        <v>159</v>
      </c>
      <c r="Z109" s="807"/>
      <c r="AA109" s="808"/>
      <c r="AB109" s="806" t="s">
        <v>1593</v>
      </c>
      <c r="AC109" s="807"/>
      <c r="AD109" s="807"/>
      <c r="AE109" s="807"/>
      <c r="AF109" s="807"/>
      <c r="AG109" s="808"/>
    </row>
    <row r="110" spans="1:33" ht="11.65" customHeight="1" x14ac:dyDescent="0.25">
      <c r="A110" s="978" t="s">
        <v>1267</v>
      </c>
      <c r="B110" s="979"/>
      <c r="C110" s="979"/>
      <c r="D110" s="979"/>
      <c r="E110" s="979"/>
      <c r="F110" s="979"/>
      <c r="G110" s="979"/>
      <c r="H110" s="979"/>
      <c r="I110" s="979"/>
      <c r="J110" s="980"/>
      <c r="K110" s="814" t="s">
        <v>1269</v>
      </c>
      <c r="L110" s="815"/>
      <c r="M110" s="815"/>
      <c r="N110" s="815"/>
      <c r="O110" s="815"/>
      <c r="P110" s="815"/>
      <c r="Q110" s="816"/>
      <c r="R110" s="814" t="s">
        <v>159</v>
      </c>
      <c r="S110" s="815"/>
      <c r="T110" s="816"/>
      <c r="U110" s="814" t="s">
        <v>159</v>
      </c>
      <c r="V110" s="815"/>
      <c r="W110" s="815"/>
      <c r="X110" s="816"/>
      <c r="Y110" s="814" t="s">
        <v>159</v>
      </c>
      <c r="Z110" s="815"/>
      <c r="AA110" s="816"/>
      <c r="AB110" s="814" t="s">
        <v>1269</v>
      </c>
      <c r="AC110" s="815"/>
      <c r="AD110" s="815"/>
      <c r="AE110" s="815"/>
      <c r="AF110" s="815"/>
      <c r="AG110" s="816"/>
    </row>
    <row r="111" spans="1:33" ht="11.65" customHeight="1" x14ac:dyDescent="0.25">
      <c r="A111" s="981" t="s">
        <v>1268</v>
      </c>
      <c r="B111" s="982"/>
      <c r="C111" s="982"/>
      <c r="D111" s="982"/>
      <c r="E111" s="982"/>
      <c r="F111" s="982"/>
      <c r="G111" s="982"/>
      <c r="H111" s="982"/>
      <c r="I111" s="982"/>
      <c r="J111" s="983"/>
      <c r="K111" s="952" t="s">
        <v>1594</v>
      </c>
      <c r="L111" s="954"/>
      <c r="M111" s="954"/>
      <c r="N111" s="954"/>
      <c r="O111" s="954"/>
      <c r="P111" s="954"/>
      <c r="Q111" s="953"/>
      <c r="R111" s="952" t="s">
        <v>159</v>
      </c>
      <c r="S111" s="954"/>
      <c r="T111" s="953"/>
      <c r="U111" s="952" t="s">
        <v>159</v>
      </c>
      <c r="V111" s="954"/>
      <c r="W111" s="954"/>
      <c r="X111" s="953"/>
      <c r="Y111" s="952" t="s">
        <v>159</v>
      </c>
      <c r="Z111" s="954"/>
      <c r="AA111" s="953"/>
      <c r="AB111" s="952" t="s">
        <v>1594</v>
      </c>
      <c r="AC111" s="954"/>
      <c r="AD111" s="954"/>
      <c r="AE111" s="954"/>
      <c r="AF111" s="954"/>
      <c r="AG111" s="953"/>
    </row>
    <row r="112" spans="1:33" ht="10.9" customHeight="1" x14ac:dyDescent="0.25">
      <c r="A112" s="821"/>
      <c r="B112" s="821"/>
      <c r="C112" s="821"/>
      <c r="D112" s="821"/>
      <c r="E112" s="821"/>
      <c r="F112" s="821"/>
      <c r="G112" s="821"/>
      <c r="H112" s="821"/>
      <c r="I112" s="821"/>
      <c r="J112" s="821"/>
      <c r="K112" s="821"/>
      <c r="L112" s="821"/>
      <c r="M112" s="821"/>
      <c r="N112" s="821"/>
      <c r="O112" s="821"/>
      <c r="P112" s="821"/>
      <c r="Q112" s="821"/>
      <c r="R112" s="821"/>
      <c r="S112" s="821"/>
      <c r="T112" s="821"/>
      <c r="U112" s="821"/>
      <c r="V112" s="821"/>
      <c r="W112" s="821"/>
      <c r="X112" s="821"/>
      <c r="Y112" s="821"/>
      <c r="Z112" s="821"/>
      <c r="AA112" s="821"/>
      <c r="AB112" s="821"/>
      <c r="AC112" s="821"/>
      <c r="AD112" s="821"/>
      <c r="AE112" s="821"/>
      <c r="AF112" s="821"/>
      <c r="AG112" s="821"/>
    </row>
    <row r="113" spans="1:33" ht="11.65" customHeight="1" x14ac:dyDescent="0.25">
      <c r="A113" s="996" t="s">
        <v>1270</v>
      </c>
      <c r="B113" s="1002"/>
      <c r="C113" s="1002"/>
      <c r="D113" s="1002"/>
      <c r="E113" s="1002"/>
      <c r="F113" s="1002"/>
      <c r="G113" s="1002"/>
      <c r="H113" s="1002"/>
      <c r="I113" s="1003"/>
      <c r="J113" s="909" t="s">
        <v>139</v>
      </c>
      <c r="K113" s="973"/>
      <c r="L113" s="973"/>
      <c r="M113" s="973"/>
      <c r="N113" s="973"/>
      <c r="O113" s="970"/>
      <c r="P113" s="909" t="s">
        <v>140</v>
      </c>
      <c r="Q113" s="973"/>
      <c r="R113" s="973"/>
      <c r="S113" s="973"/>
      <c r="T113" s="973"/>
      <c r="U113" s="973"/>
      <c r="V113" s="970"/>
      <c r="W113" s="799" t="s">
        <v>141</v>
      </c>
      <c r="X113" s="823"/>
      <c r="Y113" s="823"/>
      <c r="Z113" s="823"/>
      <c r="AA113" s="823"/>
      <c r="AB113" s="823"/>
      <c r="AC113" s="823"/>
      <c r="AD113" s="823"/>
      <c r="AE113" s="823"/>
      <c r="AF113" s="823"/>
      <c r="AG113" s="800"/>
    </row>
    <row r="114" spans="1:33" ht="17.45" customHeight="1" x14ac:dyDescent="0.25">
      <c r="A114" s="1004"/>
      <c r="B114" s="1005"/>
      <c r="C114" s="1005"/>
      <c r="D114" s="1005"/>
      <c r="E114" s="1005"/>
      <c r="F114" s="1005"/>
      <c r="G114" s="1005"/>
      <c r="H114" s="1005"/>
      <c r="I114" s="1006"/>
      <c r="J114" s="971"/>
      <c r="K114" s="974"/>
      <c r="L114" s="974"/>
      <c r="M114" s="974"/>
      <c r="N114" s="974"/>
      <c r="O114" s="972"/>
      <c r="P114" s="971"/>
      <c r="Q114" s="974"/>
      <c r="R114" s="974"/>
      <c r="S114" s="974"/>
      <c r="T114" s="974"/>
      <c r="U114" s="974"/>
      <c r="V114" s="972"/>
      <c r="W114" s="909" t="s">
        <v>1185</v>
      </c>
      <c r="X114" s="911"/>
      <c r="Y114" s="911"/>
      <c r="Z114" s="911"/>
      <c r="AA114" s="911"/>
      <c r="AB114" s="910"/>
      <c r="AC114" s="909" t="s">
        <v>1186</v>
      </c>
      <c r="AD114" s="911"/>
      <c r="AE114" s="911"/>
      <c r="AF114" s="911"/>
      <c r="AG114" s="910"/>
    </row>
    <row r="115" spans="1:33" ht="10.9" customHeight="1" x14ac:dyDescent="0.25">
      <c r="A115" s="884" t="s">
        <v>1271</v>
      </c>
      <c r="B115" s="885"/>
      <c r="C115" s="885"/>
      <c r="D115" s="885"/>
      <c r="E115" s="885"/>
      <c r="F115" s="885"/>
      <c r="G115" s="885"/>
      <c r="H115" s="885"/>
      <c r="I115" s="886"/>
      <c r="J115" s="831" t="s">
        <v>1595</v>
      </c>
      <c r="K115" s="805"/>
      <c r="L115" s="805"/>
      <c r="M115" s="805"/>
      <c r="N115" s="805"/>
      <c r="O115" s="804"/>
      <c r="P115" s="831" t="s">
        <v>1595</v>
      </c>
      <c r="Q115" s="805"/>
      <c r="R115" s="805"/>
      <c r="S115" s="805"/>
      <c r="T115" s="805"/>
      <c r="U115" s="805"/>
      <c r="V115" s="804"/>
      <c r="W115" s="831" t="s">
        <v>2430</v>
      </c>
      <c r="X115" s="805"/>
      <c r="Y115" s="805"/>
      <c r="Z115" s="805"/>
      <c r="AA115" s="805"/>
      <c r="AB115" s="804"/>
      <c r="AC115" s="831" t="s">
        <v>2431</v>
      </c>
      <c r="AD115" s="805"/>
      <c r="AE115" s="805"/>
      <c r="AF115" s="805"/>
      <c r="AG115" s="804"/>
    </row>
    <row r="116" spans="1:33" ht="11.65" customHeight="1" x14ac:dyDescent="0.25">
      <c r="A116" s="864" t="s">
        <v>1272</v>
      </c>
      <c r="B116" s="865"/>
      <c r="C116" s="865"/>
      <c r="D116" s="865"/>
      <c r="E116" s="865"/>
      <c r="F116" s="865"/>
      <c r="G116" s="865"/>
      <c r="H116" s="865"/>
      <c r="I116" s="866"/>
      <c r="J116" s="806" t="s">
        <v>1596</v>
      </c>
      <c r="K116" s="807"/>
      <c r="L116" s="807"/>
      <c r="M116" s="807"/>
      <c r="N116" s="807"/>
      <c r="O116" s="808"/>
      <c r="P116" s="806" t="s">
        <v>1596</v>
      </c>
      <c r="Q116" s="807"/>
      <c r="R116" s="807"/>
      <c r="S116" s="807"/>
      <c r="T116" s="807"/>
      <c r="U116" s="807"/>
      <c r="V116" s="808"/>
      <c r="W116" s="806" t="s">
        <v>2432</v>
      </c>
      <c r="X116" s="807"/>
      <c r="Y116" s="807"/>
      <c r="Z116" s="807"/>
      <c r="AA116" s="807"/>
      <c r="AB116" s="808"/>
      <c r="AC116" s="806" t="s">
        <v>2433</v>
      </c>
      <c r="AD116" s="807"/>
      <c r="AE116" s="807"/>
      <c r="AF116" s="807"/>
      <c r="AG116" s="808"/>
    </row>
    <row r="117" spans="1:33" ht="11.65" customHeight="1" x14ac:dyDescent="0.25">
      <c r="A117" s="864" t="s">
        <v>1273</v>
      </c>
      <c r="B117" s="865"/>
      <c r="C117" s="865"/>
      <c r="D117" s="865"/>
      <c r="E117" s="865"/>
      <c r="F117" s="865"/>
      <c r="G117" s="865"/>
      <c r="H117" s="865"/>
      <c r="I117" s="866"/>
      <c r="J117" s="806" t="s">
        <v>1597</v>
      </c>
      <c r="K117" s="807"/>
      <c r="L117" s="807"/>
      <c r="M117" s="807"/>
      <c r="N117" s="807"/>
      <c r="O117" s="808"/>
      <c r="P117" s="806" t="s">
        <v>1597</v>
      </c>
      <c r="Q117" s="807"/>
      <c r="R117" s="807"/>
      <c r="S117" s="807"/>
      <c r="T117" s="807"/>
      <c r="U117" s="807"/>
      <c r="V117" s="808"/>
      <c r="W117" s="806" t="s">
        <v>2434</v>
      </c>
      <c r="X117" s="807"/>
      <c r="Y117" s="807"/>
      <c r="Z117" s="807"/>
      <c r="AA117" s="807"/>
      <c r="AB117" s="808"/>
      <c r="AC117" s="806" t="s">
        <v>2435</v>
      </c>
      <c r="AD117" s="807"/>
      <c r="AE117" s="807"/>
      <c r="AF117" s="807"/>
      <c r="AG117" s="808"/>
    </row>
    <row r="118" spans="1:33" ht="11.65" customHeight="1" x14ac:dyDescent="0.25">
      <c r="A118" s="864" t="s">
        <v>1274</v>
      </c>
      <c r="B118" s="865"/>
      <c r="C118" s="865"/>
      <c r="D118" s="865"/>
      <c r="E118" s="865"/>
      <c r="F118" s="865"/>
      <c r="G118" s="865"/>
      <c r="H118" s="865"/>
      <c r="I118" s="866"/>
      <c r="J118" s="806" t="s">
        <v>159</v>
      </c>
      <c r="K118" s="807"/>
      <c r="L118" s="807"/>
      <c r="M118" s="807"/>
      <c r="N118" s="807"/>
      <c r="O118" s="808"/>
      <c r="P118" s="806" t="s">
        <v>159</v>
      </c>
      <c r="Q118" s="807"/>
      <c r="R118" s="807"/>
      <c r="S118" s="807"/>
      <c r="T118" s="807"/>
      <c r="U118" s="807"/>
      <c r="V118" s="808"/>
      <c r="W118" s="806" t="s">
        <v>159</v>
      </c>
      <c r="X118" s="807"/>
      <c r="Y118" s="807"/>
      <c r="Z118" s="807"/>
      <c r="AA118" s="807"/>
      <c r="AB118" s="808"/>
      <c r="AC118" s="806" t="s">
        <v>159</v>
      </c>
      <c r="AD118" s="807"/>
      <c r="AE118" s="807"/>
      <c r="AF118" s="807"/>
      <c r="AG118" s="808"/>
    </row>
    <row r="119" spans="1:33" ht="10.9" customHeight="1" x14ac:dyDescent="0.25">
      <c r="A119" s="864" t="s">
        <v>1275</v>
      </c>
      <c r="B119" s="865"/>
      <c r="C119" s="865"/>
      <c r="D119" s="865"/>
      <c r="E119" s="865"/>
      <c r="F119" s="865"/>
      <c r="G119" s="865"/>
      <c r="H119" s="865"/>
      <c r="I119" s="866"/>
      <c r="J119" s="806" t="s">
        <v>159</v>
      </c>
      <c r="K119" s="807"/>
      <c r="L119" s="807"/>
      <c r="M119" s="807"/>
      <c r="N119" s="807"/>
      <c r="O119" s="808"/>
      <c r="P119" s="806" t="s">
        <v>159</v>
      </c>
      <c r="Q119" s="807"/>
      <c r="R119" s="807"/>
      <c r="S119" s="807"/>
      <c r="T119" s="807"/>
      <c r="U119" s="807"/>
      <c r="V119" s="808"/>
      <c r="W119" s="806" t="s">
        <v>159</v>
      </c>
      <c r="X119" s="807"/>
      <c r="Y119" s="807"/>
      <c r="Z119" s="807"/>
      <c r="AA119" s="807"/>
      <c r="AB119" s="808"/>
      <c r="AC119" s="806" t="s">
        <v>159</v>
      </c>
      <c r="AD119" s="807"/>
      <c r="AE119" s="807"/>
      <c r="AF119" s="807"/>
      <c r="AG119" s="808"/>
    </row>
    <row r="120" spans="1:33" ht="11.65" customHeight="1" x14ac:dyDescent="0.25">
      <c r="A120" s="867" t="s">
        <v>1276</v>
      </c>
      <c r="B120" s="868"/>
      <c r="C120" s="868"/>
      <c r="D120" s="868"/>
      <c r="E120" s="868"/>
      <c r="F120" s="868"/>
      <c r="G120" s="868"/>
      <c r="H120" s="868"/>
      <c r="I120" s="869"/>
      <c r="J120" s="814" t="s">
        <v>159</v>
      </c>
      <c r="K120" s="815"/>
      <c r="L120" s="815"/>
      <c r="M120" s="815"/>
      <c r="N120" s="815"/>
      <c r="O120" s="816"/>
      <c r="P120" s="814" t="s">
        <v>159</v>
      </c>
      <c r="Q120" s="815"/>
      <c r="R120" s="815"/>
      <c r="S120" s="815"/>
      <c r="T120" s="815"/>
      <c r="U120" s="815"/>
      <c r="V120" s="816"/>
      <c r="W120" s="814" t="s">
        <v>2436</v>
      </c>
      <c r="X120" s="815"/>
      <c r="Y120" s="815"/>
      <c r="Z120" s="815"/>
      <c r="AA120" s="815"/>
      <c r="AB120" s="816"/>
      <c r="AC120" s="814" t="s">
        <v>159</v>
      </c>
      <c r="AD120" s="815"/>
      <c r="AE120" s="815"/>
      <c r="AF120" s="815"/>
      <c r="AG120" s="816"/>
    </row>
    <row r="121" spans="1:33" ht="11.65" customHeight="1" x14ac:dyDescent="0.25">
      <c r="A121" s="975" t="s">
        <v>1277</v>
      </c>
      <c r="B121" s="976"/>
      <c r="C121" s="976"/>
      <c r="D121" s="976"/>
      <c r="E121" s="976"/>
      <c r="F121" s="976"/>
      <c r="G121" s="976"/>
      <c r="H121" s="976"/>
      <c r="I121" s="977"/>
      <c r="J121" s="952" t="s">
        <v>1595</v>
      </c>
      <c r="K121" s="954"/>
      <c r="L121" s="954"/>
      <c r="M121" s="954"/>
      <c r="N121" s="954"/>
      <c r="O121" s="953"/>
      <c r="P121" s="952" t="s">
        <v>1595</v>
      </c>
      <c r="Q121" s="954"/>
      <c r="R121" s="954"/>
      <c r="S121" s="954"/>
      <c r="T121" s="954"/>
      <c r="U121" s="954"/>
      <c r="V121" s="953"/>
      <c r="W121" s="952" t="s">
        <v>2437</v>
      </c>
      <c r="X121" s="954"/>
      <c r="Y121" s="954"/>
      <c r="Z121" s="954"/>
      <c r="AA121" s="954"/>
      <c r="AB121" s="953"/>
      <c r="AC121" s="952" t="s">
        <v>2438</v>
      </c>
      <c r="AD121" s="954"/>
      <c r="AE121" s="954"/>
      <c r="AF121" s="954"/>
      <c r="AG121" s="953"/>
    </row>
    <row r="122" spans="1:33" ht="11.65" customHeight="1" x14ac:dyDescent="0.25">
      <c r="A122" s="821"/>
      <c r="B122" s="821"/>
      <c r="C122" s="821"/>
      <c r="D122" s="821"/>
      <c r="E122" s="821"/>
      <c r="F122" s="821"/>
      <c r="G122" s="821"/>
      <c r="H122" s="821"/>
      <c r="I122" s="821"/>
      <c r="J122" s="821"/>
      <c r="K122" s="821"/>
      <c r="L122" s="821"/>
      <c r="M122" s="821"/>
      <c r="N122" s="821"/>
      <c r="O122" s="821"/>
      <c r="P122" s="821"/>
      <c r="Q122" s="821"/>
      <c r="R122" s="821"/>
      <c r="S122" s="821"/>
      <c r="T122" s="821"/>
      <c r="U122" s="821"/>
      <c r="V122" s="821"/>
      <c r="W122" s="821"/>
      <c r="X122" s="821"/>
      <c r="Y122" s="821"/>
      <c r="Z122" s="821"/>
      <c r="AA122" s="821"/>
      <c r="AB122" s="821"/>
      <c r="AC122" s="821"/>
      <c r="AD122" s="821"/>
      <c r="AE122" s="821"/>
      <c r="AF122" s="821"/>
      <c r="AG122" s="821"/>
    </row>
    <row r="123" spans="1:33" ht="16.7" customHeight="1" x14ac:dyDescent="0.25">
      <c r="A123" s="799" t="s">
        <v>1278</v>
      </c>
      <c r="B123" s="823"/>
      <c r="C123" s="823"/>
      <c r="D123" s="823"/>
      <c r="E123" s="823"/>
      <c r="F123" s="823"/>
      <c r="G123" s="823"/>
      <c r="H123" s="823"/>
      <c r="I123" s="823"/>
      <c r="J123" s="823"/>
      <c r="K123" s="823"/>
      <c r="L123" s="823"/>
      <c r="M123" s="823"/>
      <c r="N123" s="823"/>
      <c r="O123" s="823"/>
      <c r="P123" s="823"/>
      <c r="Q123" s="823"/>
      <c r="R123" s="823"/>
      <c r="S123" s="823"/>
      <c r="T123" s="823"/>
      <c r="U123" s="823"/>
      <c r="V123" s="823"/>
      <c r="W123" s="823"/>
      <c r="X123" s="823"/>
      <c r="Y123" s="823"/>
      <c r="Z123" s="823"/>
      <c r="AA123" s="823"/>
      <c r="AB123" s="823"/>
      <c r="AC123" s="823"/>
      <c r="AD123" s="823"/>
      <c r="AE123" s="823"/>
      <c r="AF123" s="823"/>
      <c r="AG123" s="800"/>
    </row>
    <row r="124" spans="1:33" ht="11.65" customHeight="1" x14ac:dyDescent="0.25">
      <c r="A124" s="964" t="s">
        <v>1279</v>
      </c>
      <c r="B124" s="965"/>
      <c r="C124" s="965"/>
      <c r="D124" s="965"/>
      <c r="E124" s="966"/>
      <c r="F124" s="909" t="s">
        <v>1201</v>
      </c>
      <c r="G124" s="970"/>
      <c r="H124" s="909" t="s">
        <v>359</v>
      </c>
      <c r="I124" s="973"/>
      <c r="J124" s="973"/>
      <c r="K124" s="970"/>
      <c r="L124" s="799" t="s">
        <v>187</v>
      </c>
      <c r="M124" s="823"/>
      <c r="N124" s="823"/>
      <c r="O124" s="823"/>
      <c r="P124" s="823"/>
      <c r="Q124" s="823"/>
      <c r="R124" s="800"/>
      <c r="S124" s="799" t="s">
        <v>189</v>
      </c>
      <c r="T124" s="823"/>
      <c r="U124" s="823"/>
      <c r="V124" s="823"/>
      <c r="W124" s="823"/>
      <c r="X124" s="823"/>
      <c r="Y124" s="823"/>
      <c r="Z124" s="800"/>
      <c r="AA124" s="799" t="s">
        <v>1202</v>
      </c>
      <c r="AB124" s="823"/>
      <c r="AC124" s="823"/>
      <c r="AD124" s="823"/>
      <c r="AE124" s="823"/>
      <c r="AF124" s="823"/>
      <c r="AG124" s="800"/>
    </row>
    <row r="125" spans="1:33" ht="17.45" customHeight="1" x14ac:dyDescent="0.25">
      <c r="A125" s="967"/>
      <c r="B125" s="968"/>
      <c r="C125" s="968"/>
      <c r="D125" s="968"/>
      <c r="E125" s="969"/>
      <c r="F125" s="971"/>
      <c r="G125" s="972"/>
      <c r="H125" s="971"/>
      <c r="I125" s="974"/>
      <c r="J125" s="974"/>
      <c r="K125" s="972"/>
      <c r="L125" s="909" t="s">
        <v>1203</v>
      </c>
      <c r="M125" s="911"/>
      <c r="N125" s="910"/>
      <c r="O125" s="909" t="s">
        <v>1204</v>
      </c>
      <c r="P125" s="911"/>
      <c r="Q125" s="911"/>
      <c r="R125" s="910"/>
      <c r="S125" s="909" t="s">
        <v>1205</v>
      </c>
      <c r="T125" s="911"/>
      <c r="U125" s="911"/>
      <c r="V125" s="911"/>
      <c r="W125" s="910"/>
      <c r="X125" s="909" t="s">
        <v>1206</v>
      </c>
      <c r="Y125" s="911"/>
      <c r="Z125" s="910"/>
      <c r="AA125" s="909" t="s">
        <v>1207</v>
      </c>
      <c r="AB125" s="911"/>
      <c r="AC125" s="911"/>
      <c r="AD125" s="910"/>
      <c r="AE125" s="909" t="s">
        <v>1208</v>
      </c>
      <c r="AF125" s="911"/>
      <c r="AG125" s="910"/>
    </row>
    <row r="126" spans="1:33" ht="16.7" customHeight="1" x14ac:dyDescent="0.25">
      <c r="A126" s="829" t="s">
        <v>1280</v>
      </c>
      <c r="B126" s="998"/>
      <c r="C126" s="998"/>
      <c r="D126" s="998"/>
      <c r="E126" s="830"/>
      <c r="F126" s="961" t="s">
        <v>1598</v>
      </c>
      <c r="G126" s="963"/>
      <c r="H126" s="961" t="s">
        <v>2439</v>
      </c>
      <c r="I126" s="962"/>
      <c r="J126" s="962"/>
      <c r="K126" s="963"/>
      <c r="L126" s="961" t="s">
        <v>2440</v>
      </c>
      <c r="M126" s="962"/>
      <c r="N126" s="963"/>
      <c r="O126" s="961" t="s">
        <v>2353</v>
      </c>
      <c r="P126" s="962"/>
      <c r="Q126" s="962"/>
      <c r="R126" s="963"/>
      <c r="S126" s="961" t="s">
        <v>2441</v>
      </c>
      <c r="T126" s="962"/>
      <c r="U126" s="962"/>
      <c r="V126" s="962"/>
      <c r="W126" s="963"/>
      <c r="X126" s="961" t="s">
        <v>2442</v>
      </c>
      <c r="Y126" s="962"/>
      <c r="Z126" s="963"/>
      <c r="AA126" s="961" t="s">
        <v>2443</v>
      </c>
      <c r="AB126" s="962"/>
      <c r="AC126" s="962"/>
      <c r="AD126" s="963"/>
      <c r="AE126" s="961" t="s">
        <v>2444</v>
      </c>
      <c r="AF126" s="962"/>
      <c r="AG126" s="963"/>
    </row>
    <row r="127" spans="1:33" ht="17.45" customHeight="1" x14ac:dyDescent="0.25">
      <c r="A127" s="837" t="s">
        <v>1210</v>
      </c>
      <c r="B127" s="999"/>
      <c r="C127" s="999"/>
      <c r="D127" s="999"/>
      <c r="E127" s="838"/>
      <c r="F127" s="955" t="s">
        <v>1599</v>
      </c>
      <c r="G127" s="957"/>
      <c r="H127" s="955" t="s">
        <v>2445</v>
      </c>
      <c r="I127" s="956"/>
      <c r="J127" s="956"/>
      <c r="K127" s="957"/>
      <c r="L127" s="955" t="s">
        <v>2440</v>
      </c>
      <c r="M127" s="956"/>
      <c r="N127" s="957"/>
      <c r="O127" s="955" t="s">
        <v>2446</v>
      </c>
      <c r="P127" s="956"/>
      <c r="Q127" s="956"/>
      <c r="R127" s="957"/>
      <c r="S127" s="955" t="s">
        <v>2441</v>
      </c>
      <c r="T127" s="956"/>
      <c r="U127" s="956"/>
      <c r="V127" s="956"/>
      <c r="W127" s="957"/>
      <c r="X127" s="955" t="s">
        <v>2447</v>
      </c>
      <c r="Y127" s="956"/>
      <c r="Z127" s="957"/>
      <c r="AA127" s="955" t="s">
        <v>2443</v>
      </c>
      <c r="AB127" s="956"/>
      <c r="AC127" s="956"/>
      <c r="AD127" s="957"/>
      <c r="AE127" s="955" t="s">
        <v>2448</v>
      </c>
      <c r="AF127" s="956"/>
      <c r="AG127" s="957"/>
    </row>
    <row r="128" spans="1:33" ht="16.7" customHeight="1" x14ac:dyDescent="0.25">
      <c r="A128" s="837" t="s">
        <v>446</v>
      </c>
      <c r="B128" s="999"/>
      <c r="C128" s="999"/>
      <c r="D128" s="999"/>
      <c r="E128" s="838"/>
      <c r="F128" s="955" t="s">
        <v>1600</v>
      </c>
      <c r="G128" s="957"/>
      <c r="H128" s="955" t="s">
        <v>2449</v>
      </c>
      <c r="I128" s="956"/>
      <c r="J128" s="956"/>
      <c r="K128" s="957"/>
      <c r="L128" s="955" t="s">
        <v>159</v>
      </c>
      <c r="M128" s="956"/>
      <c r="N128" s="957"/>
      <c r="O128" s="955" t="s">
        <v>159</v>
      </c>
      <c r="P128" s="956"/>
      <c r="Q128" s="956"/>
      <c r="R128" s="957"/>
      <c r="S128" s="955" t="s">
        <v>159</v>
      </c>
      <c r="T128" s="956"/>
      <c r="U128" s="956"/>
      <c r="V128" s="956"/>
      <c r="W128" s="957"/>
      <c r="X128" s="955" t="s">
        <v>159</v>
      </c>
      <c r="Y128" s="956"/>
      <c r="Z128" s="957"/>
      <c r="AA128" s="955" t="s">
        <v>159</v>
      </c>
      <c r="AB128" s="956"/>
      <c r="AC128" s="956"/>
      <c r="AD128" s="957"/>
      <c r="AE128" s="955" t="s">
        <v>159</v>
      </c>
      <c r="AF128" s="956"/>
      <c r="AG128" s="957"/>
    </row>
    <row r="129" spans="1:33" ht="11.65" customHeight="1" x14ac:dyDescent="0.25">
      <c r="A129" s="796" t="s">
        <v>2413</v>
      </c>
      <c r="B129" s="796"/>
      <c r="C129" s="796"/>
      <c r="D129" s="796"/>
      <c r="E129" s="796"/>
      <c r="F129" s="796"/>
      <c r="G129" s="796"/>
      <c r="H129" s="796"/>
      <c r="I129" s="796"/>
      <c r="J129" s="796"/>
      <c r="K129" s="796"/>
      <c r="L129" s="796"/>
      <c r="M129" s="796"/>
      <c r="N129" s="796"/>
      <c r="O129" s="796"/>
      <c r="P129" s="796"/>
      <c r="Q129" s="796"/>
      <c r="R129" s="796"/>
      <c r="S129" s="796"/>
      <c r="T129" s="796"/>
      <c r="U129" s="796"/>
      <c r="V129" s="796"/>
      <c r="W129" s="796"/>
      <c r="X129" s="796"/>
      <c r="Y129" s="796"/>
      <c r="Z129" s="796"/>
      <c r="AA129" s="796"/>
      <c r="AB129" s="796"/>
      <c r="AC129" s="796"/>
      <c r="AD129" s="796"/>
      <c r="AE129" s="796"/>
      <c r="AF129" s="796"/>
    </row>
    <row r="130" spans="1:33" ht="5.85" customHeight="1" x14ac:dyDescent="0.25"/>
    <row r="131" spans="1:33" ht="11.65" customHeight="1" x14ac:dyDescent="0.25">
      <c r="A131" s="797" t="s">
        <v>134</v>
      </c>
      <c r="B131" s="797"/>
      <c r="C131" s="797"/>
      <c r="D131" s="797"/>
      <c r="E131" s="797"/>
      <c r="F131" s="797"/>
      <c r="G131" s="797"/>
      <c r="AE131" s="798" t="s">
        <v>394</v>
      </c>
      <c r="AF131" s="798"/>
    </row>
    <row r="132" spans="1:33" ht="11.65" customHeight="1" x14ac:dyDescent="0.25">
      <c r="A132" s="797" t="s">
        <v>1</v>
      </c>
      <c r="B132" s="797"/>
      <c r="C132" s="797"/>
      <c r="D132" s="797"/>
      <c r="E132" s="797"/>
      <c r="F132" s="797"/>
      <c r="G132" s="797"/>
    </row>
    <row r="133" spans="1:33" ht="10.9" customHeight="1" x14ac:dyDescent="0.25">
      <c r="A133" s="839" t="s">
        <v>1182</v>
      </c>
      <c r="B133" s="839"/>
      <c r="C133" s="839"/>
      <c r="D133" s="839"/>
      <c r="E133" s="839"/>
      <c r="F133" s="839"/>
      <c r="G133" s="839"/>
    </row>
    <row r="134" spans="1:33" ht="11.65" customHeight="1" x14ac:dyDescent="0.25">
      <c r="A134" s="797" t="s">
        <v>219</v>
      </c>
      <c r="B134" s="797"/>
      <c r="C134" s="797"/>
      <c r="D134" s="797"/>
      <c r="E134" s="797"/>
      <c r="F134" s="797"/>
      <c r="G134" s="797"/>
    </row>
    <row r="135" spans="1:33" ht="11.65" customHeight="1" x14ac:dyDescent="0.25">
      <c r="A135" s="797" t="s">
        <v>2347</v>
      </c>
      <c r="B135" s="797"/>
      <c r="C135" s="797"/>
      <c r="D135" s="797"/>
      <c r="E135" s="797"/>
      <c r="F135" s="797"/>
      <c r="G135" s="797"/>
    </row>
    <row r="136" spans="1:33" ht="5.85" customHeight="1" x14ac:dyDescent="0.25"/>
    <row r="137" spans="1:33" ht="10.9" customHeight="1" x14ac:dyDescent="0.25">
      <c r="A137" s="902" t="s">
        <v>1183</v>
      </c>
      <c r="B137" s="902"/>
      <c r="C137" s="902"/>
      <c r="D137" s="902"/>
      <c r="E137" s="902"/>
      <c r="F137" s="902"/>
      <c r="G137" s="902"/>
      <c r="H137" s="479"/>
      <c r="I137" s="479"/>
      <c r="J137" s="479"/>
      <c r="K137" s="479"/>
      <c r="L137" s="479"/>
      <c r="M137" s="479"/>
      <c r="N137" s="479"/>
      <c r="O137" s="479"/>
      <c r="P137" s="479"/>
      <c r="Q137" s="479"/>
      <c r="R137" s="479"/>
      <c r="S137" s="479"/>
      <c r="T137" s="479"/>
      <c r="U137" s="479"/>
      <c r="V137" s="479"/>
      <c r="W137" s="479"/>
      <c r="X137" s="479"/>
      <c r="Y137" s="479"/>
      <c r="Z137" s="479"/>
      <c r="AA137" s="479"/>
      <c r="AB137" s="479"/>
      <c r="AC137" s="479"/>
      <c r="AD137" s="479"/>
      <c r="AE137" s="479"/>
      <c r="AF137" s="479"/>
      <c r="AG137" s="479"/>
    </row>
    <row r="138" spans="1:33" ht="17.45" customHeight="1" x14ac:dyDescent="0.25">
      <c r="A138" s="799" t="s">
        <v>1278</v>
      </c>
      <c r="B138" s="823"/>
      <c r="C138" s="823"/>
      <c r="D138" s="823"/>
      <c r="E138" s="823"/>
      <c r="F138" s="823"/>
      <c r="G138" s="823"/>
      <c r="H138" s="823"/>
      <c r="I138" s="823"/>
      <c r="J138" s="823"/>
      <c r="K138" s="823"/>
      <c r="L138" s="823"/>
      <c r="M138" s="823"/>
      <c r="N138" s="823"/>
      <c r="O138" s="823"/>
      <c r="P138" s="823"/>
      <c r="Q138" s="823"/>
      <c r="R138" s="823"/>
      <c r="S138" s="823"/>
      <c r="T138" s="823"/>
      <c r="U138" s="823"/>
      <c r="V138" s="823"/>
      <c r="W138" s="823"/>
      <c r="X138" s="823"/>
      <c r="Y138" s="823"/>
      <c r="Z138" s="823"/>
      <c r="AA138" s="823"/>
      <c r="AB138" s="823"/>
      <c r="AC138" s="823"/>
      <c r="AD138" s="823"/>
      <c r="AE138" s="823"/>
      <c r="AF138" s="823"/>
      <c r="AG138" s="800"/>
    </row>
    <row r="139" spans="1:33" ht="11.65" customHeight="1" x14ac:dyDescent="0.25">
      <c r="A139" s="964" t="s">
        <v>1279</v>
      </c>
      <c r="B139" s="965"/>
      <c r="C139" s="965"/>
      <c r="D139" s="965"/>
      <c r="E139" s="966"/>
      <c r="F139" s="909" t="s">
        <v>1201</v>
      </c>
      <c r="G139" s="970"/>
      <c r="H139" s="909" t="s">
        <v>359</v>
      </c>
      <c r="I139" s="973"/>
      <c r="J139" s="973"/>
      <c r="K139" s="970"/>
      <c r="L139" s="799" t="s">
        <v>187</v>
      </c>
      <c r="M139" s="823"/>
      <c r="N139" s="823"/>
      <c r="O139" s="823"/>
      <c r="P139" s="823"/>
      <c r="Q139" s="823"/>
      <c r="R139" s="800"/>
      <c r="S139" s="799" t="s">
        <v>189</v>
      </c>
      <c r="T139" s="823"/>
      <c r="U139" s="823"/>
      <c r="V139" s="823"/>
      <c r="W139" s="823"/>
      <c r="X139" s="823"/>
      <c r="Y139" s="823"/>
      <c r="Z139" s="800"/>
      <c r="AA139" s="799" t="s">
        <v>1202</v>
      </c>
      <c r="AB139" s="823"/>
      <c r="AC139" s="823"/>
      <c r="AD139" s="823"/>
      <c r="AE139" s="823"/>
      <c r="AF139" s="823"/>
      <c r="AG139" s="800"/>
    </row>
    <row r="140" spans="1:33" ht="16.7" customHeight="1" x14ac:dyDescent="0.25">
      <c r="A140" s="967"/>
      <c r="B140" s="968"/>
      <c r="C140" s="968"/>
      <c r="D140" s="968"/>
      <c r="E140" s="969"/>
      <c r="F140" s="971"/>
      <c r="G140" s="972"/>
      <c r="H140" s="971"/>
      <c r="I140" s="974"/>
      <c r="J140" s="974"/>
      <c r="K140" s="972"/>
      <c r="L140" s="909" t="s">
        <v>1203</v>
      </c>
      <c r="M140" s="911"/>
      <c r="N140" s="910"/>
      <c r="O140" s="909" t="s">
        <v>1204</v>
      </c>
      <c r="P140" s="911"/>
      <c r="Q140" s="911"/>
      <c r="R140" s="910"/>
      <c r="S140" s="909" t="s">
        <v>1205</v>
      </c>
      <c r="T140" s="911"/>
      <c r="U140" s="911"/>
      <c r="V140" s="911"/>
      <c r="W140" s="910"/>
      <c r="X140" s="909" t="s">
        <v>1206</v>
      </c>
      <c r="Y140" s="911"/>
      <c r="Z140" s="910"/>
      <c r="AA140" s="909" t="s">
        <v>1207</v>
      </c>
      <c r="AB140" s="911"/>
      <c r="AC140" s="911"/>
      <c r="AD140" s="910"/>
      <c r="AE140" s="909" t="s">
        <v>1208</v>
      </c>
      <c r="AF140" s="911"/>
      <c r="AG140" s="910"/>
    </row>
    <row r="141" spans="1:33" ht="17.45" customHeight="1" x14ac:dyDescent="0.25">
      <c r="A141" s="829" t="s">
        <v>1281</v>
      </c>
      <c r="B141" s="998"/>
      <c r="C141" s="998"/>
      <c r="D141" s="998"/>
      <c r="E141" s="830"/>
      <c r="F141" s="961" t="s">
        <v>1601</v>
      </c>
      <c r="G141" s="963"/>
      <c r="H141" s="961" t="s">
        <v>2450</v>
      </c>
      <c r="I141" s="962"/>
      <c r="J141" s="962"/>
      <c r="K141" s="963"/>
      <c r="L141" s="961" t="s">
        <v>2451</v>
      </c>
      <c r="M141" s="962"/>
      <c r="N141" s="963"/>
      <c r="O141" s="961" t="s">
        <v>2452</v>
      </c>
      <c r="P141" s="962"/>
      <c r="Q141" s="962"/>
      <c r="R141" s="963"/>
      <c r="S141" s="961" t="s">
        <v>2453</v>
      </c>
      <c r="T141" s="962"/>
      <c r="U141" s="962"/>
      <c r="V141" s="962"/>
      <c r="W141" s="963"/>
      <c r="X141" s="961" t="s">
        <v>2454</v>
      </c>
      <c r="Y141" s="962"/>
      <c r="Z141" s="963"/>
      <c r="AA141" s="961" t="s">
        <v>2455</v>
      </c>
      <c r="AB141" s="962"/>
      <c r="AC141" s="962"/>
      <c r="AD141" s="963"/>
      <c r="AE141" s="961" t="s">
        <v>2456</v>
      </c>
      <c r="AF141" s="962"/>
      <c r="AG141" s="963"/>
    </row>
    <row r="142" spans="1:33" ht="17.45" customHeight="1" x14ac:dyDescent="0.25">
      <c r="A142" s="837" t="s">
        <v>1210</v>
      </c>
      <c r="B142" s="999"/>
      <c r="C142" s="999"/>
      <c r="D142" s="999"/>
      <c r="E142" s="838"/>
      <c r="F142" s="955" t="s">
        <v>1602</v>
      </c>
      <c r="G142" s="957"/>
      <c r="H142" s="955" t="s">
        <v>2457</v>
      </c>
      <c r="I142" s="956"/>
      <c r="J142" s="956"/>
      <c r="K142" s="957"/>
      <c r="L142" s="955" t="s">
        <v>2451</v>
      </c>
      <c r="M142" s="956"/>
      <c r="N142" s="957"/>
      <c r="O142" s="955" t="s">
        <v>2458</v>
      </c>
      <c r="P142" s="956"/>
      <c r="Q142" s="956"/>
      <c r="R142" s="957"/>
      <c r="S142" s="955" t="s">
        <v>2453</v>
      </c>
      <c r="T142" s="956"/>
      <c r="U142" s="956"/>
      <c r="V142" s="956"/>
      <c r="W142" s="957"/>
      <c r="X142" s="955" t="s">
        <v>2459</v>
      </c>
      <c r="Y142" s="956"/>
      <c r="Z142" s="957"/>
      <c r="AA142" s="955" t="s">
        <v>2455</v>
      </c>
      <c r="AB142" s="956"/>
      <c r="AC142" s="956"/>
      <c r="AD142" s="957"/>
      <c r="AE142" s="955" t="s">
        <v>2460</v>
      </c>
      <c r="AF142" s="956"/>
      <c r="AG142" s="957"/>
    </row>
    <row r="143" spans="1:33" ht="16.7" customHeight="1" x14ac:dyDescent="0.25">
      <c r="A143" s="837" t="s">
        <v>446</v>
      </c>
      <c r="B143" s="999"/>
      <c r="C143" s="999"/>
      <c r="D143" s="999"/>
      <c r="E143" s="838"/>
      <c r="F143" s="955" t="s">
        <v>1603</v>
      </c>
      <c r="G143" s="957"/>
      <c r="H143" s="955" t="s">
        <v>1603</v>
      </c>
      <c r="I143" s="956"/>
      <c r="J143" s="956"/>
      <c r="K143" s="957"/>
      <c r="L143" s="955" t="s">
        <v>159</v>
      </c>
      <c r="M143" s="956"/>
      <c r="N143" s="957"/>
      <c r="O143" s="955" t="s">
        <v>159</v>
      </c>
      <c r="P143" s="956"/>
      <c r="Q143" s="956"/>
      <c r="R143" s="957"/>
      <c r="S143" s="955" t="s">
        <v>159</v>
      </c>
      <c r="T143" s="956"/>
      <c r="U143" s="956"/>
      <c r="V143" s="956"/>
      <c r="W143" s="957"/>
      <c r="X143" s="955" t="s">
        <v>159</v>
      </c>
      <c r="Y143" s="956"/>
      <c r="Z143" s="957"/>
      <c r="AA143" s="955" t="s">
        <v>159</v>
      </c>
      <c r="AB143" s="956"/>
      <c r="AC143" s="956"/>
      <c r="AD143" s="957"/>
      <c r="AE143" s="955" t="s">
        <v>159</v>
      </c>
      <c r="AF143" s="956"/>
      <c r="AG143" s="957"/>
    </row>
    <row r="144" spans="1:33" ht="17.45" customHeight="1" x14ac:dyDescent="0.25">
      <c r="A144" s="837" t="s">
        <v>1282</v>
      </c>
      <c r="B144" s="999"/>
      <c r="C144" s="999"/>
      <c r="D144" s="999"/>
      <c r="E144" s="838"/>
      <c r="F144" s="955" t="s">
        <v>1604</v>
      </c>
      <c r="G144" s="957"/>
      <c r="H144" s="955" t="s">
        <v>2461</v>
      </c>
      <c r="I144" s="956"/>
      <c r="J144" s="956"/>
      <c r="K144" s="957"/>
      <c r="L144" s="955" t="s">
        <v>2462</v>
      </c>
      <c r="M144" s="956"/>
      <c r="N144" s="957"/>
      <c r="O144" s="955" t="s">
        <v>2463</v>
      </c>
      <c r="P144" s="956"/>
      <c r="Q144" s="956"/>
      <c r="R144" s="957"/>
      <c r="S144" s="955" t="s">
        <v>2464</v>
      </c>
      <c r="T144" s="956"/>
      <c r="U144" s="956"/>
      <c r="V144" s="956"/>
      <c r="W144" s="957"/>
      <c r="X144" s="955" t="s">
        <v>2465</v>
      </c>
      <c r="Y144" s="956"/>
      <c r="Z144" s="957"/>
      <c r="AA144" s="955" t="s">
        <v>2466</v>
      </c>
      <c r="AB144" s="956"/>
      <c r="AC144" s="956"/>
      <c r="AD144" s="957"/>
      <c r="AE144" s="955" t="s">
        <v>2467</v>
      </c>
      <c r="AF144" s="956"/>
      <c r="AG144" s="957"/>
    </row>
    <row r="145" spans="1:33" ht="17.45" customHeight="1" x14ac:dyDescent="0.25">
      <c r="A145" s="837" t="s">
        <v>1210</v>
      </c>
      <c r="B145" s="999"/>
      <c r="C145" s="999"/>
      <c r="D145" s="999"/>
      <c r="E145" s="838"/>
      <c r="F145" s="955" t="s">
        <v>1605</v>
      </c>
      <c r="G145" s="957"/>
      <c r="H145" s="955" t="s">
        <v>2468</v>
      </c>
      <c r="I145" s="956"/>
      <c r="J145" s="956"/>
      <c r="K145" s="957"/>
      <c r="L145" s="955" t="s">
        <v>2462</v>
      </c>
      <c r="M145" s="956"/>
      <c r="N145" s="957"/>
      <c r="O145" s="955" t="s">
        <v>2463</v>
      </c>
      <c r="P145" s="956"/>
      <c r="Q145" s="956"/>
      <c r="R145" s="957"/>
      <c r="S145" s="955" t="s">
        <v>2464</v>
      </c>
      <c r="T145" s="956"/>
      <c r="U145" s="956"/>
      <c r="V145" s="956"/>
      <c r="W145" s="957"/>
      <c r="X145" s="955" t="s">
        <v>2465</v>
      </c>
      <c r="Y145" s="956"/>
      <c r="Z145" s="957"/>
      <c r="AA145" s="955" t="s">
        <v>2466</v>
      </c>
      <c r="AB145" s="956"/>
      <c r="AC145" s="956"/>
      <c r="AD145" s="957"/>
      <c r="AE145" s="955" t="s">
        <v>2467</v>
      </c>
      <c r="AF145" s="956"/>
      <c r="AG145" s="957"/>
    </row>
    <row r="146" spans="1:33" ht="16.7" customHeight="1" x14ac:dyDescent="0.25">
      <c r="A146" s="837" t="s">
        <v>446</v>
      </c>
      <c r="B146" s="999"/>
      <c r="C146" s="999"/>
      <c r="D146" s="999"/>
      <c r="E146" s="838"/>
      <c r="F146" s="955" t="s">
        <v>1283</v>
      </c>
      <c r="G146" s="957"/>
      <c r="H146" s="955" t="s">
        <v>1283</v>
      </c>
      <c r="I146" s="956"/>
      <c r="J146" s="956"/>
      <c r="K146" s="957"/>
      <c r="L146" s="955" t="s">
        <v>159</v>
      </c>
      <c r="M146" s="956"/>
      <c r="N146" s="957"/>
      <c r="O146" s="955" t="s">
        <v>159</v>
      </c>
      <c r="P146" s="956"/>
      <c r="Q146" s="956"/>
      <c r="R146" s="957"/>
      <c r="S146" s="955" t="s">
        <v>159</v>
      </c>
      <c r="T146" s="956"/>
      <c r="U146" s="956"/>
      <c r="V146" s="956"/>
      <c r="W146" s="957"/>
      <c r="X146" s="955" t="s">
        <v>159</v>
      </c>
      <c r="Y146" s="956"/>
      <c r="Z146" s="957"/>
      <c r="AA146" s="955" t="s">
        <v>159</v>
      </c>
      <c r="AB146" s="956"/>
      <c r="AC146" s="956"/>
      <c r="AD146" s="957"/>
      <c r="AE146" s="955" t="s">
        <v>159</v>
      </c>
      <c r="AF146" s="956"/>
      <c r="AG146" s="957"/>
    </row>
    <row r="147" spans="1:33" ht="17.45" customHeight="1" x14ac:dyDescent="0.25">
      <c r="A147" s="837" t="s">
        <v>1284</v>
      </c>
      <c r="B147" s="999"/>
      <c r="C147" s="999"/>
      <c r="D147" s="999"/>
      <c r="E147" s="838"/>
      <c r="F147" s="955" t="s">
        <v>1606</v>
      </c>
      <c r="G147" s="957"/>
      <c r="H147" s="955" t="s">
        <v>2469</v>
      </c>
      <c r="I147" s="956"/>
      <c r="J147" s="956"/>
      <c r="K147" s="957"/>
      <c r="L147" s="955" t="s">
        <v>2470</v>
      </c>
      <c r="M147" s="956"/>
      <c r="N147" s="957"/>
      <c r="O147" s="955" t="s">
        <v>2471</v>
      </c>
      <c r="P147" s="956"/>
      <c r="Q147" s="956"/>
      <c r="R147" s="957"/>
      <c r="S147" s="955" t="s">
        <v>2472</v>
      </c>
      <c r="T147" s="956"/>
      <c r="U147" s="956"/>
      <c r="V147" s="956"/>
      <c r="W147" s="957"/>
      <c r="X147" s="955" t="s">
        <v>2473</v>
      </c>
      <c r="Y147" s="956"/>
      <c r="Z147" s="957"/>
      <c r="AA147" s="955" t="s">
        <v>2474</v>
      </c>
      <c r="AB147" s="956"/>
      <c r="AC147" s="956"/>
      <c r="AD147" s="957"/>
      <c r="AE147" s="955" t="s">
        <v>2475</v>
      </c>
      <c r="AF147" s="956"/>
      <c r="AG147" s="957"/>
    </row>
    <row r="148" spans="1:33" ht="16.7" customHeight="1" x14ac:dyDescent="0.25">
      <c r="A148" s="837" t="s">
        <v>1210</v>
      </c>
      <c r="B148" s="999"/>
      <c r="C148" s="999"/>
      <c r="D148" s="999"/>
      <c r="E148" s="838"/>
      <c r="F148" s="955" t="s">
        <v>1607</v>
      </c>
      <c r="G148" s="957"/>
      <c r="H148" s="955" t="s">
        <v>2476</v>
      </c>
      <c r="I148" s="956"/>
      <c r="J148" s="956"/>
      <c r="K148" s="957"/>
      <c r="L148" s="955" t="s">
        <v>2477</v>
      </c>
      <c r="M148" s="956"/>
      <c r="N148" s="957"/>
      <c r="O148" s="955" t="s">
        <v>2478</v>
      </c>
      <c r="P148" s="956"/>
      <c r="Q148" s="956"/>
      <c r="R148" s="957"/>
      <c r="S148" s="955" t="s">
        <v>2479</v>
      </c>
      <c r="T148" s="956"/>
      <c r="U148" s="956"/>
      <c r="V148" s="956"/>
      <c r="W148" s="957"/>
      <c r="X148" s="955" t="s">
        <v>2480</v>
      </c>
      <c r="Y148" s="956"/>
      <c r="Z148" s="957"/>
      <c r="AA148" s="955" t="s">
        <v>2481</v>
      </c>
      <c r="AB148" s="956"/>
      <c r="AC148" s="956"/>
      <c r="AD148" s="957"/>
      <c r="AE148" s="955" t="s">
        <v>2482</v>
      </c>
      <c r="AF148" s="956"/>
      <c r="AG148" s="957"/>
    </row>
    <row r="149" spans="1:33" ht="17.45" customHeight="1" x14ac:dyDescent="0.25">
      <c r="A149" s="837" t="s">
        <v>446</v>
      </c>
      <c r="B149" s="999"/>
      <c r="C149" s="999"/>
      <c r="D149" s="999"/>
      <c r="E149" s="838"/>
      <c r="F149" s="955" t="s">
        <v>1438</v>
      </c>
      <c r="G149" s="957"/>
      <c r="H149" s="955" t="s">
        <v>1698</v>
      </c>
      <c r="I149" s="956"/>
      <c r="J149" s="956"/>
      <c r="K149" s="957"/>
      <c r="L149" s="955" t="s">
        <v>2483</v>
      </c>
      <c r="M149" s="956"/>
      <c r="N149" s="957"/>
      <c r="O149" s="955" t="s">
        <v>2484</v>
      </c>
      <c r="P149" s="956"/>
      <c r="Q149" s="956"/>
      <c r="R149" s="957"/>
      <c r="S149" s="955" t="s">
        <v>2483</v>
      </c>
      <c r="T149" s="956"/>
      <c r="U149" s="956"/>
      <c r="V149" s="956"/>
      <c r="W149" s="957"/>
      <c r="X149" s="955" t="s">
        <v>2484</v>
      </c>
      <c r="Y149" s="956"/>
      <c r="Z149" s="957"/>
      <c r="AA149" s="955" t="s">
        <v>2485</v>
      </c>
      <c r="AB149" s="956"/>
      <c r="AC149" s="956"/>
      <c r="AD149" s="957"/>
      <c r="AE149" s="955" t="s">
        <v>2486</v>
      </c>
      <c r="AF149" s="956"/>
      <c r="AG149" s="957"/>
    </row>
    <row r="150" spans="1:33" ht="17.45" customHeight="1" x14ac:dyDescent="0.25">
      <c r="A150" s="837" t="s">
        <v>1285</v>
      </c>
      <c r="B150" s="999"/>
      <c r="C150" s="999"/>
      <c r="D150" s="999"/>
      <c r="E150" s="838"/>
      <c r="F150" s="955" t="s">
        <v>1608</v>
      </c>
      <c r="G150" s="957"/>
      <c r="H150" s="955" t="s">
        <v>2487</v>
      </c>
      <c r="I150" s="956"/>
      <c r="J150" s="956"/>
      <c r="K150" s="957"/>
      <c r="L150" s="955" t="s">
        <v>2488</v>
      </c>
      <c r="M150" s="956"/>
      <c r="N150" s="957"/>
      <c r="O150" s="955" t="s">
        <v>2489</v>
      </c>
      <c r="P150" s="956"/>
      <c r="Q150" s="956"/>
      <c r="R150" s="957"/>
      <c r="S150" s="955" t="s">
        <v>2490</v>
      </c>
      <c r="T150" s="956"/>
      <c r="U150" s="956"/>
      <c r="V150" s="956"/>
      <c r="W150" s="957"/>
      <c r="X150" s="955" t="s">
        <v>2491</v>
      </c>
      <c r="Y150" s="956"/>
      <c r="Z150" s="957"/>
      <c r="AA150" s="955" t="s">
        <v>2490</v>
      </c>
      <c r="AB150" s="956"/>
      <c r="AC150" s="956"/>
      <c r="AD150" s="957"/>
      <c r="AE150" s="955" t="s">
        <v>2491</v>
      </c>
      <c r="AF150" s="956"/>
      <c r="AG150" s="957"/>
    </row>
    <row r="151" spans="1:33" ht="16.7" customHeight="1" x14ac:dyDescent="0.25">
      <c r="A151" s="837" t="s">
        <v>1210</v>
      </c>
      <c r="B151" s="999"/>
      <c r="C151" s="999"/>
      <c r="D151" s="999"/>
      <c r="E151" s="838"/>
      <c r="F151" s="955" t="s">
        <v>1609</v>
      </c>
      <c r="G151" s="957"/>
      <c r="H151" s="955" t="s">
        <v>2492</v>
      </c>
      <c r="I151" s="956"/>
      <c r="J151" s="956"/>
      <c r="K151" s="957"/>
      <c r="L151" s="955" t="s">
        <v>2488</v>
      </c>
      <c r="M151" s="956"/>
      <c r="N151" s="957"/>
      <c r="O151" s="955" t="s">
        <v>2493</v>
      </c>
      <c r="P151" s="956"/>
      <c r="Q151" s="956"/>
      <c r="R151" s="957"/>
      <c r="S151" s="955" t="s">
        <v>2490</v>
      </c>
      <c r="T151" s="956"/>
      <c r="U151" s="956"/>
      <c r="V151" s="956"/>
      <c r="W151" s="957"/>
      <c r="X151" s="955" t="s">
        <v>2494</v>
      </c>
      <c r="Y151" s="956"/>
      <c r="Z151" s="957"/>
      <c r="AA151" s="955" t="s">
        <v>2490</v>
      </c>
      <c r="AB151" s="956"/>
      <c r="AC151" s="956"/>
      <c r="AD151" s="957"/>
      <c r="AE151" s="955" t="s">
        <v>2494</v>
      </c>
      <c r="AF151" s="956"/>
      <c r="AG151" s="957"/>
    </row>
    <row r="152" spans="1:33" ht="17.45" customHeight="1" x14ac:dyDescent="0.25">
      <c r="A152" s="837" t="s">
        <v>446</v>
      </c>
      <c r="B152" s="999"/>
      <c r="C152" s="999"/>
      <c r="D152" s="999"/>
      <c r="E152" s="838"/>
      <c r="F152" s="955" t="s">
        <v>1570</v>
      </c>
      <c r="G152" s="957"/>
      <c r="H152" s="955" t="s">
        <v>2495</v>
      </c>
      <c r="I152" s="956"/>
      <c r="J152" s="956"/>
      <c r="K152" s="957"/>
      <c r="L152" s="955" t="s">
        <v>159</v>
      </c>
      <c r="M152" s="956"/>
      <c r="N152" s="957"/>
      <c r="O152" s="955" t="s">
        <v>159</v>
      </c>
      <c r="P152" s="956"/>
      <c r="Q152" s="956"/>
      <c r="R152" s="957"/>
      <c r="S152" s="955" t="s">
        <v>159</v>
      </c>
      <c r="T152" s="956"/>
      <c r="U152" s="956"/>
      <c r="V152" s="956"/>
      <c r="W152" s="957"/>
      <c r="X152" s="955" t="s">
        <v>159</v>
      </c>
      <c r="Y152" s="956"/>
      <c r="Z152" s="957"/>
      <c r="AA152" s="955" t="s">
        <v>159</v>
      </c>
      <c r="AB152" s="956"/>
      <c r="AC152" s="956"/>
      <c r="AD152" s="957"/>
      <c r="AE152" s="955" t="s">
        <v>159</v>
      </c>
      <c r="AF152" s="956"/>
      <c r="AG152" s="957"/>
    </row>
    <row r="153" spans="1:33" ht="17.45" customHeight="1" x14ac:dyDescent="0.25">
      <c r="A153" s="837" t="s">
        <v>1286</v>
      </c>
      <c r="B153" s="999"/>
      <c r="C153" s="999"/>
      <c r="D153" s="999"/>
      <c r="E153" s="838"/>
      <c r="F153" s="955" t="s">
        <v>159</v>
      </c>
      <c r="G153" s="957"/>
      <c r="H153" s="955" t="s">
        <v>159</v>
      </c>
      <c r="I153" s="956"/>
      <c r="J153" s="956"/>
      <c r="K153" s="957"/>
      <c r="L153" s="955" t="s">
        <v>159</v>
      </c>
      <c r="M153" s="956"/>
      <c r="N153" s="957"/>
      <c r="O153" s="955" t="s">
        <v>159</v>
      </c>
      <c r="P153" s="956"/>
      <c r="Q153" s="956"/>
      <c r="R153" s="957"/>
      <c r="S153" s="955" t="s">
        <v>159</v>
      </c>
      <c r="T153" s="956"/>
      <c r="U153" s="956"/>
      <c r="V153" s="956"/>
      <c r="W153" s="957"/>
      <c r="X153" s="955" t="s">
        <v>159</v>
      </c>
      <c r="Y153" s="956"/>
      <c r="Z153" s="957"/>
      <c r="AA153" s="955" t="s">
        <v>159</v>
      </c>
      <c r="AB153" s="956"/>
      <c r="AC153" s="956"/>
      <c r="AD153" s="957"/>
      <c r="AE153" s="955" t="s">
        <v>159</v>
      </c>
      <c r="AF153" s="956"/>
      <c r="AG153" s="957"/>
    </row>
    <row r="154" spans="1:33" ht="16.7" customHeight="1" x14ac:dyDescent="0.25">
      <c r="A154" s="837" t="s">
        <v>1210</v>
      </c>
      <c r="B154" s="999"/>
      <c r="C154" s="999"/>
      <c r="D154" s="999"/>
      <c r="E154" s="838"/>
      <c r="F154" s="955" t="s">
        <v>159</v>
      </c>
      <c r="G154" s="957"/>
      <c r="H154" s="955" t="s">
        <v>159</v>
      </c>
      <c r="I154" s="956"/>
      <c r="J154" s="956"/>
      <c r="K154" s="957"/>
      <c r="L154" s="955" t="s">
        <v>159</v>
      </c>
      <c r="M154" s="956"/>
      <c r="N154" s="957"/>
      <c r="O154" s="955" t="s">
        <v>159</v>
      </c>
      <c r="P154" s="956"/>
      <c r="Q154" s="956"/>
      <c r="R154" s="957"/>
      <c r="S154" s="955" t="s">
        <v>159</v>
      </c>
      <c r="T154" s="956"/>
      <c r="U154" s="956"/>
      <c r="V154" s="956"/>
      <c r="W154" s="957"/>
      <c r="X154" s="955" t="s">
        <v>159</v>
      </c>
      <c r="Y154" s="956"/>
      <c r="Z154" s="957"/>
      <c r="AA154" s="955" t="s">
        <v>159</v>
      </c>
      <c r="AB154" s="956"/>
      <c r="AC154" s="956"/>
      <c r="AD154" s="957"/>
      <c r="AE154" s="955" t="s">
        <v>159</v>
      </c>
      <c r="AF154" s="956"/>
      <c r="AG154" s="957"/>
    </row>
    <row r="155" spans="1:33" ht="17.45" customHeight="1" x14ac:dyDescent="0.25">
      <c r="A155" s="837" t="s">
        <v>446</v>
      </c>
      <c r="B155" s="999"/>
      <c r="C155" s="999"/>
      <c r="D155" s="999"/>
      <c r="E155" s="838"/>
      <c r="F155" s="955" t="s">
        <v>159</v>
      </c>
      <c r="G155" s="957"/>
      <c r="H155" s="955" t="s">
        <v>159</v>
      </c>
      <c r="I155" s="956"/>
      <c r="J155" s="956"/>
      <c r="K155" s="957"/>
      <c r="L155" s="955" t="s">
        <v>159</v>
      </c>
      <c r="M155" s="956"/>
      <c r="N155" s="957"/>
      <c r="O155" s="955" t="s">
        <v>159</v>
      </c>
      <c r="P155" s="956"/>
      <c r="Q155" s="956"/>
      <c r="R155" s="957"/>
      <c r="S155" s="955" t="s">
        <v>159</v>
      </c>
      <c r="T155" s="956"/>
      <c r="U155" s="956"/>
      <c r="V155" s="956"/>
      <c r="W155" s="957"/>
      <c r="X155" s="955" t="s">
        <v>159</v>
      </c>
      <c r="Y155" s="956"/>
      <c r="Z155" s="957"/>
      <c r="AA155" s="955" t="s">
        <v>159</v>
      </c>
      <c r="AB155" s="956"/>
      <c r="AC155" s="956"/>
      <c r="AD155" s="957"/>
      <c r="AE155" s="955" t="s">
        <v>159</v>
      </c>
      <c r="AF155" s="956"/>
      <c r="AG155" s="957"/>
    </row>
    <row r="156" spans="1:33" ht="16.7" customHeight="1" x14ac:dyDescent="0.25">
      <c r="A156" s="837" t="s">
        <v>1287</v>
      </c>
      <c r="B156" s="999"/>
      <c r="C156" s="999"/>
      <c r="D156" s="999"/>
      <c r="E156" s="838"/>
      <c r="F156" s="955" t="s">
        <v>1610</v>
      </c>
      <c r="G156" s="957"/>
      <c r="H156" s="955" t="s">
        <v>2496</v>
      </c>
      <c r="I156" s="956"/>
      <c r="J156" s="956"/>
      <c r="K156" s="957"/>
      <c r="L156" s="955" t="s">
        <v>2497</v>
      </c>
      <c r="M156" s="956"/>
      <c r="N156" s="957"/>
      <c r="O156" s="955" t="s">
        <v>2498</v>
      </c>
      <c r="P156" s="956"/>
      <c r="Q156" s="956"/>
      <c r="R156" s="957"/>
      <c r="S156" s="955" t="s">
        <v>159</v>
      </c>
      <c r="T156" s="956"/>
      <c r="U156" s="956"/>
      <c r="V156" s="956"/>
      <c r="W156" s="957"/>
      <c r="X156" s="955" t="s">
        <v>159</v>
      </c>
      <c r="Y156" s="956"/>
      <c r="Z156" s="957"/>
      <c r="AA156" s="955" t="s">
        <v>159</v>
      </c>
      <c r="AB156" s="956"/>
      <c r="AC156" s="956"/>
      <c r="AD156" s="957"/>
      <c r="AE156" s="955" t="s">
        <v>159</v>
      </c>
      <c r="AF156" s="956"/>
      <c r="AG156" s="957"/>
    </row>
    <row r="157" spans="1:33" ht="17.45" customHeight="1" x14ac:dyDescent="0.25">
      <c r="A157" s="837" t="s">
        <v>1210</v>
      </c>
      <c r="B157" s="999"/>
      <c r="C157" s="999"/>
      <c r="D157" s="999"/>
      <c r="E157" s="838"/>
      <c r="F157" s="955" t="s">
        <v>1611</v>
      </c>
      <c r="G157" s="957"/>
      <c r="H157" s="955" t="s">
        <v>1611</v>
      </c>
      <c r="I157" s="956"/>
      <c r="J157" s="956"/>
      <c r="K157" s="957"/>
      <c r="L157" s="955" t="s">
        <v>159</v>
      </c>
      <c r="M157" s="956"/>
      <c r="N157" s="957"/>
      <c r="O157" s="955" t="s">
        <v>159</v>
      </c>
      <c r="P157" s="956"/>
      <c r="Q157" s="956"/>
      <c r="R157" s="957"/>
      <c r="S157" s="955" t="s">
        <v>159</v>
      </c>
      <c r="T157" s="956"/>
      <c r="U157" s="956"/>
      <c r="V157" s="956"/>
      <c r="W157" s="957"/>
      <c r="X157" s="955" t="s">
        <v>159</v>
      </c>
      <c r="Y157" s="956"/>
      <c r="Z157" s="957"/>
      <c r="AA157" s="955" t="s">
        <v>159</v>
      </c>
      <c r="AB157" s="956"/>
      <c r="AC157" s="956"/>
      <c r="AD157" s="957"/>
      <c r="AE157" s="955" t="s">
        <v>159</v>
      </c>
      <c r="AF157" s="956"/>
      <c r="AG157" s="957"/>
    </row>
    <row r="158" spans="1:33" ht="17.45" customHeight="1" x14ac:dyDescent="0.25">
      <c r="A158" s="812" t="s">
        <v>446</v>
      </c>
      <c r="B158" s="1024"/>
      <c r="C158" s="1024"/>
      <c r="D158" s="1024"/>
      <c r="E158" s="813"/>
      <c r="F158" s="958" t="s">
        <v>1612</v>
      </c>
      <c r="G158" s="960"/>
      <c r="H158" s="958" t="s">
        <v>2499</v>
      </c>
      <c r="I158" s="959"/>
      <c r="J158" s="959"/>
      <c r="K158" s="960"/>
      <c r="L158" s="958" t="s">
        <v>2497</v>
      </c>
      <c r="M158" s="959"/>
      <c r="N158" s="960"/>
      <c r="O158" s="958" t="s">
        <v>2500</v>
      </c>
      <c r="P158" s="959"/>
      <c r="Q158" s="959"/>
      <c r="R158" s="960"/>
      <c r="S158" s="958" t="s">
        <v>159</v>
      </c>
      <c r="T158" s="959"/>
      <c r="U158" s="959"/>
      <c r="V158" s="959"/>
      <c r="W158" s="960"/>
      <c r="X158" s="958" t="s">
        <v>159</v>
      </c>
      <c r="Y158" s="959"/>
      <c r="Z158" s="960"/>
      <c r="AA158" s="958" t="s">
        <v>159</v>
      </c>
      <c r="AB158" s="959"/>
      <c r="AC158" s="959"/>
      <c r="AD158" s="960"/>
      <c r="AE158" s="958" t="s">
        <v>159</v>
      </c>
      <c r="AF158" s="959"/>
      <c r="AG158" s="960"/>
    </row>
    <row r="159" spans="1:33" ht="16.7" customHeight="1" x14ac:dyDescent="0.25">
      <c r="A159" s="949" t="s">
        <v>1288</v>
      </c>
      <c r="B159" s="950"/>
      <c r="C159" s="950"/>
      <c r="D159" s="950"/>
      <c r="E159" s="951"/>
      <c r="F159" s="945" t="s">
        <v>1613</v>
      </c>
      <c r="G159" s="947"/>
      <c r="H159" s="945" t="s">
        <v>2501</v>
      </c>
      <c r="I159" s="946"/>
      <c r="J159" s="946"/>
      <c r="K159" s="947"/>
      <c r="L159" s="945" t="s">
        <v>2502</v>
      </c>
      <c r="M159" s="946"/>
      <c r="N159" s="947"/>
      <c r="O159" s="945" t="s">
        <v>2503</v>
      </c>
      <c r="P159" s="946"/>
      <c r="Q159" s="946"/>
      <c r="R159" s="947"/>
      <c r="S159" s="945" t="s">
        <v>2504</v>
      </c>
      <c r="T159" s="946"/>
      <c r="U159" s="946"/>
      <c r="V159" s="946"/>
      <c r="W159" s="947"/>
      <c r="X159" s="945" t="s">
        <v>2505</v>
      </c>
      <c r="Y159" s="946"/>
      <c r="Z159" s="947"/>
      <c r="AA159" s="945" t="s">
        <v>2506</v>
      </c>
      <c r="AB159" s="946"/>
      <c r="AC159" s="946"/>
      <c r="AD159" s="947"/>
      <c r="AE159" s="945" t="s">
        <v>2507</v>
      </c>
      <c r="AF159" s="946"/>
      <c r="AG159" s="947"/>
    </row>
    <row r="160" spans="1:33" ht="11.65" customHeight="1" x14ac:dyDescent="0.25">
      <c r="A160" s="821"/>
      <c r="B160" s="821"/>
      <c r="C160" s="821"/>
      <c r="D160" s="821"/>
      <c r="E160" s="821"/>
      <c r="F160" s="821"/>
      <c r="G160" s="821"/>
      <c r="H160" s="821"/>
      <c r="I160" s="821"/>
      <c r="J160" s="821"/>
      <c r="K160" s="821"/>
      <c r="L160" s="821"/>
      <c r="M160" s="821"/>
      <c r="N160" s="821"/>
      <c r="O160" s="821"/>
      <c r="P160" s="821"/>
      <c r="Q160" s="821"/>
      <c r="R160" s="821"/>
      <c r="S160" s="821"/>
      <c r="T160" s="821"/>
      <c r="U160" s="821"/>
      <c r="V160" s="821"/>
      <c r="W160" s="821"/>
      <c r="X160" s="821"/>
      <c r="Y160" s="821"/>
      <c r="Z160" s="821"/>
      <c r="AA160" s="821"/>
      <c r="AB160" s="821"/>
      <c r="AC160" s="821"/>
      <c r="AD160" s="821"/>
      <c r="AE160" s="821"/>
      <c r="AF160" s="821"/>
      <c r="AG160" s="821"/>
    </row>
    <row r="161" spans="1:33" ht="11.65" customHeight="1" x14ac:dyDescent="0.25">
      <c r="A161" s="964" t="s">
        <v>1289</v>
      </c>
      <c r="B161" s="965"/>
      <c r="C161" s="965"/>
      <c r="D161" s="965"/>
      <c r="E161" s="966"/>
      <c r="F161" s="909" t="s">
        <v>1201</v>
      </c>
      <c r="G161" s="970"/>
      <c r="H161" s="909" t="s">
        <v>359</v>
      </c>
      <c r="I161" s="973"/>
      <c r="J161" s="973"/>
      <c r="K161" s="970"/>
      <c r="L161" s="799" t="s">
        <v>187</v>
      </c>
      <c r="M161" s="823"/>
      <c r="N161" s="823"/>
      <c r="O161" s="823"/>
      <c r="P161" s="823"/>
      <c r="Q161" s="823"/>
      <c r="R161" s="800"/>
      <c r="S161" s="799" t="s">
        <v>189</v>
      </c>
      <c r="T161" s="823"/>
      <c r="U161" s="823"/>
      <c r="V161" s="823"/>
      <c r="W161" s="823"/>
      <c r="X161" s="823"/>
      <c r="Y161" s="823"/>
      <c r="Z161" s="800"/>
      <c r="AA161" s="799" t="s">
        <v>1202</v>
      </c>
      <c r="AB161" s="823"/>
      <c r="AC161" s="823"/>
      <c r="AD161" s="823"/>
      <c r="AE161" s="823"/>
      <c r="AF161" s="823"/>
      <c r="AG161" s="800"/>
    </row>
    <row r="162" spans="1:33" ht="16.7" customHeight="1" x14ac:dyDescent="0.25">
      <c r="A162" s="967"/>
      <c r="B162" s="968"/>
      <c r="C162" s="968"/>
      <c r="D162" s="968"/>
      <c r="E162" s="969"/>
      <c r="F162" s="971"/>
      <c r="G162" s="972"/>
      <c r="H162" s="971"/>
      <c r="I162" s="974"/>
      <c r="J162" s="974"/>
      <c r="K162" s="972"/>
      <c r="L162" s="909" t="s">
        <v>1203</v>
      </c>
      <c r="M162" s="911"/>
      <c r="N162" s="910"/>
      <c r="O162" s="909" t="s">
        <v>1204</v>
      </c>
      <c r="P162" s="911"/>
      <c r="Q162" s="911"/>
      <c r="R162" s="910"/>
      <c r="S162" s="909" t="s">
        <v>1205</v>
      </c>
      <c r="T162" s="911"/>
      <c r="U162" s="911"/>
      <c r="V162" s="911"/>
      <c r="W162" s="910"/>
      <c r="X162" s="909" t="s">
        <v>1206</v>
      </c>
      <c r="Y162" s="911"/>
      <c r="Z162" s="910"/>
      <c r="AA162" s="909" t="s">
        <v>1207</v>
      </c>
      <c r="AB162" s="911"/>
      <c r="AC162" s="911"/>
      <c r="AD162" s="910"/>
      <c r="AE162" s="909" t="s">
        <v>1208</v>
      </c>
      <c r="AF162" s="911"/>
      <c r="AG162" s="910"/>
    </row>
    <row r="163" spans="1:33" ht="17.45" customHeight="1" x14ac:dyDescent="0.25">
      <c r="A163" s="829" t="s">
        <v>1290</v>
      </c>
      <c r="B163" s="998"/>
      <c r="C163" s="998"/>
      <c r="D163" s="998"/>
      <c r="E163" s="830"/>
      <c r="F163" s="831" t="s">
        <v>1614</v>
      </c>
      <c r="G163" s="804"/>
      <c r="H163" s="831" t="s">
        <v>2508</v>
      </c>
      <c r="I163" s="805"/>
      <c r="J163" s="805"/>
      <c r="K163" s="804"/>
      <c r="L163" s="961" t="s">
        <v>2509</v>
      </c>
      <c r="M163" s="962"/>
      <c r="N163" s="963"/>
      <c r="O163" s="961" t="s">
        <v>2510</v>
      </c>
      <c r="P163" s="962"/>
      <c r="Q163" s="962"/>
      <c r="R163" s="963"/>
      <c r="S163" s="961" t="s">
        <v>2511</v>
      </c>
      <c r="T163" s="962"/>
      <c r="U163" s="962"/>
      <c r="V163" s="962"/>
      <c r="W163" s="963"/>
      <c r="X163" s="961" t="s">
        <v>2512</v>
      </c>
      <c r="Y163" s="962"/>
      <c r="Z163" s="963"/>
      <c r="AA163" s="961" t="s">
        <v>2513</v>
      </c>
      <c r="AB163" s="962"/>
      <c r="AC163" s="962"/>
      <c r="AD163" s="963"/>
      <c r="AE163" s="961" t="s">
        <v>2514</v>
      </c>
      <c r="AF163" s="962"/>
      <c r="AG163" s="963"/>
    </row>
    <row r="164" spans="1:33" ht="17.45" customHeight="1" x14ac:dyDescent="0.25">
      <c r="A164" s="837" t="s">
        <v>1291</v>
      </c>
      <c r="B164" s="999"/>
      <c r="C164" s="999"/>
      <c r="D164" s="999"/>
      <c r="E164" s="838"/>
      <c r="F164" s="806" t="s">
        <v>2515</v>
      </c>
      <c r="G164" s="808"/>
      <c r="H164" s="806" t="s">
        <v>2516</v>
      </c>
      <c r="I164" s="807"/>
      <c r="J164" s="807"/>
      <c r="K164" s="808"/>
      <c r="L164" s="955" t="s">
        <v>2517</v>
      </c>
      <c r="M164" s="956"/>
      <c r="N164" s="957"/>
      <c r="O164" s="955" t="s">
        <v>2518</v>
      </c>
      <c r="P164" s="956"/>
      <c r="Q164" s="956"/>
      <c r="R164" s="957"/>
      <c r="S164" s="955" t="s">
        <v>2519</v>
      </c>
      <c r="T164" s="956"/>
      <c r="U164" s="956"/>
      <c r="V164" s="956"/>
      <c r="W164" s="957"/>
      <c r="X164" s="955" t="s">
        <v>2520</v>
      </c>
      <c r="Y164" s="956"/>
      <c r="Z164" s="957"/>
      <c r="AA164" s="955" t="s">
        <v>2521</v>
      </c>
      <c r="AB164" s="956"/>
      <c r="AC164" s="956"/>
      <c r="AD164" s="957"/>
      <c r="AE164" s="955" t="s">
        <v>2522</v>
      </c>
      <c r="AF164" s="956"/>
      <c r="AG164" s="957"/>
    </row>
    <row r="165" spans="1:33" ht="5.85" customHeight="1" x14ac:dyDescent="0.25"/>
    <row r="166" spans="1:33" ht="10.9" customHeight="1" x14ac:dyDescent="0.25">
      <c r="A166" s="796" t="s">
        <v>2413</v>
      </c>
      <c r="B166" s="796"/>
      <c r="C166" s="796"/>
      <c r="D166" s="796"/>
      <c r="E166" s="796"/>
      <c r="F166" s="796"/>
      <c r="G166" s="796"/>
      <c r="H166" s="796"/>
      <c r="I166" s="796"/>
      <c r="J166" s="796"/>
      <c r="K166" s="796"/>
      <c r="L166" s="796"/>
      <c r="M166" s="796"/>
      <c r="N166" s="796"/>
      <c r="O166" s="796"/>
      <c r="P166" s="796"/>
      <c r="Q166" s="796"/>
      <c r="R166" s="796"/>
      <c r="S166" s="796"/>
      <c r="T166" s="796"/>
      <c r="U166" s="796"/>
      <c r="V166" s="796"/>
      <c r="W166" s="796"/>
      <c r="X166" s="796"/>
      <c r="Y166" s="796"/>
      <c r="Z166" s="796"/>
      <c r="AA166" s="796"/>
      <c r="AB166" s="796"/>
      <c r="AC166" s="796"/>
      <c r="AD166" s="796"/>
      <c r="AE166" s="796"/>
      <c r="AF166" s="796"/>
    </row>
    <row r="167" spans="1:33" ht="5.85" customHeight="1" x14ac:dyDescent="0.25"/>
    <row r="168" spans="1:33" ht="11.65" customHeight="1" x14ac:dyDescent="0.25">
      <c r="A168" s="797" t="s">
        <v>134</v>
      </c>
      <c r="B168" s="797"/>
      <c r="C168" s="797"/>
      <c r="D168" s="797"/>
      <c r="E168" s="797"/>
      <c r="F168" s="797"/>
      <c r="G168" s="797"/>
      <c r="AE168" s="798" t="s">
        <v>415</v>
      </c>
      <c r="AF168" s="798"/>
    </row>
    <row r="169" spans="1:33" ht="11.65" customHeight="1" x14ac:dyDescent="0.25">
      <c r="A169" s="797" t="s">
        <v>1</v>
      </c>
      <c r="B169" s="797"/>
      <c r="C169" s="797"/>
      <c r="D169" s="797"/>
      <c r="E169" s="797"/>
      <c r="F169" s="797"/>
      <c r="G169" s="797"/>
    </row>
    <row r="170" spans="1:33" ht="10.9" customHeight="1" x14ac:dyDescent="0.25">
      <c r="A170" s="839" t="s">
        <v>1182</v>
      </c>
      <c r="B170" s="839"/>
      <c r="C170" s="839"/>
      <c r="D170" s="839"/>
      <c r="E170" s="839"/>
      <c r="F170" s="839"/>
      <c r="G170" s="839"/>
    </row>
    <row r="171" spans="1:33" ht="11.65" customHeight="1" x14ac:dyDescent="0.25">
      <c r="A171" s="797" t="s">
        <v>219</v>
      </c>
      <c r="B171" s="797"/>
      <c r="C171" s="797"/>
      <c r="D171" s="797"/>
      <c r="E171" s="797"/>
      <c r="F171" s="797"/>
      <c r="G171" s="797"/>
    </row>
    <row r="172" spans="1:33" ht="11.65" customHeight="1" x14ac:dyDescent="0.25">
      <c r="A172" s="797" t="s">
        <v>2347</v>
      </c>
      <c r="B172" s="797"/>
      <c r="C172" s="797"/>
      <c r="D172" s="797"/>
      <c r="E172" s="797"/>
      <c r="F172" s="797"/>
      <c r="G172" s="797"/>
    </row>
    <row r="173" spans="1:33" ht="5.85" customHeight="1" x14ac:dyDescent="0.25"/>
    <row r="174" spans="1:33" ht="10.9" customHeight="1" x14ac:dyDescent="0.25">
      <c r="A174" s="902" t="s">
        <v>1183</v>
      </c>
      <c r="B174" s="902"/>
      <c r="C174" s="902"/>
      <c r="D174" s="902"/>
      <c r="E174" s="902"/>
      <c r="F174" s="902"/>
      <c r="G174" s="902"/>
      <c r="H174" s="479"/>
      <c r="I174" s="479"/>
      <c r="J174" s="479"/>
      <c r="K174" s="479"/>
      <c r="L174" s="479"/>
      <c r="M174" s="479"/>
      <c r="N174" s="479"/>
      <c r="O174" s="479"/>
      <c r="P174" s="479"/>
      <c r="Q174" s="479"/>
      <c r="R174" s="479"/>
      <c r="S174" s="479"/>
      <c r="T174" s="479"/>
      <c r="U174" s="479"/>
      <c r="V174" s="479"/>
      <c r="W174" s="479"/>
      <c r="X174" s="479"/>
      <c r="Y174" s="479"/>
      <c r="Z174" s="479"/>
      <c r="AA174" s="479"/>
      <c r="AB174" s="479"/>
      <c r="AC174" s="479"/>
      <c r="AD174" s="479"/>
      <c r="AE174" s="479"/>
      <c r="AF174" s="479"/>
      <c r="AG174" s="479"/>
    </row>
    <row r="175" spans="1:33" ht="11.65" customHeight="1" x14ac:dyDescent="0.25">
      <c r="A175" s="964" t="s">
        <v>1289</v>
      </c>
      <c r="B175" s="965"/>
      <c r="C175" s="965"/>
      <c r="D175" s="965"/>
      <c r="E175" s="966"/>
      <c r="F175" s="909" t="s">
        <v>1201</v>
      </c>
      <c r="G175" s="970"/>
      <c r="H175" s="909" t="s">
        <v>359</v>
      </c>
      <c r="I175" s="973"/>
      <c r="J175" s="973"/>
      <c r="K175" s="970"/>
      <c r="L175" s="799" t="s">
        <v>187</v>
      </c>
      <c r="M175" s="823"/>
      <c r="N175" s="823"/>
      <c r="O175" s="823"/>
      <c r="P175" s="823"/>
      <c r="Q175" s="823"/>
      <c r="R175" s="800"/>
      <c r="S175" s="799" t="s">
        <v>189</v>
      </c>
      <c r="T175" s="823"/>
      <c r="U175" s="823"/>
      <c r="V175" s="823"/>
      <c r="W175" s="823"/>
      <c r="X175" s="823"/>
      <c r="Y175" s="823"/>
      <c r="Z175" s="800"/>
      <c r="AA175" s="799" t="s">
        <v>1202</v>
      </c>
      <c r="AB175" s="823"/>
      <c r="AC175" s="823"/>
      <c r="AD175" s="823"/>
      <c r="AE175" s="823"/>
      <c r="AF175" s="823"/>
      <c r="AG175" s="800"/>
    </row>
    <row r="176" spans="1:33" ht="17.45" customHeight="1" x14ac:dyDescent="0.25">
      <c r="A176" s="967"/>
      <c r="B176" s="968"/>
      <c r="C176" s="968"/>
      <c r="D176" s="968"/>
      <c r="E176" s="969"/>
      <c r="F176" s="971"/>
      <c r="G176" s="972"/>
      <c r="H176" s="971"/>
      <c r="I176" s="974"/>
      <c r="J176" s="974"/>
      <c r="K176" s="972"/>
      <c r="L176" s="909" t="s">
        <v>1203</v>
      </c>
      <c r="M176" s="911"/>
      <c r="N176" s="910"/>
      <c r="O176" s="909" t="s">
        <v>1204</v>
      </c>
      <c r="P176" s="911"/>
      <c r="Q176" s="911"/>
      <c r="R176" s="910"/>
      <c r="S176" s="909" t="s">
        <v>1205</v>
      </c>
      <c r="T176" s="911"/>
      <c r="U176" s="911"/>
      <c r="V176" s="911"/>
      <c r="W176" s="910"/>
      <c r="X176" s="909" t="s">
        <v>1206</v>
      </c>
      <c r="Y176" s="911"/>
      <c r="Z176" s="910"/>
      <c r="AA176" s="909" t="s">
        <v>1207</v>
      </c>
      <c r="AB176" s="911"/>
      <c r="AC176" s="911"/>
      <c r="AD176" s="910"/>
      <c r="AE176" s="909" t="s">
        <v>1208</v>
      </c>
      <c r="AF176" s="911"/>
      <c r="AG176" s="910"/>
    </row>
    <row r="177" spans="1:33" ht="16.7" customHeight="1" x14ac:dyDescent="0.25">
      <c r="A177" s="829" t="s">
        <v>1292</v>
      </c>
      <c r="B177" s="998"/>
      <c r="C177" s="998"/>
      <c r="D177" s="998"/>
      <c r="E177" s="830"/>
      <c r="F177" s="831" t="s">
        <v>1615</v>
      </c>
      <c r="G177" s="804"/>
      <c r="H177" s="831" t="s">
        <v>2523</v>
      </c>
      <c r="I177" s="805"/>
      <c r="J177" s="805"/>
      <c r="K177" s="804"/>
      <c r="L177" s="961" t="s">
        <v>2524</v>
      </c>
      <c r="M177" s="962"/>
      <c r="N177" s="963"/>
      <c r="O177" s="961" t="s">
        <v>2525</v>
      </c>
      <c r="P177" s="962"/>
      <c r="Q177" s="962"/>
      <c r="R177" s="963"/>
      <c r="S177" s="961" t="s">
        <v>2526</v>
      </c>
      <c r="T177" s="962"/>
      <c r="U177" s="962"/>
      <c r="V177" s="962"/>
      <c r="W177" s="963"/>
      <c r="X177" s="961" t="s">
        <v>2527</v>
      </c>
      <c r="Y177" s="962"/>
      <c r="Z177" s="963"/>
      <c r="AA177" s="961" t="s">
        <v>2528</v>
      </c>
      <c r="AB177" s="962"/>
      <c r="AC177" s="962"/>
      <c r="AD177" s="963"/>
      <c r="AE177" s="961" t="s">
        <v>2529</v>
      </c>
      <c r="AF177" s="962"/>
      <c r="AG177" s="963"/>
    </row>
    <row r="178" spans="1:33" ht="17.45" customHeight="1" x14ac:dyDescent="0.25">
      <c r="A178" s="837" t="s">
        <v>1293</v>
      </c>
      <c r="B178" s="999"/>
      <c r="C178" s="999"/>
      <c r="D178" s="999"/>
      <c r="E178" s="838"/>
      <c r="F178" s="806" t="s">
        <v>1616</v>
      </c>
      <c r="G178" s="808"/>
      <c r="H178" s="806" t="s">
        <v>2530</v>
      </c>
      <c r="I178" s="807"/>
      <c r="J178" s="807"/>
      <c r="K178" s="808"/>
      <c r="L178" s="955" t="s">
        <v>2531</v>
      </c>
      <c r="M178" s="956"/>
      <c r="N178" s="957"/>
      <c r="O178" s="955" t="s">
        <v>2532</v>
      </c>
      <c r="P178" s="956"/>
      <c r="Q178" s="956"/>
      <c r="R178" s="957"/>
      <c r="S178" s="955" t="s">
        <v>2533</v>
      </c>
      <c r="T178" s="956"/>
      <c r="U178" s="956"/>
      <c r="V178" s="956"/>
      <c r="W178" s="957"/>
      <c r="X178" s="955" t="s">
        <v>2534</v>
      </c>
      <c r="Y178" s="956"/>
      <c r="Z178" s="957"/>
      <c r="AA178" s="955" t="s">
        <v>2535</v>
      </c>
      <c r="AB178" s="956"/>
      <c r="AC178" s="956"/>
      <c r="AD178" s="957"/>
      <c r="AE178" s="955" t="s">
        <v>2536</v>
      </c>
      <c r="AF178" s="956"/>
      <c r="AG178" s="957"/>
    </row>
    <row r="179" spans="1:33" ht="17.45" customHeight="1" x14ac:dyDescent="0.25">
      <c r="A179" s="837" t="s">
        <v>1294</v>
      </c>
      <c r="B179" s="999"/>
      <c r="C179" s="999"/>
      <c r="D179" s="999"/>
      <c r="E179" s="838"/>
      <c r="F179" s="806" t="s">
        <v>1617</v>
      </c>
      <c r="G179" s="808"/>
      <c r="H179" s="806" t="s">
        <v>2537</v>
      </c>
      <c r="I179" s="807"/>
      <c r="J179" s="807"/>
      <c r="K179" s="808"/>
      <c r="L179" s="955" t="s">
        <v>2538</v>
      </c>
      <c r="M179" s="956"/>
      <c r="N179" s="957"/>
      <c r="O179" s="955" t="s">
        <v>2539</v>
      </c>
      <c r="P179" s="956"/>
      <c r="Q179" s="956"/>
      <c r="R179" s="957"/>
      <c r="S179" s="955" t="s">
        <v>2540</v>
      </c>
      <c r="T179" s="956"/>
      <c r="U179" s="956"/>
      <c r="V179" s="956"/>
      <c r="W179" s="957"/>
      <c r="X179" s="955" t="s">
        <v>2541</v>
      </c>
      <c r="Y179" s="956"/>
      <c r="Z179" s="957"/>
      <c r="AA179" s="955" t="s">
        <v>2542</v>
      </c>
      <c r="AB179" s="956"/>
      <c r="AC179" s="956"/>
      <c r="AD179" s="957"/>
      <c r="AE179" s="955" t="s">
        <v>2543</v>
      </c>
      <c r="AF179" s="956"/>
      <c r="AG179" s="957"/>
    </row>
    <row r="180" spans="1:33" ht="16.7" customHeight="1" x14ac:dyDescent="0.25">
      <c r="A180" s="837" t="s">
        <v>1295</v>
      </c>
      <c r="B180" s="999"/>
      <c r="C180" s="999"/>
      <c r="D180" s="999"/>
      <c r="E180" s="838"/>
      <c r="F180" s="806" t="s">
        <v>159</v>
      </c>
      <c r="G180" s="808"/>
      <c r="H180" s="806" t="s">
        <v>159</v>
      </c>
      <c r="I180" s="807"/>
      <c r="J180" s="807"/>
      <c r="K180" s="808"/>
      <c r="L180" s="955" t="s">
        <v>159</v>
      </c>
      <c r="M180" s="956"/>
      <c r="N180" s="957"/>
      <c r="O180" s="955" t="s">
        <v>159</v>
      </c>
      <c r="P180" s="956"/>
      <c r="Q180" s="956"/>
      <c r="R180" s="957"/>
      <c r="S180" s="955" t="s">
        <v>159</v>
      </c>
      <c r="T180" s="956"/>
      <c r="U180" s="956"/>
      <c r="V180" s="956"/>
      <c r="W180" s="957"/>
      <c r="X180" s="955" t="s">
        <v>159</v>
      </c>
      <c r="Y180" s="956"/>
      <c r="Z180" s="957"/>
      <c r="AA180" s="955" t="s">
        <v>159</v>
      </c>
      <c r="AB180" s="956"/>
      <c r="AC180" s="956"/>
      <c r="AD180" s="957"/>
      <c r="AE180" s="955" t="s">
        <v>159</v>
      </c>
      <c r="AF180" s="956"/>
      <c r="AG180" s="957"/>
    </row>
    <row r="181" spans="1:33" ht="17.45" customHeight="1" x14ac:dyDescent="0.25">
      <c r="A181" s="812" t="s">
        <v>1296</v>
      </c>
      <c r="B181" s="1024"/>
      <c r="C181" s="1024"/>
      <c r="D181" s="1024"/>
      <c r="E181" s="813"/>
      <c r="F181" s="814" t="s">
        <v>1618</v>
      </c>
      <c r="G181" s="816"/>
      <c r="H181" s="814" t="s">
        <v>2544</v>
      </c>
      <c r="I181" s="815"/>
      <c r="J181" s="815"/>
      <c r="K181" s="816"/>
      <c r="L181" s="958" t="s">
        <v>2545</v>
      </c>
      <c r="M181" s="959"/>
      <c r="N181" s="960"/>
      <c r="O181" s="958" t="s">
        <v>2546</v>
      </c>
      <c r="P181" s="959"/>
      <c r="Q181" s="959"/>
      <c r="R181" s="960"/>
      <c r="S181" s="958" t="s">
        <v>2402</v>
      </c>
      <c r="T181" s="959"/>
      <c r="U181" s="959"/>
      <c r="V181" s="959"/>
      <c r="W181" s="960"/>
      <c r="X181" s="958" t="s">
        <v>2547</v>
      </c>
      <c r="Y181" s="959"/>
      <c r="Z181" s="960"/>
      <c r="AA181" s="958" t="s">
        <v>2404</v>
      </c>
      <c r="AB181" s="959"/>
      <c r="AC181" s="959"/>
      <c r="AD181" s="960"/>
      <c r="AE181" s="958" t="s">
        <v>2548</v>
      </c>
      <c r="AF181" s="959"/>
      <c r="AG181" s="960"/>
    </row>
    <row r="182" spans="1:33" ht="17.45" customHeight="1" x14ac:dyDescent="0.25">
      <c r="A182" s="949" t="s">
        <v>1297</v>
      </c>
      <c r="B182" s="950"/>
      <c r="C182" s="950"/>
      <c r="D182" s="950"/>
      <c r="E182" s="951"/>
      <c r="F182" s="952" t="s">
        <v>2549</v>
      </c>
      <c r="G182" s="953"/>
      <c r="H182" s="952" t="s">
        <v>2550</v>
      </c>
      <c r="I182" s="954"/>
      <c r="J182" s="954"/>
      <c r="K182" s="953"/>
      <c r="L182" s="945" t="s">
        <v>2551</v>
      </c>
      <c r="M182" s="946"/>
      <c r="N182" s="947"/>
      <c r="O182" s="945" t="s">
        <v>2552</v>
      </c>
      <c r="P182" s="946"/>
      <c r="Q182" s="946"/>
      <c r="R182" s="947"/>
      <c r="S182" s="945" t="s">
        <v>2553</v>
      </c>
      <c r="T182" s="946"/>
      <c r="U182" s="946"/>
      <c r="V182" s="946"/>
      <c r="W182" s="947"/>
      <c r="X182" s="945" t="s">
        <v>2554</v>
      </c>
      <c r="Y182" s="946"/>
      <c r="Z182" s="947"/>
      <c r="AA182" s="945" t="s">
        <v>2555</v>
      </c>
      <c r="AB182" s="946"/>
      <c r="AC182" s="946"/>
      <c r="AD182" s="947"/>
      <c r="AE182" s="945" t="s">
        <v>2556</v>
      </c>
      <c r="AF182" s="946"/>
      <c r="AG182" s="947"/>
    </row>
    <row r="183" spans="1:33" ht="10.9" customHeight="1" x14ac:dyDescent="0.25">
      <c r="A183" s="821"/>
      <c r="B183" s="821"/>
      <c r="C183" s="821"/>
      <c r="D183" s="821"/>
      <c r="E183" s="821"/>
      <c r="F183" s="821"/>
      <c r="G183" s="821"/>
      <c r="H183" s="821"/>
      <c r="I183" s="821"/>
      <c r="J183" s="821"/>
      <c r="K183" s="821"/>
      <c r="L183" s="821"/>
      <c r="M183" s="821"/>
      <c r="N183" s="821"/>
      <c r="O183" s="821"/>
      <c r="P183" s="821"/>
      <c r="Q183" s="821"/>
      <c r="R183" s="821"/>
      <c r="S183" s="821"/>
      <c r="T183" s="821"/>
      <c r="U183" s="821"/>
      <c r="V183" s="821"/>
      <c r="W183" s="821"/>
      <c r="X183" s="821"/>
      <c r="Y183" s="821"/>
      <c r="Z183" s="821"/>
      <c r="AA183" s="821"/>
      <c r="AB183" s="821"/>
      <c r="AC183" s="821"/>
      <c r="AD183" s="821"/>
      <c r="AE183" s="821"/>
      <c r="AF183" s="821"/>
      <c r="AG183" s="821"/>
    </row>
    <row r="184" spans="1:33" ht="11.65" customHeight="1" x14ac:dyDescent="0.25">
      <c r="A184" s="482"/>
      <c r="B184" s="482"/>
      <c r="C184" s="482"/>
      <c r="D184" s="482"/>
      <c r="E184" s="482"/>
      <c r="F184" s="482"/>
      <c r="G184" s="482"/>
      <c r="H184" s="482"/>
      <c r="I184" s="482"/>
      <c r="J184" s="482"/>
      <c r="K184" s="482"/>
      <c r="L184" s="482"/>
      <c r="M184" s="482"/>
      <c r="N184" s="482"/>
      <c r="O184" s="482"/>
      <c r="P184" s="482"/>
      <c r="Q184" s="482"/>
      <c r="R184" s="482"/>
      <c r="S184" s="482"/>
      <c r="T184" s="482"/>
      <c r="U184" s="482"/>
      <c r="V184" s="482"/>
      <c r="W184" s="482"/>
      <c r="X184" s="482"/>
      <c r="Y184" s="482"/>
      <c r="Z184" s="482"/>
      <c r="AA184" s="482"/>
      <c r="AB184" s="482"/>
      <c r="AC184" s="482"/>
      <c r="AD184" s="482"/>
      <c r="AE184" s="482"/>
      <c r="AF184" s="482"/>
      <c r="AG184" s="482"/>
    </row>
    <row r="185" spans="1:33" ht="11.65" customHeight="1" x14ac:dyDescent="0.25">
      <c r="A185" s="678" t="s">
        <v>1298</v>
      </c>
    </row>
    <row r="186" spans="1:33" ht="11.65" customHeight="1" x14ac:dyDescent="0.25">
      <c r="A186" s="796" t="s">
        <v>1299</v>
      </c>
      <c r="B186" s="796"/>
      <c r="C186" s="796"/>
      <c r="D186" s="796"/>
      <c r="E186" s="796"/>
      <c r="F186" s="796"/>
      <c r="G186" s="796"/>
      <c r="H186" s="796"/>
      <c r="I186" s="796"/>
      <c r="J186" s="796"/>
      <c r="K186" s="796"/>
      <c r="L186" s="796"/>
      <c r="M186" s="796"/>
      <c r="N186" s="796"/>
      <c r="O186" s="796"/>
      <c r="P186" s="796"/>
      <c r="Q186" s="796"/>
      <c r="R186" s="796"/>
      <c r="S186" s="796"/>
      <c r="T186" s="796"/>
      <c r="U186" s="796"/>
    </row>
    <row r="187" spans="1:33" ht="10.9" customHeight="1" x14ac:dyDescent="0.25">
      <c r="A187" s="948" t="s">
        <v>1300</v>
      </c>
      <c r="B187" s="948"/>
      <c r="C187" s="948"/>
      <c r="D187" s="948"/>
      <c r="E187" s="948"/>
      <c r="F187" s="948"/>
      <c r="G187" s="948"/>
      <c r="H187" s="948"/>
      <c r="I187" s="948"/>
      <c r="J187" s="948"/>
      <c r="K187" s="948"/>
      <c r="L187" s="948"/>
      <c r="M187" s="948"/>
      <c r="N187" s="948"/>
      <c r="O187" s="948"/>
      <c r="P187" s="948"/>
      <c r="Q187" s="948"/>
      <c r="R187" s="948"/>
      <c r="S187" s="948"/>
      <c r="T187" s="948"/>
      <c r="U187" s="948"/>
      <c r="V187" s="948"/>
      <c r="W187" s="948"/>
      <c r="X187" s="948"/>
      <c r="Y187" s="948"/>
      <c r="Z187" s="948"/>
      <c r="AA187" s="948"/>
      <c r="AB187" s="948"/>
      <c r="AC187" s="948"/>
      <c r="AD187" s="948"/>
      <c r="AE187" s="948"/>
    </row>
    <row r="188" spans="1:33" ht="5.85" customHeight="1" x14ac:dyDescent="0.25"/>
    <row r="189" spans="1:33" ht="11.65" customHeight="1" x14ac:dyDescent="0.25"/>
    <row r="190" spans="1:33" ht="17.45" customHeight="1" x14ac:dyDescent="0.25"/>
    <row r="191" spans="1:33" ht="10.9" customHeight="1" x14ac:dyDescent="0.25"/>
    <row r="194" spans="1:32" ht="10.9" customHeight="1" x14ac:dyDescent="0.25">
      <c r="A194" s="796" t="s">
        <v>2413</v>
      </c>
      <c r="B194" s="796"/>
      <c r="C194" s="796"/>
      <c r="D194" s="796"/>
      <c r="E194" s="796"/>
      <c r="F194" s="796"/>
      <c r="G194" s="796"/>
      <c r="H194" s="796"/>
      <c r="I194" s="796"/>
      <c r="J194" s="796"/>
      <c r="K194" s="796"/>
      <c r="L194" s="796"/>
      <c r="M194" s="796"/>
      <c r="N194" s="796"/>
      <c r="O194" s="796"/>
      <c r="P194" s="796"/>
      <c r="Q194" s="796"/>
      <c r="R194" s="796"/>
      <c r="S194" s="796"/>
      <c r="T194" s="796"/>
      <c r="U194" s="796"/>
      <c r="V194" s="796"/>
      <c r="W194" s="796"/>
      <c r="X194" s="796"/>
      <c r="Y194" s="796"/>
      <c r="Z194" s="796"/>
      <c r="AA194" s="796"/>
      <c r="AB194" s="796"/>
      <c r="AC194" s="796"/>
      <c r="AD194" s="796"/>
      <c r="AE194" s="796"/>
      <c r="AF194" s="796"/>
    </row>
    <row r="195" spans="1:32" ht="5.85" customHeight="1" x14ac:dyDescent="0.25"/>
  </sheetData>
  <mergeCells count="881">
    <mergeCell ref="A181:E181"/>
    <mergeCell ref="F181:G181"/>
    <mergeCell ref="H181:K181"/>
    <mergeCell ref="L182:N182"/>
    <mergeCell ref="A180:E180"/>
    <mergeCell ref="F180:G180"/>
    <mergeCell ref="H180:K180"/>
    <mergeCell ref="L179:N179"/>
    <mergeCell ref="O179:R179"/>
    <mergeCell ref="O180:R180"/>
    <mergeCell ref="O182:R182"/>
    <mergeCell ref="S179:W179"/>
    <mergeCell ref="X179:Z179"/>
    <mergeCell ref="AA179:AD179"/>
    <mergeCell ref="AE179:AG179"/>
    <mergeCell ref="L180:N180"/>
    <mergeCell ref="A157:E157"/>
    <mergeCell ref="F157:G157"/>
    <mergeCell ref="H157:K157"/>
    <mergeCell ref="A156:E156"/>
    <mergeCell ref="F156:G156"/>
    <mergeCell ref="H156:K156"/>
    <mergeCell ref="A159:E159"/>
    <mergeCell ref="F159:G159"/>
    <mergeCell ref="H159:K159"/>
    <mergeCell ref="A158:E158"/>
    <mergeCell ref="F158:G158"/>
    <mergeCell ref="H158:K158"/>
    <mergeCell ref="A161:E162"/>
    <mergeCell ref="F161:G162"/>
    <mergeCell ref="H161:K162"/>
    <mergeCell ref="L161:R161"/>
    <mergeCell ref="S161:Z161"/>
    <mergeCell ref="AA161:AG161"/>
    <mergeCell ref="L162:N162"/>
    <mergeCell ref="A155:E155"/>
    <mergeCell ref="F155:G155"/>
    <mergeCell ref="H155:K155"/>
    <mergeCell ref="A154:E154"/>
    <mergeCell ref="F154:G154"/>
    <mergeCell ref="H154:K154"/>
    <mergeCell ref="L155:N155"/>
    <mergeCell ref="O155:R155"/>
    <mergeCell ref="S155:W155"/>
    <mergeCell ref="A151:E151"/>
    <mergeCell ref="F151:G151"/>
    <mergeCell ref="H151:K151"/>
    <mergeCell ref="A150:E150"/>
    <mergeCell ref="F150:G150"/>
    <mergeCell ref="H150:K150"/>
    <mergeCell ref="A153:E153"/>
    <mergeCell ref="F153:G153"/>
    <mergeCell ref="H153:K153"/>
    <mergeCell ref="A152:E152"/>
    <mergeCell ref="F152:G152"/>
    <mergeCell ref="H152:K152"/>
    <mergeCell ref="A149:E149"/>
    <mergeCell ref="F149:G149"/>
    <mergeCell ref="H149:K149"/>
    <mergeCell ref="A148:E148"/>
    <mergeCell ref="F148:G148"/>
    <mergeCell ref="H148:K148"/>
    <mergeCell ref="L149:N149"/>
    <mergeCell ref="O149:R149"/>
    <mergeCell ref="S149:W149"/>
    <mergeCell ref="L148:N148"/>
    <mergeCell ref="O148:R148"/>
    <mergeCell ref="S148:W148"/>
    <mergeCell ref="A144:E144"/>
    <mergeCell ref="F144:G144"/>
    <mergeCell ref="H144:K144"/>
    <mergeCell ref="A142:E142"/>
    <mergeCell ref="F142:G142"/>
    <mergeCell ref="H142:K142"/>
    <mergeCell ref="A147:E147"/>
    <mergeCell ref="F147:G147"/>
    <mergeCell ref="H147:K147"/>
    <mergeCell ref="A146:E146"/>
    <mergeCell ref="F146:G146"/>
    <mergeCell ref="H146:K146"/>
    <mergeCell ref="A143:E143"/>
    <mergeCell ref="F143:G143"/>
    <mergeCell ref="H143:K143"/>
    <mergeCell ref="A145:E145"/>
    <mergeCell ref="F145:G145"/>
    <mergeCell ref="H145:K145"/>
    <mergeCell ref="A139:E140"/>
    <mergeCell ref="F139:G140"/>
    <mergeCell ref="H139:K140"/>
    <mergeCell ref="A141:E141"/>
    <mergeCell ref="F141:G141"/>
    <mergeCell ref="H141:K141"/>
    <mergeCell ref="A128:E128"/>
    <mergeCell ref="F128:G128"/>
    <mergeCell ref="H128:K128"/>
    <mergeCell ref="A129:AF129"/>
    <mergeCell ref="A131:G131"/>
    <mergeCell ref="AE131:AF131"/>
    <mergeCell ref="A132:G132"/>
    <mergeCell ref="A133:G133"/>
    <mergeCell ref="A134:G134"/>
    <mergeCell ref="A135:G135"/>
    <mergeCell ref="A137:G137"/>
    <mergeCell ref="A138:AG138"/>
    <mergeCell ref="L139:R139"/>
    <mergeCell ref="S139:Z139"/>
    <mergeCell ref="AA139:AG139"/>
    <mergeCell ref="L140:N140"/>
    <mergeCell ref="O140:R140"/>
    <mergeCell ref="S140:W140"/>
    <mergeCell ref="A68:M68"/>
    <mergeCell ref="N68:AG68"/>
    <mergeCell ref="A69:M69"/>
    <mergeCell ref="N69:S69"/>
    <mergeCell ref="T69:AA69"/>
    <mergeCell ref="AB69:AG69"/>
    <mergeCell ref="A70:M70"/>
    <mergeCell ref="A83:B83"/>
    <mergeCell ref="E83:F83"/>
    <mergeCell ref="A78:J78"/>
    <mergeCell ref="K78:Q78"/>
    <mergeCell ref="R78:T78"/>
    <mergeCell ref="U78:X78"/>
    <mergeCell ref="Y78:AA78"/>
    <mergeCell ref="AB78:AG78"/>
    <mergeCell ref="N70:S70"/>
    <mergeCell ref="T70:AA70"/>
    <mergeCell ref="AB70:AG70"/>
    <mergeCell ref="A71:M71"/>
    <mergeCell ref="N71:S71"/>
    <mergeCell ref="T71:AA71"/>
    <mergeCell ref="AB71:AG71"/>
    <mergeCell ref="A72:AG72"/>
    <mergeCell ref="A73:J75"/>
    <mergeCell ref="N65:S65"/>
    <mergeCell ref="T65:AA65"/>
    <mergeCell ref="AB65:AG65"/>
    <mergeCell ref="A66:M66"/>
    <mergeCell ref="N66:S66"/>
    <mergeCell ref="T66:AA66"/>
    <mergeCell ref="AB66:AG66"/>
    <mergeCell ref="A67:M67"/>
    <mergeCell ref="N67:AG67"/>
    <mergeCell ref="A65:M65"/>
    <mergeCell ref="A56:E57"/>
    <mergeCell ref="F56:G57"/>
    <mergeCell ref="H56:K57"/>
    <mergeCell ref="A45:E45"/>
    <mergeCell ref="F45:G45"/>
    <mergeCell ref="H45:K45"/>
    <mergeCell ref="L57:N57"/>
    <mergeCell ref="O57:R57"/>
    <mergeCell ref="S57:W57"/>
    <mergeCell ref="A50:G50"/>
    <mergeCell ref="A51:G51"/>
    <mergeCell ref="A52:G52"/>
    <mergeCell ref="A53:G53"/>
    <mergeCell ref="A55:G55"/>
    <mergeCell ref="L56:R56"/>
    <mergeCell ref="S56:Z56"/>
    <mergeCell ref="A41:E41"/>
    <mergeCell ref="F41:G41"/>
    <mergeCell ref="H41:K41"/>
    <mergeCell ref="A42:E42"/>
    <mergeCell ref="F42:G42"/>
    <mergeCell ref="H42:K42"/>
    <mergeCell ref="A43:E43"/>
    <mergeCell ref="F43:G43"/>
    <mergeCell ref="H43:K43"/>
    <mergeCell ref="A38:E38"/>
    <mergeCell ref="F38:G38"/>
    <mergeCell ref="H38:K38"/>
    <mergeCell ref="A37:E37"/>
    <mergeCell ref="F37:G37"/>
    <mergeCell ref="H37:K37"/>
    <mergeCell ref="A40:E40"/>
    <mergeCell ref="F40:G40"/>
    <mergeCell ref="H40:K40"/>
    <mergeCell ref="A39:E39"/>
    <mergeCell ref="F39:G39"/>
    <mergeCell ref="H39:K39"/>
    <mergeCell ref="A34:E34"/>
    <mergeCell ref="F34:G34"/>
    <mergeCell ref="H34:K34"/>
    <mergeCell ref="A33:E33"/>
    <mergeCell ref="F33:G33"/>
    <mergeCell ref="H33:K33"/>
    <mergeCell ref="H35:K35"/>
    <mergeCell ref="A36:E36"/>
    <mergeCell ref="F36:G36"/>
    <mergeCell ref="H36:K36"/>
    <mergeCell ref="A35:E35"/>
    <mergeCell ref="F35:G35"/>
    <mergeCell ref="A32:E32"/>
    <mergeCell ref="F32:G32"/>
    <mergeCell ref="H32:K32"/>
    <mergeCell ref="A31:E31"/>
    <mergeCell ref="F31:G31"/>
    <mergeCell ref="H31:K31"/>
    <mergeCell ref="L32:N32"/>
    <mergeCell ref="O32:R32"/>
    <mergeCell ref="S32:W32"/>
    <mergeCell ref="A30:E30"/>
    <mergeCell ref="F30:G30"/>
    <mergeCell ref="H30:K30"/>
    <mergeCell ref="X29:Z29"/>
    <mergeCell ref="AA29:AD29"/>
    <mergeCell ref="AE29:AG29"/>
    <mergeCell ref="L30:N30"/>
    <mergeCell ref="O30:R30"/>
    <mergeCell ref="S30:W30"/>
    <mergeCell ref="X30:Z30"/>
    <mergeCell ref="AA30:AD30"/>
    <mergeCell ref="AE30:AG30"/>
    <mergeCell ref="A29:E29"/>
    <mergeCell ref="F29:G29"/>
    <mergeCell ref="H29:K29"/>
    <mergeCell ref="A28:E28"/>
    <mergeCell ref="F28:G28"/>
    <mergeCell ref="H28:K28"/>
    <mergeCell ref="L28:N28"/>
    <mergeCell ref="O28:R28"/>
    <mergeCell ref="S28:W28"/>
    <mergeCell ref="W13:AB13"/>
    <mergeCell ref="AC13:AG13"/>
    <mergeCell ref="A14:I14"/>
    <mergeCell ref="J14:O14"/>
    <mergeCell ref="P14:V14"/>
    <mergeCell ref="W14:AB14"/>
    <mergeCell ref="AC14:AG14"/>
    <mergeCell ref="A15:I15"/>
    <mergeCell ref="J15:O15"/>
    <mergeCell ref="P15:V15"/>
    <mergeCell ref="W15:AB15"/>
    <mergeCell ref="AC15:AG15"/>
    <mergeCell ref="A13:I13"/>
    <mergeCell ref="J13:O13"/>
    <mergeCell ref="P13:V13"/>
    <mergeCell ref="W16:AB16"/>
    <mergeCell ref="AC16:AG16"/>
    <mergeCell ref="A21:I21"/>
    <mergeCell ref="A10:I10"/>
    <mergeCell ref="J10:O10"/>
    <mergeCell ref="P10:V10"/>
    <mergeCell ref="W10:AB10"/>
    <mergeCell ref="AC10:AG10"/>
    <mergeCell ref="A11:I11"/>
    <mergeCell ref="A27:E27"/>
    <mergeCell ref="F27:G27"/>
    <mergeCell ref="H27:K27"/>
    <mergeCell ref="L27:N27"/>
    <mergeCell ref="O27:R27"/>
    <mergeCell ref="S27:W27"/>
    <mergeCell ref="J21:O21"/>
    <mergeCell ref="P21:V21"/>
    <mergeCell ref="W21:AB21"/>
    <mergeCell ref="AC21:AG21"/>
    <mergeCell ref="F26:G26"/>
    <mergeCell ref="H26:K26"/>
    <mergeCell ref="A26:E26"/>
    <mergeCell ref="A16:I16"/>
    <mergeCell ref="J16:O16"/>
    <mergeCell ref="P16:V16"/>
    <mergeCell ref="A22:I22"/>
    <mergeCell ref="J22:O22"/>
    <mergeCell ref="A1:G1"/>
    <mergeCell ref="AE1:AF1"/>
    <mergeCell ref="A2:G2"/>
    <mergeCell ref="A3:G3"/>
    <mergeCell ref="A4:G4"/>
    <mergeCell ref="A5:G5"/>
    <mergeCell ref="A7:G7"/>
    <mergeCell ref="A8:I9"/>
    <mergeCell ref="J8:O9"/>
    <mergeCell ref="P8:V9"/>
    <mergeCell ref="W8:AG8"/>
    <mergeCell ref="W9:AB9"/>
    <mergeCell ref="AC9:AG9"/>
    <mergeCell ref="X27:Z27"/>
    <mergeCell ref="AA27:AD27"/>
    <mergeCell ref="AE27:AG27"/>
    <mergeCell ref="J18:O18"/>
    <mergeCell ref="P18:V18"/>
    <mergeCell ref="W18:AB18"/>
    <mergeCell ref="L26:N26"/>
    <mergeCell ref="O26:R26"/>
    <mergeCell ref="S26:W26"/>
    <mergeCell ref="X26:Z26"/>
    <mergeCell ref="AA26:AD26"/>
    <mergeCell ref="AE26:AG26"/>
    <mergeCell ref="P22:V22"/>
    <mergeCell ref="W22:AB22"/>
    <mergeCell ref="AC22:AG22"/>
    <mergeCell ref="L34:N34"/>
    <mergeCell ref="O34:R34"/>
    <mergeCell ref="S34:W34"/>
    <mergeCell ref="X34:Z34"/>
    <mergeCell ref="AA34:AD34"/>
    <mergeCell ref="AE34:AG34"/>
    <mergeCell ref="L31:N31"/>
    <mergeCell ref="O31:R31"/>
    <mergeCell ref="S31:W31"/>
    <mergeCell ref="X31:Z31"/>
    <mergeCell ref="AA31:AD31"/>
    <mergeCell ref="AE31:AG31"/>
    <mergeCell ref="L37:N37"/>
    <mergeCell ref="O37:R37"/>
    <mergeCell ref="S37:W37"/>
    <mergeCell ref="L39:N39"/>
    <mergeCell ref="O39:R39"/>
    <mergeCell ref="S39:W39"/>
    <mergeCell ref="X37:Z37"/>
    <mergeCell ref="AA37:AD37"/>
    <mergeCell ref="AE37:AG37"/>
    <mergeCell ref="L38:N38"/>
    <mergeCell ref="O38:R38"/>
    <mergeCell ref="S38:W38"/>
    <mergeCell ref="X38:Z38"/>
    <mergeCell ref="AA38:AD38"/>
    <mergeCell ref="AE38:AG38"/>
    <mergeCell ref="X39:Z39"/>
    <mergeCell ref="AA39:AD39"/>
    <mergeCell ref="AE39:AG39"/>
    <mergeCell ref="A58:E58"/>
    <mergeCell ref="F58:G58"/>
    <mergeCell ref="H58:K58"/>
    <mergeCell ref="A59:E59"/>
    <mergeCell ref="F59:G59"/>
    <mergeCell ref="H59:K59"/>
    <mergeCell ref="A60:AG60"/>
    <mergeCell ref="A61:M61"/>
    <mergeCell ref="N61:S61"/>
    <mergeCell ref="T61:AA61"/>
    <mergeCell ref="AB61:AG61"/>
    <mergeCell ref="A85:B85"/>
    <mergeCell ref="E85:F85"/>
    <mergeCell ref="A84:B84"/>
    <mergeCell ref="E84:F84"/>
    <mergeCell ref="A88:AF88"/>
    <mergeCell ref="A90:G90"/>
    <mergeCell ref="AE90:AF90"/>
    <mergeCell ref="A91:G91"/>
    <mergeCell ref="A92:G92"/>
    <mergeCell ref="G84:H84"/>
    <mergeCell ref="I84:L84"/>
    <mergeCell ref="M84:P84"/>
    <mergeCell ref="Q84:T84"/>
    <mergeCell ref="U84:Y84"/>
    <mergeCell ref="Z84:AC84"/>
    <mergeCell ref="AD84:AG84"/>
    <mergeCell ref="Z85:AC85"/>
    <mergeCell ref="AD85:AG85"/>
    <mergeCell ref="A116:I116"/>
    <mergeCell ref="J116:O116"/>
    <mergeCell ref="P116:V116"/>
    <mergeCell ref="W116:AB116"/>
    <mergeCell ref="AC116:AG116"/>
    <mergeCell ref="A117:I117"/>
    <mergeCell ref="J117:O117"/>
    <mergeCell ref="A86:B86"/>
    <mergeCell ref="E86:F86"/>
    <mergeCell ref="A98:B98"/>
    <mergeCell ref="E98:F98"/>
    <mergeCell ref="A93:G93"/>
    <mergeCell ref="A94:G94"/>
    <mergeCell ref="A99:B99"/>
    <mergeCell ref="E99:F99"/>
    <mergeCell ref="G99:H99"/>
    <mergeCell ref="I99:L99"/>
    <mergeCell ref="M99:P99"/>
    <mergeCell ref="Q99:T99"/>
    <mergeCell ref="U99:Y99"/>
    <mergeCell ref="Z99:AC99"/>
    <mergeCell ref="AD99:AG99"/>
    <mergeCell ref="A112:AG112"/>
    <mergeCell ref="A113:I114"/>
    <mergeCell ref="J113:O114"/>
    <mergeCell ref="P113:V114"/>
    <mergeCell ref="W113:AG113"/>
    <mergeCell ref="W114:AB114"/>
    <mergeCell ref="AC114:AG114"/>
    <mergeCell ref="A115:I115"/>
    <mergeCell ref="J115:O115"/>
    <mergeCell ref="P115:V115"/>
    <mergeCell ref="W115:AB115"/>
    <mergeCell ref="AC115:AG115"/>
    <mergeCell ref="A127:E127"/>
    <mergeCell ref="F127:G127"/>
    <mergeCell ref="H127:K127"/>
    <mergeCell ref="A119:I119"/>
    <mergeCell ref="J119:O119"/>
    <mergeCell ref="P119:V119"/>
    <mergeCell ref="W119:AB119"/>
    <mergeCell ref="AC119:AG119"/>
    <mergeCell ref="A120:I120"/>
    <mergeCell ref="J120:O120"/>
    <mergeCell ref="P120:V120"/>
    <mergeCell ref="W120:AB120"/>
    <mergeCell ref="A124:E125"/>
    <mergeCell ref="F124:G125"/>
    <mergeCell ref="H124:K125"/>
    <mergeCell ref="A126:E126"/>
    <mergeCell ref="F126:G126"/>
    <mergeCell ref="H126:K126"/>
    <mergeCell ref="A122:AG122"/>
    <mergeCell ref="A123:AG123"/>
    <mergeCell ref="L124:R124"/>
    <mergeCell ref="S124:Z124"/>
    <mergeCell ref="AA124:AG124"/>
    <mergeCell ref="L125:N125"/>
    <mergeCell ref="O162:R162"/>
    <mergeCell ref="S162:W162"/>
    <mergeCell ref="X162:Z162"/>
    <mergeCell ref="AA162:AD162"/>
    <mergeCell ref="AE162:AG162"/>
    <mergeCell ref="A163:E163"/>
    <mergeCell ref="F163:G163"/>
    <mergeCell ref="H163:K163"/>
    <mergeCell ref="A164:E164"/>
    <mergeCell ref="F164:G164"/>
    <mergeCell ref="H164:K164"/>
    <mergeCell ref="L163:N163"/>
    <mergeCell ref="O163:R163"/>
    <mergeCell ref="S163:W163"/>
    <mergeCell ref="X163:Z163"/>
    <mergeCell ref="AA163:AD163"/>
    <mergeCell ref="AE163:AG163"/>
    <mergeCell ref="L164:N164"/>
    <mergeCell ref="O164:R164"/>
    <mergeCell ref="S164:W164"/>
    <mergeCell ref="X164:Z164"/>
    <mergeCell ref="AA164:AD164"/>
    <mergeCell ref="AE164:AG164"/>
    <mergeCell ref="A177:E177"/>
    <mergeCell ref="F177:G177"/>
    <mergeCell ref="H177:K177"/>
    <mergeCell ref="A178:E178"/>
    <mergeCell ref="F178:G178"/>
    <mergeCell ref="H178:K178"/>
    <mergeCell ref="A179:E179"/>
    <mergeCell ref="F179:G179"/>
    <mergeCell ref="H179:K179"/>
    <mergeCell ref="J11:O11"/>
    <mergeCell ref="P11:V11"/>
    <mergeCell ref="W11:AB11"/>
    <mergeCell ref="AC11:AG11"/>
    <mergeCell ref="AC18:AG18"/>
    <mergeCell ref="A19:I19"/>
    <mergeCell ref="J19:O19"/>
    <mergeCell ref="P19:V19"/>
    <mergeCell ref="W19:AB19"/>
    <mergeCell ref="AC19:AG19"/>
    <mergeCell ref="A12:I12"/>
    <mergeCell ref="J12:O12"/>
    <mergeCell ref="P12:V12"/>
    <mergeCell ref="W12:AB12"/>
    <mergeCell ref="AC12:AG12"/>
    <mergeCell ref="A17:I17"/>
    <mergeCell ref="J17:O17"/>
    <mergeCell ref="P17:V17"/>
    <mergeCell ref="W17:AB17"/>
    <mergeCell ref="AC17:AG17"/>
    <mergeCell ref="A18:I18"/>
    <mergeCell ref="A20:I20"/>
    <mergeCell ref="J20:O20"/>
    <mergeCell ref="P20:V20"/>
    <mergeCell ref="W20:AB20"/>
    <mergeCell ref="AC20:AG20"/>
    <mergeCell ref="A23:AG23"/>
    <mergeCell ref="L24:R24"/>
    <mergeCell ref="S24:Z24"/>
    <mergeCell ref="AA24:AG24"/>
    <mergeCell ref="A24:E25"/>
    <mergeCell ref="F24:G25"/>
    <mergeCell ref="H24:K25"/>
    <mergeCell ref="L25:N25"/>
    <mergeCell ref="O25:R25"/>
    <mergeCell ref="S25:W25"/>
    <mergeCell ref="X25:Z25"/>
    <mergeCell ref="AA25:AD25"/>
    <mergeCell ref="AE25:AG25"/>
    <mergeCell ref="X28:Z28"/>
    <mergeCell ref="AA28:AD28"/>
    <mergeCell ref="AE28:AG28"/>
    <mergeCell ref="X32:Z32"/>
    <mergeCell ref="AA32:AD32"/>
    <mergeCell ref="AE32:AG32"/>
    <mergeCell ref="L33:N33"/>
    <mergeCell ref="O33:R33"/>
    <mergeCell ref="S33:W33"/>
    <mergeCell ref="X33:Z33"/>
    <mergeCell ref="AA33:AD33"/>
    <mergeCell ref="AE33:AG33"/>
    <mergeCell ref="L29:N29"/>
    <mergeCell ref="O29:R29"/>
    <mergeCell ref="S29:W29"/>
    <mergeCell ref="L35:N35"/>
    <mergeCell ref="O35:R35"/>
    <mergeCell ref="S35:W35"/>
    <mergeCell ref="X35:Z35"/>
    <mergeCell ref="AA35:AD35"/>
    <mergeCell ref="AE35:AG35"/>
    <mergeCell ref="L36:N36"/>
    <mergeCell ref="O36:R36"/>
    <mergeCell ref="S36:W36"/>
    <mergeCell ref="X36:Z36"/>
    <mergeCell ref="AA36:AD36"/>
    <mergeCell ref="AE36:AG36"/>
    <mergeCell ref="L40:N40"/>
    <mergeCell ref="O40:R40"/>
    <mergeCell ref="S40:W40"/>
    <mergeCell ref="X40:Z40"/>
    <mergeCell ref="AA40:AD40"/>
    <mergeCell ref="AE40:AG40"/>
    <mergeCell ref="L42:N42"/>
    <mergeCell ref="O42:R42"/>
    <mergeCell ref="S42:W42"/>
    <mergeCell ref="X42:Z42"/>
    <mergeCell ref="AA42:AD42"/>
    <mergeCell ref="AE42:AG42"/>
    <mergeCell ref="L41:N41"/>
    <mergeCell ref="O41:R41"/>
    <mergeCell ref="S41:W41"/>
    <mergeCell ref="X41:Z41"/>
    <mergeCell ref="AA41:AD41"/>
    <mergeCell ref="AE41:AG41"/>
    <mergeCell ref="L43:N43"/>
    <mergeCell ref="O43:R43"/>
    <mergeCell ref="S43:W43"/>
    <mergeCell ref="X43:Z43"/>
    <mergeCell ref="AA43:AD43"/>
    <mergeCell ref="AE43:AG43"/>
    <mergeCell ref="A47:AF47"/>
    <mergeCell ref="A49:G49"/>
    <mergeCell ref="AE49:AF49"/>
    <mergeCell ref="A44:E44"/>
    <mergeCell ref="F44:G44"/>
    <mergeCell ref="H44:K44"/>
    <mergeCell ref="L44:N44"/>
    <mergeCell ref="O44:R44"/>
    <mergeCell ref="S44:W44"/>
    <mergeCell ref="X44:Z44"/>
    <mergeCell ref="AA44:AD44"/>
    <mergeCell ref="AE44:AG44"/>
    <mergeCell ref="L45:N45"/>
    <mergeCell ref="O45:R45"/>
    <mergeCell ref="S45:W45"/>
    <mergeCell ref="X45:Z45"/>
    <mergeCell ref="AA45:AD45"/>
    <mergeCell ref="AE45:AG45"/>
    <mergeCell ref="AA56:AG56"/>
    <mergeCell ref="L58:N58"/>
    <mergeCell ref="O58:R58"/>
    <mergeCell ref="S58:W58"/>
    <mergeCell ref="X58:Z58"/>
    <mergeCell ref="AA58:AD58"/>
    <mergeCell ref="AE58:AG58"/>
    <mergeCell ref="L59:N59"/>
    <mergeCell ref="O59:R59"/>
    <mergeCell ref="S59:W59"/>
    <mergeCell ref="X59:Z59"/>
    <mergeCell ref="AA59:AD59"/>
    <mergeCell ref="AE59:AG59"/>
    <mergeCell ref="X57:Z57"/>
    <mergeCell ref="AA57:AD57"/>
    <mergeCell ref="AE57:AG57"/>
    <mergeCell ref="A62:M62"/>
    <mergeCell ref="N62:S62"/>
    <mergeCell ref="T62:AA62"/>
    <mergeCell ref="AB62:AG62"/>
    <mergeCell ref="A63:M63"/>
    <mergeCell ref="N63:S63"/>
    <mergeCell ref="T63:AA63"/>
    <mergeCell ref="AB63:AG63"/>
    <mergeCell ref="A64:M64"/>
    <mergeCell ref="N64:S64"/>
    <mergeCell ref="T64:AA64"/>
    <mergeCell ref="AB64:AG64"/>
    <mergeCell ref="K73:AG73"/>
    <mergeCell ref="K74:Q75"/>
    <mergeCell ref="R74:AA74"/>
    <mergeCell ref="AB74:AG75"/>
    <mergeCell ref="R75:T75"/>
    <mergeCell ref="U75:X75"/>
    <mergeCell ref="Y75:AA75"/>
    <mergeCell ref="A76:J76"/>
    <mergeCell ref="K76:Q76"/>
    <mergeCell ref="R76:T76"/>
    <mergeCell ref="U76:X76"/>
    <mergeCell ref="Y76:AA76"/>
    <mergeCell ref="AB76:AG76"/>
    <mergeCell ref="A77:J77"/>
    <mergeCell ref="K77:Q77"/>
    <mergeCell ref="R77:T77"/>
    <mergeCell ref="U77:X77"/>
    <mergeCell ref="Y77:AA77"/>
    <mergeCell ref="AB77:AG77"/>
    <mergeCell ref="A79:J79"/>
    <mergeCell ref="K79:Q79"/>
    <mergeCell ref="R79:T79"/>
    <mergeCell ref="U79:X79"/>
    <mergeCell ref="Y79:AA79"/>
    <mergeCell ref="AB79:AG79"/>
    <mergeCell ref="A80:AG80"/>
    <mergeCell ref="A81:AG81"/>
    <mergeCell ref="G82:H82"/>
    <mergeCell ref="I82:L82"/>
    <mergeCell ref="M82:P82"/>
    <mergeCell ref="Q82:T82"/>
    <mergeCell ref="U82:Y82"/>
    <mergeCell ref="Z82:AC82"/>
    <mergeCell ref="AD82:AG82"/>
    <mergeCell ref="A82:B82"/>
    <mergeCell ref="E82:F82"/>
    <mergeCell ref="Z83:AC83"/>
    <mergeCell ref="AD83:AG83"/>
    <mergeCell ref="G86:H86"/>
    <mergeCell ref="I86:L86"/>
    <mergeCell ref="M86:P86"/>
    <mergeCell ref="Q86:T86"/>
    <mergeCell ref="U86:Y86"/>
    <mergeCell ref="Z86:AC86"/>
    <mergeCell ref="AD86:AG86"/>
    <mergeCell ref="G83:H83"/>
    <mergeCell ref="I83:L83"/>
    <mergeCell ref="M83:P83"/>
    <mergeCell ref="Q83:T83"/>
    <mergeCell ref="G85:H85"/>
    <mergeCell ref="I85:L85"/>
    <mergeCell ref="M85:P85"/>
    <mergeCell ref="Q85:T85"/>
    <mergeCell ref="U85:Y85"/>
    <mergeCell ref="U83:Y83"/>
    <mergeCell ref="A96:G96"/>
    <mergeCell ref="A97:AG97"/>
    <mergeCell ref="G98:H98"/>
    <mergeCell ref="I98:L98"/>
    <mergeCell ref="M98:P98"/>
    <mergeCell ref="Q98:T98"/>
    <mergeCell ref="U98:Y98"/>
    <mergeCell ref="Z98:AC98"/>
    <mergeCell ref="AD98:AG98"/>
    <mergeCell ref="A100:AG100"/>
    <mergeCell ref="A101:AC101"/>
    <mergeCell ref="AD101:AG101"/>
    <mergeCell ref="A102:AC102"/>
    <mergeCell ref="AD102:AG102"/>
    <mergeCell ref="A103:AC103"/>
    <mergeCell ref="AD103:AG103"/>
    <mergeCell ref="A104:AG104"/>
    <mergeCell ref="A105:J107"/>
    <mergeCell ref="K105:AG105"/>
    <mergeCell ref="K106:Q107"/>
    <mergeCell ref="R106:AA106"/>
    <mergeCell ref="AB106:AG107"/>
    <mergeCell ref="R107:T107"/>
    <mergeCell ref="U107:X107"/>
    <mergeCell ref="Y107:AA107"/>
    <mergeCell ref="A108:J108"/>
    <mergeCell ref="K108:Q108"/>
    <mergeCell ref="R108:T108"/>
    <mergeCell ref="U108:X108"/>
    <mergeCell ref="Y108:AA108"/>
    <mergeCell ref="AB108:AG108"/>
    <mergeCell ref="A109:J109"/>
    <mergeCell ref="K109:Q109"/>
    <mergeCell ref="R109:T109"/>
    <mergeCell ref="U109:X109"/>
    <mergeCell ref="Y109:AA109"/>
    <mergeCell ref="AB109:AG109"/>
    <mergeCell ref="A110:J110"/>
    <mergeCell ref="K110:Q110"/>
    <mergeCell ref="R110:T110"/>
    <mergeCell ref="U110:X110"/>
    <mergeCell ref="Y110:AA110"/>
    <mergeCell ref="AB110:AG110"/>
    <mergeCell ref="A111:J111"/>
    <mergeCell ref="K111:Q111"/>
    <mergeCell ref="R111:T111"/>
    <mergeCell ref="U111:X111"/>
    <mergeCell ref="Y111:AA111"/>
    <mergeCell ref="AB111:AG111"/>
    <mergeCell ref="P117:V117"/>
    <mergeCell ref="W117:AB117"/>
    <mergeCell ref="AC117:AG117"/>
    <mergeCell ref="AC120:AG120"/>
    <mergeCell ref="A121:I121"/>
    <mergeCell ref="J121:O121"/>
    <mergeCell ref="P121:V121"/>
    <mergeCell ref="W121:AB121"/>
    <mergeCell ref="AC121:AG121"/>
    <mergeCell ref="A118:I118"/>
    <mergeCell ref="J118:O118"/>
    <mergeCell ref="P118:V118"/>
    <mergeCell ref="W118:AB118"/>
    <mergeCell ref="AC118:AG118"/>
    <mergeCell ref="O125:R125"/>
    <mergeCell ref="S125:W125"/>
    <mergeCell ref="X125:Z125"/>
    <mergeCell ref="AA125:AD125"/>
    <mergeCell ref="AE125:AG125"/>
    <mergeCell ref="L126:N126"/>
    <mergeCell ref="O126:R126"/>
    <mergeCell ref="S126:W126"/>
    <mergeCell ref="X126:Z126"/>
    <mergeCell ref="AA126:AD126"/>
    <mergeCell ref="AE126:AG126"/>
    <mergeCell ref="L127:N127"/>
    <mergeCell ref="O127:R127"/>
    <mergeCell ref="S127:W127"/>
    <mergeCell ref="X127:Z127"/>
    <mergeCell ref="AA127:AD127"/>
    <mergeCell ref="AE127:AG127"/>
    <mergeCell ref="L128:N128"/>
    <mergeCell ref="O128:R128"/>
    <mergeCell ref="S128:W128"/>
    <mergeCell ref="X128:Z128"/>
    <mergeCell ref="AA128:AD128"/>
    <mergeCell ref="AE128:AG128"/>
    <mergeCell ref="X140:Z140"/>
    <mergeCell ref="AA140:AD140"/>
    <mergeCell ref="AE140:AG140"/>
    <mergeCell ref="L141:N141"/>
    <mergeCell ref="O141:R141"/>
    <mergeCell ref="S141:W141"/>
    <mergeCell ref="X141:Z141"/>
    <mergeCell ref="AA141:AD141"/>
    <mergeCell ref="AE141:AG141"/>
    <mergeCell ref="L142:N142"/>
    <mergeCell ref="O142:R142"/>
    <mergeCell ref="S142:W142"/>
    <mergeCell ref="X142:Z142"/>
    <mergeCell ref="AA142:AD142"/>
    <mergeCell ref="AE142:AG142"/>
    <mergeCell ref="L143:N143"/>
    <mergeCell ref="O143:R143"/>
    <mergeCell ref="S143:W143"/>
    <mergeCell ref="X143:Z143"/>
    <mergeCell ref="AA143:AD143"/>
    <mergeCell ref="AE143:AG143"/>
    <mergeCell ref="L144:N144"/>
    <mergeCell ref="O144:R144"/>
    <mergeCell ref="S144:W144"/>
    <mergeCell ref="X144:Z144"/>
    <mergeCell ref="AA144:AD144"/>
    <mergeCell ref="AE144:AG144"/>
    <mergeCell ref="L145:N145"/>
    <mergeCell ref="O145:R145"/>
    <mergeCell ref="S145:W145"/>
    <mergeCell ref="X145:Z145"/>
    <mergeCell ref="AA145:AD145"/>
    <mergeCell ref="AE145:AG145"/>
    <mergeCell ref="L146:N146"/>
    <mergeCell ref="O146:R146"/>
    <mergeCell ref="S146:W146"/>
    <mergeCell ref="X146:Z146"/>
    <mergeCell ref="AA146:AD146"/>
    <mergeCell ref="AE146:AG146"/>
    <mergeCell ref="L147:N147"/>
    <mergeCell ref="O147:R147"/>
    <mergeCell ref="S147:W147"/>
    <mergeCell ref="X147:Z147"/>
    <mergeCell ref="AA147:AD147"/>
    <mergeCell ref="AE147:AG147"/>
    <mergeCell ref="X148:Z148"/>
    <mergeCell ref="AA148:AD148"/>
    <mergeCell ref="AE148:AG148"/>
    <mergeCell ref="AA149:AD149"/>
    <mergeCell ref="AE149:AG149"/>
    <mergeCell ref="L150:N150"/>
    <mergeCell ref="O150:R150"/>
    <mergeCell ref="S150:W150"/>
    <mergeCell ref="X150:Z150"/>
    <mergeCell ref="AA150:AD150"/>
    <mergeCell ref="AE150:AG150"/>
    <mergeCell ref="L151:N151"/>
    <mergeCell ref="O151:R151"/>
    <mergeCell ref="S151:W151"/>
    <mergeCell ref="X151:Z151"/>
    <mergeCell ref="AA151:AD151"/>
    <mergeCell ref="AE151:AG151"/>
    <mergeCell ref="X149:Z149"/>
    <mergeCell ref="AA152:AD152"/>
    <mergeCell ref="AE152:AG152"/>
    <mergeCell ref="L152:N152"/>
    <mergeCell ref="O152:R152"/>
    <mergeCell ref="S152:W152"/>
    <mergeCell ref="X152:Z152"/>
    <mergeCell ref="L153:N153"/>
    <mergeCell ref="O153:R153"/>
    <mergeCell ref="S153:W153"/>
    <mergeCell ref="X153:Z153"/>
    <mergeCell ref="AA153:AD153"/>
    <mergeCell ref="AE153:AG153"/>
    <mergeCell ref="L154:N154"/>
    <mergeCell ref="O154:R154"/>
    <mergeCell ref="S154:W154"/>
    <mergeCell ref="X154:Z154"/>
    <mergeCell ref="AA154:AD154"/>
    <mergeCell ref="AE154:AG154"/>
    <mergeCell ref="AA155:AD155"/>
    <mergeCell ref="AE155:AG155"/>
    <mergeCell ref="L156:N156"/>
    <mergeCell ref="O156:R156"/>
    <mergeCell ref="S156:W156"/>
    <mergeCell ref="X156:Z156"/>
    <mergeCell ref="AA156:AD156"/>
    <mergeCell ref="AE156:AG156"/>
    <mergeCell ref="L157:N157"/>
    <mergeCell ref="O157:R157"/>
    <mergeCell ref="S157:W157"/>
    <mergeCell ref="X157:Z157"/>
    <mergeCell ref="AA157:AD157"/>
    <mergeCell ref="AE157:AG157"/>
    <mergeCell ref="X155:Z155"/>
    <mergeCell ref="AA158:AD158"/>
    <mergeCell ref="AE158:AG158"/>
    <mergeCell ref="L159:N159"/>
    <mergeCell ref="O159:R159"/>
    <mergeCell ref="S159:W159"/>
    <mergeCell ref="X159:Z159"/>
    <mergeCell ref="AA159:AD159"/>
    <mergeCell ref="AE159:AG159"/>
    <mergeCell ref="A160:AG160"/>
    <mergeCell ref="L158:N158"/>
    <mergeCell ref="O158:R158"/>
    <mergeCell ref="S158:W158"/>
    <mergeCell ref="X158:Z158"/>
    <mergeCell ref="A166:AF166"/>
    <mergeCell ref="A168:G168"/>
    <mergeCell ref="AE168:AF168"/>
    <mergeCell ref="A169:G169"/>
    <mergeCell ref="A170:G170"/>
    <mergeCell ref="A171:G171"/>
    <mergeCell ref="A172:G172"/>
    <mergeCell ref="A174:G174"/>
    <mergeCell ref="L175:R175"/>
    <mergeCell ref="S175:Z175"/>
    <mergeCell ref="AA175:AG175"/>
    <mergeCell ref="A175:E176"/>
    <mergeCell ref="F175:G176"/>
    <mergeCell ref="H175:K176"/>
    <mergeCell ref="L176:N176"/>
    <mergeCell ref="O176:R176"/>
    <mergeCell ref="S176:W176"/>
    <mergeCell ref="X176:Z176"/>
    <mergeCell ref="AA176:AD176"/>
    <mergeCell ref="AE176:AG176"/>
    <mergeCell ref="L177:N177"/>
    <mergeCell ref="O177:R177"/>
    <mergeCell ref="S177:W177"/>
    <mergeCell ref="X177:Z177"/>
    <mergeCell ref="AA177:AD177"/>
    <mergeCell ref="AE177:AG177"/>
    <mergeCell ref="L178:N178"/>
    <mergeCell ref="O178:R178"/>
    <mergeCell ref="S178:W178"/>
    <mergeCell ref="X178:Z178"/>
    <mergeCell ref="AA178:AD178"/>
    <mergeCell ref="AE178:AG178"/>
    <mergeCell ref="S180:W180"/>
    <mergeCell ref="X180:Z180"/>
    <mergeCell ref="AA180:AD180"/>
    <mergeCell ref="AE180:AG180"/>
    <mergeCell ref="L181:N181"/>
    <mergeCell ref="O181:R181"/>
    <mergeCell ref="S181:W181"/>
    <mergeCell ref="X181:Z181"/>
    <mergeCell ref="AA181:AD181"/>
    <mergeCell ref="AE181:AG181"/>
    <mergeCell ref="S182:W182"/>
    <mergeCell ref="X182:Z182"/>
    <mergeCell ref="AA182:AD182"/>
    <mergeCell ref="AE182:AG182"/>
    <mergeCell ref="A183:AG183"/>
    <mergeCell ref="A186:U186"/>
    <mergeCell ref="A187:AE187"/>
    <mergeCell ref="A194:AF194"/>
    <mergeCell ref="A182:E182"/>
    <mergeCell ref="F182:G182"/>
    <mergeCell ref="H182:K18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K36"/>
  <sheetViews>
    <sheetView zoomScaleNormal="100" workbookViewId="0">
      <selection activeCell="I34" sqref="I34"/>
    </sheetView>
  </sheetViews>
  <sheetFormatPr defaultColWidth="8.7109375" defaultRowHeight="15" x14ac:dyDescent="0.25"/>
  <cols>
    <col min="1" max="1" width="6.5703125" style="10" customWidth="1"/>
    <col min="2" max="2" width="9.140625" style="10" hidden="1" customWidth="1"/>
    <col min="3" max="3" width="36" style="10" customWidth="1"/>
    <col min="4" max="4" width="15.7109375" style="10" customWidth="1"/>
    <col min="5" max="5" width="17" style="10" customWidth="1"/>
    <col min="6" max="6" width="11.85546875" style="10" customWidth="1"/>
    <col min="7" max="7" width="7.28515625" style="10" customWidth="1"/>
    <col min="8" max="8" width="18.42578125" style="10" customWidth="1"/>
    <col min="9" max="9" width="13.7109375" style="10" customWidth="1"/>
    <col min="10" max="10" width="11" style="10" bestFit="1" customWidth="1"/>
    <col min="11" max="1025" width="9.140625" style="10" customWidth="1"/>
  </cols>
  <sheetData>
    <row r="1" spans="1:1025" x14ac:dyDescent="0.25">
      <c r="A1" s="10" t="s">
        <v>453</v>
      </c>
    </row>
    <row r="2" spans="1:1025" x14ac:dyDescent="0.25">
      <c r="A2" s="10" t="s">
        <v>333</v>
      </c>
    </row>
    <row r="3" spans="1:1025" x14ac:dyDescent="0.25">
      <c r="A3" s="10" t="s">
        <v>454</v>
      </c>
    </row>
    <row r="4" spans="1:1025" x14ac:dyDescent="0.25">
      <c r="A4" s="10" t="s">
        <v>105</v>
      </c>
    </row>
    <row r="5" spans="1:1025" x14ac:dyDescent="0.25">
      <c r="A5" s="10" t="s">
        <v>1699</v>
      </c>
    </row>
    <row r="6" spans="1:1025" x14ac:dyDescent="0.25">
      <c r="A6" s="10" t="s">
        <v>455</v>
      </c>
      <c r="J6" s="10" t="s">
        <v>5</v>
      </c>
    </row>
    <row r="7" spans="1:1025" x14ac:dyDescent="0.25">
      <c r="A7" s="27" t="s">
        <v>11</v>
      </c>
      <c r="B7" s="58"/>
      <c r="C7" s="58"/>
      <c r="D7" s="59" t="s">
        <v>448</v>
      </c>
      <c r="E7" s="466" t="s">
        <v>141</v>
      </c>
      <c r="F7" s="466"/>
      <c r="G7" s="466"/>
      <c r="H7" s="466"/>
      <c r="I7" s="466"/>
      <c r="J7" s="59" t="s">
        <v>220</v>
      </c>
    </row>
    <row r="8" spans="1:1025" x14ac:dyDescent="0.25">
      <c r="A8" s="33"/>
      <c r="B8" s="34"/>
      <c r="C8" s="34"/>
      <c r="D8" s="418" t="s">
        <v>46</v>
      </c>
      <c r="E8" s="468" t="s">
        <v>47</v>
      </c>
      <c r="F8" s="468"/>
      <c r="G8" s="468"/>
      <c r="H8" s="468"/>
      <c r="I8" s="468"/>
      <c r="J8" s="418" t="s">
        <v>223</v>
      </c>
    </row>
    <row r="9" spans="1:1025" x14ac:dyDescent="0.25">
      <c r="A9" s="60" t="s">
        <v>456</v>
      </c>
      <c r="B9" s="9"/>
      <c r="C9" s="9"/>
      <c r="D9" s="61">
        <v>1088233.18</v>
      </c>
      <c r="E9" s="524">
        <v>863301.54</v>
      </c>
      <c r="F9" s="525"/>
      <c r="G9" s="525"/>
      <c r="H9" s="525"/>
      <c r="I9" s="526"/>
      <c r="J9" s="62">
        <v>224931.64</v>
      </c>
    </row>
    <row r="10" spans="1:1025" x14ac:dyDescent="0.25">
      <c r="A10" s="60"/>
      <c r="B10" s="9"/>
      <c r="C10" s="9" t="s">
        <v>457</v>
      </c>
      <c r="D10" s="61">
        <v>0</v>
      </c>
      <c r="E10" s="4">
        <v>0</v>
      </c>
      <c r="F10" s="4"/>
      <c r="G10" s="4"/>
      <c r="H10" s="4"/>
      <c r="I10" s="62"/>
      <c r="J10" s="62">
        <v>0</v>
      </c>
    </row>
    <row r="11" spans="1:1025" x14ac:dyDescent="0.25">
      <c r="A11" s="60"/>
      <c r="B11" s="9"/>
      <c r="C11" s="9" t="s">
        <v>458</v>
      </c>
      <c r="D11" s="61">
        <v>0</v>
      </c>
      <c r="E11" s="527">
        <v>0</v>
      </c>
      <c r="F11" s="528"/>
      <c r="G11" s="528"/>
      <c r="H11" s="528"/>
      <c r="I11" s="529"/>
      <c r="J11" s="62">
        <v>0</v>
      </c>
    </row>
    <row r="12" spans="1:1025" x14ac:dyDescent="0.25">
      <c r="A12" s="60"/>
      <c r="B12" s="9"/>
      <c r="C12" s="9" t="s">
        <v>459</v>
      </c>
      <c r="D12" s="61">
        <v>0</v>
      </c>
      <c r="E12" s="501">
        <v>0</v>
      </c>
      <c r="F12" s="4"/>
      <c r="G12" s="4"/>
      <c r="H12" s="4"/>
      <c r="I12" s="62"/>
      <c r="J12" s="62">
        <v>0</v>
      </c>
    </row>
    <row r="13" spans="1:1025" x14ac:dyDescent="0.25">
      <c r="A13" s="33"/>
      <c r="B13" s="34"/>
      <c r="C13" s="34" t="s">
        <v>460</v>
      </c>
      <c r="D13" s="63">
        <v>1088233.18</v>
      </c>
      <c r="E13" s="64">
        <v>863301.54</v>
      </c>
      <c r="F13" s="64"/>
      <c r="G13" s="64"/>
      <c r="H13" s="64"/>
      <c r="I13" s="65"/>
      <c r="J13" s="65">
        <v>224931.64</v>
      </c>
    </row>
    <row r="14" spans="1:1025" s="413" customFormat="1" ht="8.25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</row>
    <row r="15" spans="1:1025" x14ac:dyDescent="0.25">
      <c r="A15" s="27" t="s">
        <v>17</v>
      </c>
      <c r="B15" s="58"/>
      <c r="C15" s="58"/>
      <c r="D15" s="66" t="s">
        <v>449</v>
      </c>
      <c r="E15" s="466" t="s">
        <v>17</v>
      </c>
      <c r="F15" s="66" t="s">
        <v>17</v>
      </c>
      <c r="G15" s="466" t="s">
        <v>17</v>
      </c>
      <c r="H15" s="66" t="s">
        <v>17</v>
      </c>
      <c r="I15" s="466" t="s">
        <v>461</v>
      </c>
      <c r="J15" s="66" t="s">
        <v>220</v>
      </c>
    </row>
    <row r="16" spans="1:1025" x14ac:dyDescent="0.25">
      <c r="A16" s="60"/>
      <c r="B16" s="9"/>
      <c r="C16" s="9"/>
      <c r="D16" s="419"/>
      <c r="E16" s="467" t="s">
        <v>462</v>
      </c>
      <c r="F16" s="419" t="s">
        <v>450</v>
      </c>
      <c r="G16" s="467" t="s">
        <v>463</v>
      </c>
      <c r="H16" s="419" t="s">
        <v>464</v>
      </c>
      <c r="I16" s="467" t="s">
        <v>465</v>
      </c>
      <c r="J16" s="419"/>
    </row>
    <row r="17" spans="1:1025" x14ac:dyDescent="0.25">
      <c r="A17" s="60"/>
      <c r="B17" s="9"/>
      <c r="C17" s="9"/>
      <c r="D17" s="419"/>
      <c r="E17" s="467"/>
      <c r="F17" s="419"/>
      <c r="G17" s="467"/>
      <c r="H17" s="419" t="s">
        <v>466</v>
      </c>
      <c r="I17" s="467"/>
      <c r="J17" s="419"/>
    </row>
    <row r="18" spans="1:1025" x14ac:dyDescent="0.25">
      <c r="A18" s="33"/>
      <c r="B18" s="34"/>
      <c r="C18" s="34"/>
      <c r="D18" s="418" t="s">
        <v>224</v>
      </c>
      <c r="E18" s="468" t="s">
        <v>451</v>
      </c>
      <c r="F18" s="418"/>
      <c r="G18" s="468" t="s">
        <v>434</v>
      </c>
      <c r="H18" s="418"/>
      <c r="I18" s="468" t="s">
        <v>435</v>
      </c>
      <c r="J18" s="418" t="s">
        <v>467</v>
      </c>
    </row>
    <row r="19" spans="1:1025" x14ac:dyDescent="0.25">
      <c r="A19" s="27" t="s">
        <v>468</v>
      </c>
      <c r="B19" s="58"/>
      <c r="C19" s="58"/>
      <c r="D19" s="67">
        <v>608296</v>
      </c>
      <c r="E19" s="68">
        <v>0</v>
      </c>
      <c r="F19" s="67">
        <v>0</v>
      </c>
      <c r="G19" s="68">
        <v>0</v>
      </c>
      <c r="H19" s="67">
        <v>0</v>
      </c>
      <c r="I19" s="68">
        <v>0</v>
      </c>
      <c r="J19" s="67">
        <v>608296</v>
      </c>
    </row>
    <row r="20" spans="1:1025" x14ac:dyDescent="0.25">
      <c r="A20" s="60" t="s">
        <v>446</v>
      </c>
      <c r="B20" s="9"/>
      <c r="C20" s="9"/>
      <c r="D20" s="61">
        <v>608296</v>
      </c>
      <c r="E20" s="4">
        <v>0</v>
      </c>
      <c r="F20" s="61">
        <v>0</v>
      </c>
      <c r="G20" s="4">
        <v>0</v>
      </c>
      <c r="H20" s="61">
        <v>0</v>
      </c>
      <c r="I20" s="4">
        <v>0</v>
      </c>
      <c r="J20" s="61">
        <v>608296</v>
      </c>
    </row>
    <row r="21" spans="1:1025" x14ac:dyDescent="0.25">
      <c r="A21" s="60"/>
      <c r="B21" s="9" t="s">
        <v>284</v>
      </c>
      <c r="C21" s="9"/>
      <c r="D21" s="61">
        <v>608296</v>
      </c>
      <c r="E21" s="4">
        <v>0</v>
      </c>
      <c r="F21" s="61">
        <v>0</v>
      </c>
      <c r="G21" s="4">
        <v>0</v>
      </c>
      <c r="H21" s="61">
        <v>0</v>
      </c>
      <c r="I21" s="4">
        <v>0</v>
      </c>
      <c r="J21" s="61">
        <v>608296</v>
      </c>
    </row>
    <row r="22" spans="1:1025" x14ac:dyDescent="0.25">
      <c r="A22" s="60"/>
      <c r="B22" s="9" t="s">
        <v>285</v>
      </c>
      <c r="C22" s="9"/>
      <c r="D22" s="61">
        <v>0</v>
      </c>
      <c r="E22" s="4">
        <v>0</v>
      </c>
      <c r="F22" s="61">
        <v>0</v>
      </c>
      <c r="G22" s="4">
        <v>0</v>
      </c>
      <c r="H22" s="61">
        <v>0</v>
      </c>
      <c r="I22" s="4">
        <v>0</v>
      </c>
      <c r="J22" s="61">
        <v>0</v>
      </c>
    </row>
    <row r="23" spans="1:1025" x14ac:dyDescent="0.25">
      <c r="A23" s="60"/>
      <c r="B23" s="9" t="s">
        <v>452</v>
      </c>
      <c r="C23" s="9"/>
      <c r="D23" s="61">
        <v>0</v>
      </c>
      <c r="E23" s="4">
        <v>0</v>
      </c>
      <c r="F23" s="61">
        <v>0</v>
      </c>
      <c r="G23" s="4">
        <v>0</v>
      </c>
      <c r="H23" s="61">
        <v>0</v>
      </c>
      <c r="I23" s="4">
        <v>0</v>
      </c>
      <c r="J23" s="61">
        <v>0</v>
      </c>
    </row>
    <row r="24" spans="1:1025" x14ac:dyDescent="0.25">
      <c r="A24" s="60" t="s">
        <v>469</v>
      </c>
      <c r="B24" s="9"/>
      <c r="C24" s="9"/>
      <c r="D24" s="61">
        <v>0</v>
      </c>
      <c r="E24" s="4">
        <v>0</v>
      </c>
      <c r="F24" s="61">
        <v>0</v>
      </c>
      <c r="G24" s="4">
        <v>0</v>
      </c>
      <c r="H24" s="61">
        <v>0</v>
      </c>
      <c r="I24" s="4">
        <v>0</v>
      </c>
      <c r="J24" s="61">
        <v>0</v>
      </c>
    </row>
    <row r="25" spans="1:1025" x14ac:dyDescent="0.25">
      <c r="A25" s="33"/>
      <c r="B25" s="34" t="s">
        <v>470</v>
      </c>
      <c r="C25" s="34"/>
      <c r="D25" s="63">
        <v>0</v>
      </c>
      <c r="E25" s="64">
        <v>0</v>
      </c>
      <c r="F25" s="63">
        <v>0</v>
      </c>
      <c r="G25" s="64">
        <v>0</v>
      </c>
      <c r="H25" s="63">
        <v>0</v>
      </c>
      <c r="I25" s="64">
        <v>0</v>
      </c>
      <c r="J25" s="63">
        <v>0</v>
      </c>
    </row>
    <row r="26" spans="1:1025" s="413" customFormat="1" ht="8.25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  <c r="ALO26" s="8"/>
      <c r="ALP26" s="8"/>
      <c r="ALQ26" s="8"/>
      <c r="ALR26" s="8"/>
      <c r="ALS26" s="8"/>
      <c r="ALT26" s="8"/>
      <c r="ALU26" s="8"/>
      <c r="ALV26" s="8"/>
      <c r="ALW26" s="8"/>
      <c r="ALX26" s="8"/>
      <c r="ALY26" s="8"/>
      <c r="ALZ26" s="8"/>
      <c r="AMA26" s="8"/>
      <c r="AMB26" s="8"/>
      <c r="AMC26" s="8"/>
      <c r="AMD26" s="8"/>
      <c r="AME26" s="8"/>
      <c r="AMF26" s="8"/>
      <c r="AMG26" s="8"/>
      <c r="AMH26" s="8"/>
      <c r="AMI26" s="8"/>
      <c r="AMJ26" s="8"/>
      <c r="AMK26" s="8"/>
    </row>
    <row r="27" spans="1:1025" x14ac:dyDescent="0.25">
      <c r="A27" s="27" t="s">
        <v>471</v>
      </c>
      <c r="B27" s="58"/>
      <c r="C27" s="58"/>
      <c r="D27" s="59">
        <v>2024</v>
      </c>
      <c r="E27" s="59">
        <v>2025</v>
      </c>
      <c r="F27" s="58"/>
      <c r="G27" s="59"/>
      <c r="H27" s="58"/>
      <c r="I27" s="59"/>
      <c r="J27" s="59" t="s">
        <v>380</v>
      </c>
    </row>
    <row r="28" spans="1:1025" x14ac:dyDescent="0.25">
      <c r="A28" s="60"/>
      <c r="B28" s="9"/>
      <c r="C28" s="9"/>
      <c r="D28" s="69" t="s">
        <v>436</v>
      </c>
      <c r="E28" s="73" t="s">
        <v>472</v>
      </c>
      <c r="F28" s="9"/>
      <c r="G28" s="73"/>
      <c r="H28" s="9"/>
      <c r="I28" s="73"/>
      <c r="J28" s="69" t="s">
        <v>473</v>
      </c>
    </row>
    <row r="29" spans="1:1025" x14ac:dyDescent="0.25">
      <c r="A29" s="30" t="s">
        <v>474</v>
      </c>
      <c r="B29" s="31"/>
      <c r="C29" s="31"/>
      <c r="D29" s="662"/>
      <c r="E29" s="530">
        <v>863301.54</v>
      </c>
      <c r="F29" s="31"/>
      <c r="G29" s="31"/>
      <c r="H29" s="31"/>
      <c r="I29" s="31"/>
      <c r="J29" s="70">
        <v>863301.54</v>
      </c>
    </row>
    <row r="33" spans="1:13" x14ac:dyDescent="0.25">
      <c r="A33" s="1028" t="s">
        <v>934</v>
      </c>
      <c r="B33" s="1028"/>
      <c r="C33" s="1028"/>
      <c r="D33" s="1028"/>
      <c r="E33" s="1028"/>
      <c r="F33" s="1028"/>
      <c r="G33" s="1028"/>
      <c r="H33" s="1028"/>
      <c r="I33" s="1028"/>
      <c r="J33" s="1028"/>
      <c r="K33" s="57"/>
      <c r="L33" s="57"/>
      <c r="M33" s="57"/>
    </row>
    <row r="34" spans="1:13" x14ac:dyDescent="0.25">
      <c r="A34" s="57" t="s">
        <v>1700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 x14ac:dyDescent="0.25">
      <c r="A35" s="57" t="s">
        <v>935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</row>
    <row r="36" spans="1:13" x14ac:dyDescent="0.25">
      <c r="A36" s="1028" t="s">
        <v>1701</v>
      </c>
      <c r="B36" s="1028"/>
      <c r="C36" s="1028"/>
      <c r="D36" s="1028"/>
      <c r="E36" s="1028"/>
      <c r="F36" s="1028"/>
      <c r="G36" s="1028"/>
      <c r="H36" s="1028"/>
      <c r="I36" s="1028"/>
      <c r="J36" s="1028"/>
      <c r="K36" s="57"/>
      <c r="L36" s="57"/>
      <c r="M36" s="57"/>
    </row>
  </sheetData>
  <mergeCells count="2">
    <mergeCell ref="A33:J33"/>
    <mergeCell ref="A36:J3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2410-734D-4F92-8D39-579300E135F8}">
  <dimension ref="A1:Q47"/>
  <sheetViews>
    <sheetView topLeftCell="A2" workbookViewId="0">
      <selection activeCell="V30" sqref="V30"/>
    </sheetView>
  </sheetViews>
  <sheetFormatPr defaultRowHeight="15" x14ac:dyDescent="0.25"/>
  <cols>
    <col min="1" max="1" width="38.85546875" style="478" customWidth="1"/>
    <col min="2" max="2" width="11.28515625" style="478" customWidth="1"/>
    <col min="3" max="3" width="5" style="478" customWidth="1"/>
    <col min="4" max="4" width="1" style="478" customWidth="1"/>
    <col min="5" max="5" width="3.140625" style="478" customWidth="1"/>
    <col min="6" max="6" width="9.140625" style="478" customWidth="1"/>
    <col min="7" max="9" width="9.140625" style="478"/>
    <col min="10" max="10" width="1" style="478" customWidth="1"/>
    <col min="11" max="11" width="13.28515625" style="478" customWidth="1"/>
    <col min="12" max="12" width="8.140625" style="478" customWidth="1"/>
    <col min="13" max="13" width="1" style="478" customWidth="1"/>
    <col min="14" max="14" width="10.28515625" style="478" customWidth="1"/>
    <col min="15" max="15" width="6.140625" style="478" customWidth="1"/>
    <col min="16" max="16" width="5.140625" style="478" customWidth="1"/>
    <col min="17" max="17" width="0.5703125" style="478" customWidth="1"/>
    <col min="18" max="16384" width="9.140625" style="478"/>
  </cols>
  <sheetData>
    <row r="1" spans="1:17" ht="11.65" customHeight="1" x14ac:dyDescent="0.25">
      <c r="A1" s="797" t="s">
        <v>1702</v>
      </c>
      <c r="B1" s="797"/>
      <c r="C1" s="797"/>
      <c r="D1" s="797"/>
      <c r="O1" s="798" t="s">
        <v>447</v>
      </c>
      <c r="P1" s="798"/>
    </row>
    <row r="2" spans="1:17" ht="10.9" customHeight="1" x14ac:dyDescent="0.25">
      <c r="A2" s="797" t="s">
        <v>103</v>
      </c>
      <c r="B2" s="797"/>
      <c r="C2" s="797"/>
      <c r="D2" s="797"/>
    </row>
    <row r="3" spans="1:17" ht="11.65" customHeight="1" x14ac:dyDescent="0.25">
      <c r="A3" s="839" t="s">
        <v>1395</v>
      </c>
      <c r="B3" s="839"/>
      <c r="C3" s="839"/>
      <c r="D3" s="839"/>
    </row>
    <row r="4" spans="1:17" ht="11.65" customHeight="1" x14ac:dyDescent="0.25">
      <c r="A4" s="797" t="s">
        <v>105</v>
      </c>
      <c r="B4" s="797"/>
      <c r="C4" s="797"/>
      <c r="D4" s="797"/>
    </row>
    <row r="5" spans="1:17" ht="11.65" customHeight="1" x14ac:dyDescent="0.25">
      <c r="A5" s="797" t="s">
        <v>2557</v>
      </c>
      <c r="B5" s="797"/>
      <c r="C5" s="797"/>
      <c r="D5" s="797"/>
    </row>
    <row r="6" spans="1:17" ht="5.85" customHeight="1" x14ac:dyDescent="0.25"/>
    <row r="7" spans="1:17" ht="10.9" customHeight="1" x14ac:dyDescent="0.25">
      <c r="A7" s="902" t="s">
        <v>1396</v>
      </c>
      <c r="B7" s="902"/>
      <c r="C7" s="902"/>
      <c r="D7" s="479"/>
      <c r="E7" s="479"/>
      <c r="F7" s="479"/>
      <c r="G7" s="479"/>
      <c r="H7" s="479"/>
      <c r="I7" s="479"/>
      <c r="J7" s="479"/>
      <c r="K7" s="479"/>
      <c r="L7" s="479"/>
      <c r="M7" s="887" t="s">
        <v>107</v>
      </c>
      <c r="N7" s="887"/>
      <c r="O7" s="887"/>
      <c r="P7" s="887"/>
      <c r="Q7" s="479"/>
    </row>
    <row r="8" spans="1:17" ht="11.65" customHeight="1" x14ac:dyDescent="0.25">
      <c r="A8" s="799" t="s">
        <v>1397</v>
      </c>
      <c r="B8" s="1033" t="s">
        <v>1398</v>
      </c>
      <c r="C8" s="799" t="s">
        <v>1399</v>
      </c>
      <c r="D8" s="823"/>
      <c r="E8" s="823"/>
      <c r="F8" s="823"/>
      <c r="G8" s="823"/>
      <c r="H8" s="800"/>
      <c r="I8" s="1033" t="s">
        <v>1400</v>
      </c>
      <c r="J8" s="1033" t="s">
        <v>1401</v>
      </c>
      <c r="K8" s="970"/>
      <c r="L8" s="1033" t="s">
        <v>131</v>
      </c>
      <c r="M8" s="970"/>
      <c r="N8" s="909" t="s">
        <v>1402</v>
      </c>
      <c r="O8" s="1033" t="s">
        <v>132</v>
      </c>
      <c r="P8" s="973"/>
      <c r="Q8" s="970"/>
    </row>
    <row r="9" spans="1:17" ht="17.45" customHeight="1" x14ac:dyDescent="0.25">
      <c r="A9" s="1036"/>
      <c r="B9" s="1034"/>
      <c r="C9" s="909" t="s">
        <v>1403</v>
      </c>
      <c r="D9" s="911"/>
      <c r="E9" s="911"/>
      <c r="F9" s="910"/>
      <c r="G9" s="1033" t="s">
        <v>1404</v>
      </c>
      <c r="H9" s="1033" t="s">
        <v>1405</v>
      </c>
      <c r="I9" s="1034"/>
      <c r="J9" s="1037"/>
      <c r="K9" s="1038"/>
      <c r="L9" s="1037"/>
      <c r="M9" s="1038"/>
      <c r="N9" s="1034"/>
      <c r="O9" s="1037"/>
      <c r="P9" s="1039"/>
      <c r="Q9" s="1038"/>
    </row>
    <row r="10" spans="1:17" ht="28.5" customHeight="1" x14ac:dyDescent="0.25">
      <c r="A10" s="1036"/>
      <c r="B10" s="1034"/>
      <c r="C10" s="1033" t="s">
        <v>1406</v>
      </c>
      <c r="D10" s="973"/>
      <c r="E10" s="970"/>
      <c r="F10" s="711" t="s">
        <v>1407</v>
      </c>
      <c r="G10" s="1034"/>
      <c r="H10" s="1034"/>
      <c r="I10" s="1034"/>
      <c r="J10" s="1037"/>
      <c r="K10" s="1038"/>
      <c r="L10" s="1037"/>
      <c r="M10" s="1038"/>
      <c r="N10" s="1034"/>
      <c r="O10" s="1037"/>
      <c r="P10" s="1039"/>
      <c r="Q10" s="1038"/>
    </row>
    <row r="11" spans="1:17" ht="8.65" customHeight="1" x14ac:dyDescent="0.25">
      <c r="A11" s="852"/>
      <c r="B11" s="680" t="s">
        <v>46</v>
      </c>
      <c r="C11" s="1035" t="s">
        <v>47</v>
      </c>
      <c r="D11" s="974"/>
      <c r="E11" s="972"/>
      <c r="F11" s="680" t="s">
        <v>432</v>
      </c>
      <c r="G11" s="680" t="s">
        <v>224</v>
      </c>
      <c r="H11" s="680" t="s">
        <v>451</v>
      </c>
      <c r="I11" s="680" t="s">
        <v>434</v>
      </c>
      <c r="J11" s="1035" t="s">
        <v>1408</v>
      </c>
      <c r="K11" s="972"/>
      <c r="L11" s="1035" t="s">
        <v>1301</v>
      </c>
      <c r="M11" s="972"/>
      <c r="N11" s="1035"/>
      <c r="O11" s="1035" t="s">
        <v>1409</v>
      </c>
      <c r="P11" s="974"/>
      <c r="Q11" s="972"/>
    </row>
    <row r="12" spans="1:17" ht="11.65" customHeight="1" x14ac:dyDescent="0.25">
      <c r="A12" s="672" t="s">
        <v>1410</v>
      </c>
      <c r="B12" s="710" t="s">
        <v>2558</v>
      </c>
      <c r="C12" s="1030" t="s">
        <v>2559</v>
      </c>
      <c r="D12" s="1031"/>
      <c r="E12" s="1032"/>
      <c r="F12" s="710" t="s">
        <v>159</v>
      </c>
      <c r="G12" s="710" t="s">
        <v>2560</v>
      </c>
      <c r="H12" s="710" t="s">
        <v>2561</v>
      </c>
      <c r="I12" s="710" t="s">
        <v>159</v>
      </c>
      <c r="J12" s="1030" t="s">
        <v>2562</v>
      </c>
      <c r="K12" s="1032"/>
      <c r="L12" s="1030" t="s">
        <v>159</v>
      </c>
      <c r="M12" s="1032"/>
      <c r="N12" s="710" t="s">
        <v>159</v>
      </c>
      <c r="O12" s="1030" t="s">
        <v>2562</v>
      </c>
      <c r="P12" s="1031"/>
      <c r="Q12" s="1032"/>
    </row>
    <row r="13" spans="1:17" ht="11.65" customHeight="1" x14ac:dyDescent="0.25">
      <c r="A13" s="699" t="s">
        <v>1411</v>
      </c>
      <c r="B13" s="688" t="s">
        <v>2563</v>
      </c>
      <c r="C13" s="831" t="s">
        <v>2559</v>
      </c>
      <c r="D13" s="805"/>
      <c r="E13" s="804"/>
      <c r="F13" s="688" t="s">
        <v>159</v>
      </c>
      <c r="G13" s="688" t="s">
        <v>2560</v>
      </c>
      <c r="H13" s="688" t="s">
        <v>2561</v>
      </c>
      <c r="I13" s="688" t="s">
        <v>159</v>
      </c>
      <c r="J13" s="831" t="s">
        <v>2564</v>
      </c>
      <c r="K13" s="804"/>
      <c r="L13" s="831" t="s">
        <v>159</v>
      </c>
      <c r="M13" s="804"/>
      <c r="N13" s="688" t="s">
        <v>159</v>
      </c>
      <c r="O13" s="831" t="s">
        <v>2564</v>
      </c>
      <c r="P13" s="805"/>
      <c r="Q13" s="804"/>
    </row>
    <row r="14" spans="1:17" ht="10.9" customHeight="1" x14ac:dyDescent="0.25">
      <c r="A14" s="698" t="s">
        <v>887</v>
      </c>
      <c r="B14" s="684" t="s">
        <v>2565</v>
      </c>
      <c r="C14" s="814" t="s">
        <v>159</v>
      </c>
      <c r="D14" s="815"/>
      <c r="E14" s="816"/>
      <c r="F14" s="684" t="s">
        <v>159</v>
      </c>
      <c r="G14" s="684" t="s">
        <v>159</v>
      </c>
      <c r="H14" s="684" t="s">
        <v>159</v>
      </c>
      <c r="I14" s="684" t="s">
        <v>159</v>
      </c>
      <c r="J14" s="814" t="s">
        <v>2565</v>
      </c>
      <c r="K14" s="816"/>
      <c r="L14" s="814" t="s">
        <v>159</v>
      </c>
      <c r="M14" s="816"/>
      <c r="N14" s="684" t="s">
        <v>159</v>
      </c>
      <c r="O14" s="814" t="s">
        <v>2565</v>
      </c>
      <c r="P14" s="815"/>
      <c r="Q14" s="816"/>
    </row>
    <row r="15" spans="1:17" ht="11.65" customHeight="1" x14ac:dyDescent="0.25">
      <c r="A15" s="672" t="s">
        <v>1412</v>
      </c>
      <c r="B15" s="710" t="s">
        <v>2566</v>
      </c>
      <c r="C15" s="1030" t="s">
        <v>2567</v>
      </c>
      <c r="D15" s="1031"/>
      <c r="E15" s="1032"/>
      <c r="F15" s="710" t="s">
        <v>159</v>
      </c>
      <c r="G15" s="710" t="s">
        <v>2568</v>
      </c>
      <c r="H15" s="710" t="s">
        <v>2569</v>
      </c>
      <c r="I15" s="710" t="s">
        <v>159</v>
      </c>
      <c r="J15" s="1030" t="s">
        <v>2570</v>
      </c>
      <c r="K15" s="1032"/>
      <c r="L15" s="1030" t="s">
        <v>159</v>
      </c>
      <c r="M15" s="1032"/>
      <c r="N15" s="710" t="s">
        <v>159</v>
      </c>
      <c r="O15" s="1030" t="s">
        <v>2570</v>
      </c>
      <c r="P15" s="1031"/>
      <c r="Q15" s="1032"/>
    </row>
    <row r="16" spans="1:17" ht="11.65" customHeight="1" x14ac:dyDescent="0.25">
      <c r="A16" s="672" t="s">
        <v>1413</v>
      </c>
      <c r="B16" s="710" t="s">
        <v>2571</v>
      </c>
      <c r="C16" s="1030" t="s">
        <v>1703</v>
      </c>
      <c r="D16" s="1031"/>
      <c r="E16" s="1032"/>
      <c r="F16" s="710" t="s">
        <v>159</v>
      </c>
      <c r="G16" s="710" t="s">
        <v>2572</v>
      </c>
      <c r="H16" s="710" t="s">
        <v>2573</v>
      </c>
      <c r="I16" s="710" t="s">
        <v>159</v>
      </c>
      <c r="J16" s="1030" t="s">
        <v>2574</v>
      </c>
      <c r="K16" s="1032"/>
      <c r="L16" s="1030" t="s">
        <v>159</v>
      </c>
      <c r="M16" s="1032"/>
      <c r="N16" s="710" t="s">
        <v>159</v>
      </c>
      <c r="O16" s="1030" t="s">
        <v>2574</v>
      </c>
      <c r="P16" s="1031"/>
      <c r="Q16" s="1032"/>
    </row>
    <row r="17" spans="1:17" ht="11.65" customHeight="1" x14ac:dyDescent="0.25">
      <c r="A17" s="699" t="s">
        <v>246</v>
      </c>
      <c r="B17" s="688" t="s">
        <v>2575</v>
      </c>
      <c r="C17" s="831" t="s">
        <v>1704</v>
      </c>
      <c r="D17" s="805"/>
      <c r="E17" s="804"/>
      <c r="F17" s="688" t="s">
        <v>159</v>
      </c>
      <c r="G17" s="688" t="s">
        <v>1705</v>
      </c>
      <c r="H17" s="688" t="s">
        <v>2576</v>
      </c>
      <c r="I17" s="688" t="s">
        <v>159</v>
      </c>
      <c r="J17" s="831" t="s">
        <v>2577</v>
      </c>
      <c r="K17" s="804"/>
      <c r="L17" s="831" t="s">
        <v>159</v>
      </c>
      <c r="M17" s="804"/>
      <c r="N17" s="688" t="s">
        <v>159</v>
      </c>
      <c r="O17" s="831" t="s">
        <v>2577</v>
      </c>
      <c r="P17" s="805"/>
      <c r="Q17" s="804"/>
    </row>
    <row r="18" spans="1:17" ht="10.9" customHeight="1" x14ac:dyDescent="0.25">
      <c r="A18" s="698" t="s">
        <v>897</v>
      </c>
      <c r="B18" s="684" t="s">
        <v>2578</v>
      </c>
      <c r="C18" s="814" t="s">
        <v>1706</v>
      </c>
      <c r="D18" s="815"/>
      <c r="E18" s="816"/>
      <c r="F18" s="684" t="s">
        <v>159</v>
      </c>
      <c r="G18" s="684" t="s">
        <v>2579</v>
      </c>
      <c r="H18" s="684" t="s">
        <v>2580</v>
      </c>
      <c r="I18" s="684" t="s">
        <v>159</v>
      </c>
      <c r="J18" s="814" t="s">
        <v>2581</v>
      </c>
      <c r="K18" s="816"/>
      <c r="L18" s="814" t="s">
        <v>159</v>
      </c>
      <c r="M18" s="816"/>
      <c r="N18" s="684" t="s">
        <v>159</v>
      </c>
      <c r="O18" s="814" t="s">
        <v>2581</v>
      </c>
      <c r="P18" s="815"/>
      <c r="Q18" s="816"/>
    </row>
    <row r="19" spans="1:17" ht="11.65" customHeight="1" x14ac:dyDescent="0.25">
      <c r="A19" s="672" t="s">
        <v>1414</v>
      </c>
      <c r="B19" s="710" t="s">
        <v>2582</v>
      </c>
      <c r="C19" s="1030" t="s">
        <v>2583</v>
      </c>
      <c r="D19" s="1031"/>
      <c r="E19" s="1032"/>
      <c r="F19" s="710" t="s">
        <v>159</v>
      </c>
      <c r="G19" s="710" t="s">
        <v>2584</v>
      </c>
      <c r="H19" s="710" t="s">
        <v>2585</v>
      </c>
      <c r="I19" s="710" t="s">
        <v>159</v>
      </c>
      <c r="J19" s="1030" t="s">
        <v>2586</v>
      </c>
      <c r="K19" s="1032"/>
      <c r="L19" s="1030" t="s">
        <v>159</v>
      </c>
      <c r="M19" s="1032"/>
      <c r="N19" s="710" t="s">
        <v>159</v>
      </c>
      <c r="O19" s="1030" t="s">
        <v>2586</v>
      </c>
      <c r="P19" s="1031"/>
      <c r="Q19" s="1032"/>
    </row>
    <row r="20" spans="1:17" ht="11.65" customHeight="1" x14ac:dyDescent="0.25">
      <c r="A20" s="699" t="s">
        <v>1415</v>
      </c>
      <c r="B20" s="688" t="s">
        <v>2587</v>
      </c>
      <c r="C20" s="831" t="s">
        <v>2588</v>
      </c>
      <c r="D20" s="805"/>
      <c r="E20" s="804"/>
      <c r="F20" s="688" t="s">
        <v>159</v>
      </c>
      <c r="G20" s="688" t="s">
        <v>2589</v>
      </c>
      <c r="H20" s="688" t="s">
        <v>2590</v>
      </c>
      <c r="I20" s="688" t="s">
        <v>159</v>
      </c>
      <c r="J20" s="831" t="s">
        <v>2591</v>
      </c>
      <c r="K20" s="804"/>
      <c r="L20" s="831" t="s">
        <v>159</v>
      </c>
      <c r="M20" s="804"/>
      <c r="N20" s="688" t="s">
        <v>159</v>
      </c>
      <c r="O20" s="831" t="s">
        <v>2591</v>
      </c>
      <c r="P20" s="805"/>
      <c r="Q20" s="804"/>
    </row>
    <row r="21" spans="1:17" ht="11.65" customHeight="1" x14ac:dyDescent="0.25">
      <c r="A21" s="698" t="s">
        <v>906</v>
      </c>
      <c r="B21" s="684" t="s">
        <v>2592</v>
      </c>
      <c r="C21" s="814" t="s">
        <v>1708</v>
      </c>
      <c r="D21" s="815"/>
      <c r="E21" s="816"/>
      <c r="F21" s="684" t="s">
        <v>159</v>
      </c>
      <c r="G21" s="684" t="s">
        <v>1416</v>
      </c>
      <c r="H21" s="684" t="s">
        <v>2593</v>
      </c>
      <c r="I21" s="684" t="s">
        <v>159</v>
      </c>
      <c r="J21" s="814" t="s">
        <v>2594</v>
      </c>
      <c r="K21" s="816"/>
      <c r="L21" s="814" t="s">
        <v>159</v>
      </c>
      <c r="M21" s="816"/>
      <c r="N21" s="684" t="s">
        <v>159</v>
      </c>
      <c r="O21" s="814" t="s">
        <v>2594</v>
      </c>
      <c r="P21" s="815"/>
      <c r="Q21" s="816"/>
    </row>
    <row r="22" spans="1:17" ht="10.9" customHeight="1" x14ac:dyDescent="0.25">
      <c r="A22" s="672" t="s">
        <v>1417</v>
      </c>
      <c r="B22" s="710" t="s">
        <v>2595</v>
      </c>
      <c r="C22" s="1030" t="s">
        <v>1709</v>
      </c>
      <c r="D22" s="1031"/>
      <c r="E22" s="1032"/>
      <c r="F22" s="710" t="s">
        <v>159</v>
      </c>
      <c r="G22" s="710" t="s">
        <v>159</v>
      </c>
      <c r="H22" s="710" t="s">
        <v>2596</v>
      </c>
      <c r="I22" s="710" t="s">
        <v>159</v>
      </c>
      <c r="J22" s="1030" t="s">
        <v>2597</v>
      </c>
      <c r="K22" s="1032"/>
      <c r="L22" s="1030" t="s">
        <v>159</v>
      </c>
      <c r="M22" s="1032"/>
      <c r="N22" s="710" t="s">
        <v>159</v>
      </c>
      <c r="O22" s="1030" t="s">
        <v>2597</v>
      </c>
      <c r="P22" s="1031"/>
      <c r="Q22" s="1032"/>
    </row>
    <row r="23" spans="1:17" ht="11.65" customHeight="1" x14ac:dyDescent="0.25">
      <c r="A23" s="672" t="s">
        <v>1418</v>
      </c>
      <c r="B23" s="710" t="s">
        <v>159</v>
      </c>
      <c r="C23" s="1030" t="s">
        <v>159</v>
      </c>
      <c r="D23" s="1031"/>
      <c r="E23" s="1032"/>
      <c r="F23" s="710" t="s">
        <v>159</v>
      </c>
      <c r="G23" s="710" t="s">
        <v>159</v>
      </c>
      <c r="H23" s="710" t="s">
        <v>159</v>
      </c>
      <c r="I23" s="710" t="s">
        <v>159</v>
      </c>
      <c r="J23" s="1030" t="s">
        <v>159</v>
      </c>
      <c r="K23" s="1032"/>
      <c r="L23" s="1030" t="s">
        <v>159</v>
      </c>
      <c r="M23" s="1032"/>
      <c r="N23" s="710" t="s">
        <v>159</v>
      </c>
      <c r="O23" s="1030" t="s">
        <v>159</v>
      </c>
      <c r="P23" s="1031"/>
      <c r="Q23" s="1032"/>
    </row>
    <row r="24" spans="1:17" ht="11.65" customHeight="1" x14ac:dyDescent="0.25">
      <c r="A24" s="672" t="s">
        <v>1419</v>
      </c>
      <c r="B24" s="710" t="s">
        <v>2598</v>
      </c>
      <c r="C24" s="1030" t="s">
        <v>2599</v>
      </c>
      <c r="D24" s="1031"/>
      <c r="E24" s="1032"/>
      <c r="F24" s="710" t="s">
        <v>159</v>
      </c>
      <c r="G24" s="710" t="s">
        <v>1710</v>
      </c>
      <c r="H24" s="710" t="s">
        <v>2600</v>
      </c>
      <c r="I24" s="710" t="s">
        <v>159</v>
      </c>
      <c r="J24" s="1030" t="s">
        <v>2601</v>
      </c>
      <c r="K24" s="1032"/>
      <c r="L24" s="1030" t="s">
        <v>159</v>
      </c>
      <c r="M24" s="1032"/>
      <c r="N24" s="710" t="s">
        <v>159</v>
      </c>
      <c r="O24" s="1030" t="s">
        <v>2601</v>
      </c>
      <c r="P24" s="1031"/>
      <c r="Q24" s="1032"/>
    </row>
    <row r="25" spans="1:17" ht="14.45" customHeight="1" x14ac:dyDescent="0.25">
      <c r="A25" s="694" t="s">
        <v>1420</v>
      </c>
      <c r="B25" s="688" t="s">
        <v>2602</v>
      </c>
      <c r="C25" s="831" t="s">
        <v>1421</v>
      </c>
      <c r="D25" s="805"/>
      <c r="E25" s="804"/>
      <c r="F25" s="688" t="s">
        <v>159</v>
      </c>
      <c r="G25" s="688" t="s">
        <v>1711</v>
      </c>
      <c r="H25" s="688" t="s">
        <v>159</v>
      </c>
      <c r="I25" s="688" t="s">
        <v>159</v>
      </c>
      <c r="J25" s="831" t="s">
        <v>2603</v>
      </c>
      <c r="K25" s="804"/>
      <c r="L25" s="831" t="s">
        <v>159</v>
      </c>
      <c r="M25" s="804"/>
      <c r="N25" s="688" t="s">
        <v>159</v>
      </c>
      <c r="O25" s="831" t="s">
        <v>2603</v>
      </c>
      <c r="P25" s="805"/>
      <c r="Q25" s="804"/>
    </row>
    <row r="26" spans="1:17" ht="10.9" customHeight="1" x14ac:dyDescent="0.25">
      <c r="A26" s="698" t="s">
        <v>1422</v>
      </c>
      <c r="B26" s="684" t="s">
        <v>2604</v>
      </c>
      <c r="C26" s="814" t="s">
        <v>2605</v>
      </c>
      <c r="D26" s="815"/>
      <c r="E26" s="816"/>
      <c r="F26" s="684" t="s">
        <v>159</v>
      </c>
      <c r="G26" s="684" t="s">
        <v>1712</v>
      </c>
      <c r="H26" s="684" t="s">
        <v>2600</v>
      </c>
      <c r="I26" s="684" t="s">
        <v>159</v>
      </c>
      <c r="J26" s="814" t="s">
        <v>2606</v>
      </c>
      <c r="K26" s="816"/>
      <c r="L26" s="814" t="s">
        <v>159</v>
      </c>
      <c r="M26" s="816"/>
      <c r="N26" s="684" t="s">
        <v>159</v>
      </c>
      <c r="O26" s="814" t="s">
        <v>2606</v>
      </c>
      <c r="P26" s="815"/>
      <c r="Q26" s="816"/>
    </row>
    <row r="27" spans="1:17" ht="11.65" customHeight="1" x14ac:dyDescent="0.25">
      <c r="A27" s="672" t="s">
        <v>1423</v>
      </c>
      <c r="B27" s="710" t="s">
        <v>2607</v>
      </c>
      <c r="C27" s="1030" t="s">
        <v>1424</v>
      </c>
      <c r="D27" s="1031"/>
      <c r="E27" s="1032"/>
      <c r="F27" s="710" t="s">
        <v>159</v>
      </c>
      <c r="G27" s="710" t="s">
        <v>1425</v>
      </c>
      <c r="H27" s="710" t="s">
        <v>159</v>
      </c>
      <c r="I27" s="710" t="s">
        <v>159</v>
      </c>
      <c r="J27" s="1030" t="s">
        <v>2608</v>
      </c>
      <c r="K27" s="1032"/>
      <c r="L27" s="1030" t="s">
        <v>159</v>
      </c>
      <c r="M27" s="1032"/>
      <c r="N27" s="710" t="s">
        <v>159</v>
      </c>
      <c r="O27" s="1030" t="s">
        <v>2608</v>
      </c>
      <c r="P27" s="1031"/>
      <c r="Q27" s="1032"/>
    </row>
    <row r="28" spans="1:17" ht="14.45" customHeight="1" x14ac:dyDescent="0.25">
      <c r="A28" s="694" t="s">
        <v>1426</v>
      </c>
      <c r="B28" s="688" t="s">
        <v>159</v>
      </c>
      <c r="C28" s="831" t="s">
        <v>159</v>
      </c>
      <c r="D28" s="805"/>
      <c r="E28" s="804"/>
      <c r="F28" s="688" t="s">
        <v>159</v>
      </c>
      <c r="G28" s="688" t="s">
        <v>159</v>
      </c>
      <c r="H28" s="688" t="s">
        <v>159</v>
      </c>
      <c r="I28" s="688" t="s">
        <v>159</v>
      </c>
      <c r="J28" s="831" t="s">
        <v>159</v>
      </c>
      <c r="K28" s="804"/>
      <c r="L28" s="831" t="s">
        <v>159</v>
      </c>
      <c r="M28" s="804"/>
      <c r="N28" s="688" t="s">
        <v>159</v>
      </c>
      <c r="O28" s="831" t="s">
        <v>159</v>
      </c>
      <c r="P28" s="805"/>
      <c r="Q28" s="804"/>
    </row>
    <row r="29" spans="1:17" ht="10.9" customHeight="1" x14ac:dyDescent="0.25">
      <c r="A29" s="697" t="s">
        <v>1427</v>
      </c>
      <c r="B29" s="682" t="s">
        <v>159</v>
      </c>
      <c r="C29" s="806" t="s">
        <v>159</v>
      </c>
      <c r="D29" s="807"/>
      <c r="E29" s="808"/>
      <c r="F29" s="682" t="s">
        <v>159</v>
      </c>
      <c r="G29" s="682" t="s">
        <v>159</v>
      </c>
      <c r="H29" s="682" t="s">
        <v>159</v>
      </c>
      <c r="I29" s="682" t="s">
        <v>159</v>
      </c>
      <c r="J29" s="806" t="s">
        <v>159</v>
      </c>
      <c r="K29" s="808"/>
      <c r="L29" s="806" t="s">
        <v>159</v>
      </c>
      <c r="M29" s="808"/>
      <c r="N29" s="682" t="s">
        <v>159</v>
      </c>
      <c r="O29" s="806" t="s">
        <v>159</v>
      </c>
      <c r="P29" s="807"/>
      <c r="Q29" s="808"/>
    </row>
    <row r="30" spans="1:17" ht="14.45" customHeight="1" x14ac:dyDescent="0.25">
      <c r="A30" s="691" t="s">
        <v>1428</v>
      </c>
      <c r="B30" s="682" t="s">
        <v>2609</v>
      </c>
      <c r="C30" s="806" t="s">
        <v>1429</v>
      </c>
      <c r="D30" s="807"/>
      <c r="E30" s="808"/>
      <c r="F30" s="682" t="s">
        <v>159</v>
      </c>
      <c r="G30" s="682" t="s">
        <v>159</v>
      </c>
      <c r="H30" s="682" t="s">
        <v>159</v>
      </c>
      <c r="I30" s="682" t="s">
        <v>159</v>
      </c>
      <c r="J30" s="806" t="s">
        <v>2610</v>
      </c>
      <c r="K30" s="808"/>
      <c r="L30" s="806" t="s">
        <v>159</v>
      </c>
      <c r="M30" s="808"/>
      <c r="N30" s="682" t="s">
        <v>159</v>
      </c>
      <c r="O30" s="806" t="s">
        <v>2610</v>
      </c>
      <c r="P30" s="807"/>
      <c r="Q30" s="808"/>
    </row>
    <row r="31" spans="1:17" ht="11.65" customHeight="1" x14ac:dyDescent="0.25">
      <c r="A31" s="698" t="s">
        <v>1430</v>
      </c>
      <c r="B31" s="684" t="s">
        <v>2611</v>
      </c>
      <c r="C31" s="814" t="s">
        <v>1431</v>
      </c>
      <c r="D31" s="815"/>
      <c r="E31" s="816"/>
      <c r="F31" s="684" t="s">
        <v>159</v>
      </c>
      <c r="G31" s="684" t="s">
        <v>1425</v>
      </c>
      <c r="H31" s="684" t="s">
        <v>159</v>
      </c>
      <c r="I31" s="684" t="s">
        <v>159</v>
      </c>
      <c r="J31" s="814" t="s">
        <v>2612</v>
      </c>
      <c r="K31" s="816"/>
      <c r="L31" s="814" t="s">
        <v>159</v>
      </c>
      <c r="M31" s="816"/>
      <c r="N31" s="684" t="s">
        <v>159</v>
      </c>
      <c r="O31" s="814" t="s">
        <v>2612</v>
      </c>
      <c r="P31" s="815"/>
      <c r="Q31" s="816"/>
    </row>
    <row r="32" spans="1:17" ht="11.65" customHeight="1" x14ac:dyDescent="0.25">
      <c r="A32" s="672" t="s">
        <v>1432</v>
      </c>
      <c r="B32" s="710" t="s">
        <v>2613</v>
      </c>
      <c r="C32" s="1030" t="s">
        <v>159</v>
      </c>
      <c r="D32" s="1031"/>
      <c r="E32" s="1032"/>
      <c r="F32" s="710" t="s">
        <v>159</v>
      </c>
      <c r="G32" s="710" t="s">
        <v>159</v>
      </c>
      <c r="H32" s="710" t="s">
        <v>2614</v>
      </c>
      <c r="I32" s="710" t="s">
        <v>159</v>
      </c>
      <c r="J32" s="1030" t="s">
        <v>2615</v>
      </c>
      <c r="K32" s="1032"/>
      <c r="L32" s="1030" t="s">
        <v>159</v>
      </c>
      <c r="M32" s="1032"/>
      <c r="N32" s="710" t="s">
        <v>159</v>
      </c>
      <c r="O32" s="1030" t="s">
        <v>2615</v>
      </c>
      <c r="P32" s="1031"/>
      <c r="Q32" s="1032"/>
    </row>
    <row r="33" spans="1:17" ht="10.9" customHeight="1" x14ac:dyDescent="0.25">
      <c r="A33" s="672" t="s">
        <v>1433</v>
      </c>
      <c r="B33" s="710" t="s">
        <v>159</v>
      </c>
      <c r="C33" s="1030" t="s">
        <v>1434</v>
      </c>
      <c r="D33" s="1031"/>
      <c r="E33" s="1032"/>
      <c r="F33" s="710" t="s">
        <v>159</v>
      </c>
      <c r="G33" s="710" t="s">
        <v>1435</v>
      </c>
      <c r="H33" s="710" t="s">
        <v>159</v>
      </c>
      <c r="I33" s="710" t="s">
        <v>159</v>
      </c>
      <c r="J33" s="1030" t="s">
        <v>1436</v>
      </c>
      <c r="K33" s="1032"/>
      <c r="L33" s="1030" t="s">
        <v>159</v>
      </c>
      <c r="M33" s="1032"/>
      <c r="N33" s="710" t="s">
        <v>159</v>
      </c>
      <c r="O33" s="1030" t="s">
        <v>1436</v>
      </c>
      <c r="P33" s="1031"/>
      <c r="Q33" s="1032"/>
    </row>
    <row r="34" spans="1:17" ht="11.65" customHeight="1" x14ac:dyDescent="0.25">
      <c r="A34" s="672" t="s">
        <v>1437</v>
      </c>
      <c r="B34" s="710" t="s">
        <v>2616</v>
      </c>
      <c r="C34" s="1030" t="s">
        <v>1713</v>
      </c>
      <c r="D34" s="1031"/>
      <c r="E34" s="1032"/>
      <c r="F34" s="710" t="s">
        <v>159</v>
      </c>
      <c r="G34" s="710" t="s">
        <v>1440</v>
      </c>
      <c r="H34" s="710" t="s">
        <v>2617</v>
      </c>
      <c r="I34" s="710" t="s">
        <v>159</v>
      </c>
      <c r="J34" s="1030" t="s">
        <v>2618</v>
      </c>
      <c r="K34" s="1032"/>
      <c r="L34" s="1030" t="s">
        <v>159</v>
      </c>
      <c r="M34" s="1032"/>
      <c r="N34" s="710" t="s">
        <v>159</v>
      </c>
      <c r="O34" s="1030" t="s">
        <v>2618</v>
      </c>
      <c r="P34" s="1031"/>
      <c r="Q34" s="1032"/>
    </row>
    <row r="35" spans="1:17" ht="14.45" customHeight="1" x14ac:dyDescent="0.25">
      <c r="A35" s="694" t="s">
        <v>1439</v>
      </c>
      <c r="B35" s="688" t="s">
        <v>2616</v>
      </c>
      <c r="C35" s="831" t="s">
        <v>1713</v>
      </c>
      <c r="D35" s="805"/>
      <c r="E35" s="804"/>
      <c r="F35" s="688" t="s">
        <v>159</v>
      </c>
      <c r="G35" s="688" t="s">
        <v>1440</v>
      </c>
      <c r="H35" s="688" t="s">
        <v>2617</v>
      </c>
      <c r="I35" s="688" t="s">
        <v>159</v>
      </c>
      <c r="J35" s="831" t="s">
        <v>2618</v>
      </c>
      <c r="K35" s="804"/>
      <c r="L35" s="831" t="s">
        <v>159</v>
      </c>
      <c r="M35" s="804"/>
      <c r="N35" s="688" t="s">
        <v>159</v>
      </c>
      <c r="O35" s="831" t="s">
        <v>2618</v>
      </c>
      <c r="P35" s="805"/>
      <c r="Q35" s="804"/>
    </row>
    <row r="36" spans="1:17" ht="11.65" customHeight="1" x14ac:dyDescent="0.25">
      <c r="A36" s="697" t="s">
        <v>1441</v>
      </c>
      <c r="B36" s="682" t="s">
        <v>159</v>
      </c>
      <c r="C36" s="806" t="s">
        <v>159</v>
      </c>
      <c r="D36" s="807"/>
      <c r="E36" s="808"/>
      <c r="F36" s="682" t="s">
        <v>159</v>
      </c>
      <c r="G36" s="682" t="s">
        <v>159</v>
      </c>
      <c r="H36" s="682" t="s">
        <v>159</v>
      </c>
      <c r="I36" s="682" t="s">
        <v>159</v>
      </c>
      <c r="J36" s="806" t="s">
        <v>159</v>
      </c>
      <c r="K36" s="808"/>
      <c r="L36" s="806" t="s">
        <v>159</v>
      </c>
      <c r="M36" s="808"/>
      <c r="N36" s="682" t="s">
        <v>159</v>
      </c>
      <c r="O36" s="806" t="s">
        <v>159</v>
      </c>
      <c r="P36" s="807"/>
      <c r="Q36" s="808"/>
    </row>
    <row r="37" spans="1:17" ht="10.9" customHeight="1" x14ac:dyDescent="0.25">
      <c r="A37" s="698" t="s">
        <v>1442</v>
      </c>
      <c r="B37" s="684" t="s">
        <v>159</v>
      </c>
      <c r="C37" s="814" t="s">
        <v>159</v>
      </c>
      <c r="D37" s="815"/>
      <c r="E37" s="816"/>
      <c r="F37" s="684" t="s">
        <v>159</v>
      </c>
      <c r="G37" s="684" t="s">
        <v>159</v>
      </c>
      <c r="H37" s="684" t="s">
        <v>159</v>
      </c>
      <c r="I37" s="684" t="s">
        <v>159</v>
      </c>
      <c r="J37" s="814" t="s">
        <v>159</v>
      </c>
      <c r="K37" s="816"/>
      <c r="L37" s="814" t="s">
        <v>159</v>
      </c>
      <c r="M37" s="816"/>
      <c r="N37" s="684" t="s">
        <v>159</v>
      </c>
      <c r="O37" s="814" t="s">
        <v>159</v>
      </c>
      <c r="P37" s="815"/>
      <c r="Q37" s="816"/>
    </row>
    <row r="38" spans="1:17" ht="11.65" customHeight="1" x14ac:dyDescent="0.25">
      <c r="A38" s="704" t="s">
        <v>1443</v>
      </c>
      <c r="B38" s="703" t="s">
        <v>2619</v>
      </c>
      <c r="C38" s="923" t="s">
        <v>2620</v>
      </c>
      <c r="D38" s="924"/>
      <c r="E38" s="925"/>
      <c r="F38" s="703" t="s">
        <v>159</v>
      </c>
      <c r="G38" s="703" t="s">
        <v>2621</v>
      </c>
      <c r="H38" s="703" t="s">
        <v>2622</v>
      </c>
      <c r="I38" s="703" t="s">
        <v>159</v>
      </c>
      <c r="J38" s="923" t="s">
        <v>2623</v>
      </c>
      <c r="K38" s="925"/>
      <c r="L38" s="923" t="s">
        <v>159</v>
      </c>
      <c r="M38" s="925"/>
      <c r="N38" s="703" t="s">
        <v>159</v>
      </c>
      <c r="O38" s="923" t="s">
        <v>2623</v>
      </c>
      <c r="P38" s="924"/>
      <c r="Q38" s="925"/>
    </row>
    <row r="39" spans="1:17" ht="11.65" customHeight="1" x14ac:dyDescent="0.25">
      <c r="A39" s="1029" t="s">
        <v>1444</v>
      </c>
      <c r="B39" s="1029"/>
      <c r="C39" s="1029"/>
      <c r="D39" s="1029"/>
      <c r="E39" s="1029"/>
      <c r="F39" s="1029"/>
      <c r="G39" s="1029"/>
      <c r="H39" s="1029"/>
      <c r="I39" s="1029"/>
      <c r="J39" s="1029"/>
      <c r="K39" s="482"/>
      <c r="L39" s="482"/>
      <c r="M39" s="482"/>
      <c r="N39" s="482"/>
      <c r="O39" s="482"/>
      <c r="P39" s="482"/>
      <c r="Q39" s="482"/>
    </row>
    <row r="40" spans="1:17" ht="11.65" customHeight="1" x14ac:dyDescent="0.25">
      <c r="A40" s="948" t="s">
        <v>1445</v>
      </c>
      <c r="B40" s="948"/>
      <c r="C40" s="948"/>
      <c r="D40" s="948"/>
      <c r="E40" s="948"/>
      <c r="F40" s="948"/>
      <c r="G40" s="948"/>
      <c r="H40" s="948"/>
      <c r="I40" s="948"/>
      <c r="J40" s="948"/>
    </row>
    <row r="41" spans="1:17" ht="5.0999999999999996" customHeight="1" x14ac:dyDescent="0.25"/>
    <row r="42" spans="1:17" ht="11.65" customHeight="1" x14ac:dyDescent="0.25"/>
    <row r="43" spans="1:17" ht="5.85" customHeight="1" x14ac:dyDescent="0.25"/>
    <row r="44" spans="1:17" ht="11.65" customHeight="1" x14ac:dyDescent="0.25"/>
    <row r="45" spans="1:17" ht="16.7" customHeight="1" x14ac:dyDescent="0.25"/>
    <row r="46" spans="1:17" ht="5.85" customHeight="1" x14ac:dyDescent="0.25"/>
    <row r="47" spans="1:17" ht="11.65" customHeight="1" x14ac:dyDescent="0.25">
      <c r="A47" s="796" t="s">
        <v>2624</v>
      </c>
      <c r="B47" s="796"/>
      <c r="C47" s="796"/>
      <c r="D47" s="796"/>
      <c r="E47" s="796"/>
      <c r="F47" s="796"/>
      <c r="G47" s="796"/>
      <c r="H47" s="796"/>
      <c r="I47" s="796"/>
      <c r="J47" s="796"/>
      <c r="K47" s="796"/>
      <c r="L47" s="796"/>
      <c r="M47" s="796"/>
      <c r="N47" s="796"/>
      <c r="O47" s="796"/>
      <c r="P47" s="796"/>
    </row>
  </sheetData>
  <mergeCells count="135">
    <mergeCell ref="A1:D1"/>
    <mergeCell ref="O1:P1"/>
    <mergeCell ref="A2:D2"/>
    <mergeCell ref="A3:D3"/>
    <mergeCell ref="A4:D4"/>
    <mergeCell ref="A5:D5"/>
    <mergeCell ref="A7:C7"/>
    <mergeCell ref="M7:P7"/>
    <mergeCell ref="A8:A11"/>
    <mergeCell ref="B8:B10"/>
    <mergeCell ref="C8:H8"/>
    <mergeCell ref="I8:I10"/>
    <mergeCell ref="J8:K10"/>
    <mergeCell ref="L8:M10"/>
    <mergeCell ref="N8:N11"/>
    <mergeCell ref="O8:Q10"/>
    <mergeCell ref="L11:M11"/>
    <mergeCell ref="O11:Q11"/>
    <mergeCell ref="C12:E12"/>
    <mergeCell ref="J12:K12"/>
    <mergeCell ref="L12:M12"/>
    <mergeCell ref="O12:Q12"/>
    <mergeCell ref="C9:F9"/>
    <mergeCell ref="G9:G10"/>
    <mergeCell ref="H9:H10"/>
    <mergeCell ref="C10:E10"/>
    <mergeCell ref="C11:E11"/>
    <mergeCell ref="J11:K11"/>
    <mergeCell ref="C15:E15"/>
    <mergeCell ref="J15:K15"/>
    <mergeCell ref="L15:M15"/>
    <mergeCell ref="O15:Q15"/>
    <mergeCell ref="C16:E16"/>
    <mergeCell ref="J16:K16"/>
    <mergeCell ref="L16:M16"/>
    <mergeCell ref="O16:Q16"/>
    <mergeCell ref="C13:E13"/>
    <mergeCell ref="J13:K13"/>
    <mergeCell ref="L13:M13"/>
    <mergeCell ref="O13:Q13"/>
    <mergeCell ref="C14:E14"/>
    <mergeCell ref="J14:K14"/>
    <mergeCell ref="L14:M14"/>
    <mergeCell ref="O14:Q14"/>
    <mergeCell ref="C19:E19"/>
    <mergeCell ref="J19:K19"/>
    <mergeCell ref="L19:M19"/>
    <mergeCell ref="O19:Q19"/>
    <mergeCell ref="C20:E20"/>
    <mergeCell ref="J20:K20"/>
    <mergeCell ref="L20:M20"/>
    <mergeCell ref="O20:Q20"/>
    <mergeCell ref="C17:E17"/>
    <mergeCell ref="J17:K17"/>
    <mergeCell ref="L17:M17"/>
    <mergeCell ref="O17:Q17"/>
    <mergeCell ref="C18:E18"/>
    <mergeCell ref="J18:K18"/>
    <mergeCell ref="L18:M18"/>
    <mergeCell ref="O18:Q18"/>
    <mergeCell ref="C23:E23"/>
    <mergeCell ref="J23:K23"/>
    <mergeCell ref="L23:M23"/>
    <mergeCell ref="O23:Q23"/>
    <mergeCell ref="C24:E24"/>
    <mergeCell ref="J24:K24"/>
    <mergeCell ref="L24:M24"/>
    <mergeCell ref="O24:Q24"/>
    <mergeCell ref="C21:E21"/>
    <mergeCell ref="J21:K21"/>
    <mergeCell ref="L21:M21"/>
    <mergeCell ref="O21:Q21"/>
    <mergeCell ref="C22:E22"/>
    <mergeCell ref="J22:K22"/>
    <mergeCell ref="L22:M22"/>
    <mergeCell ref="O22:Q22"/>
    <mergeCell ref="C27:E27"/>
    <mergeCell ref="J27:K27"/>
    <mergeCell ref="L27:M27"/>
    <mergeCell ref="O27:Q27"/>
    <mergeCell ref="C28:E28"/>
    <mergeCell ref="J28:K28"/>
    <mergeCell ref="L28:M28"/>
    <mergeCell ref="O28:Q28"/>
    <mergeCell ref="C25:E25"/>
    <mergeCell ref="J25:K25"/>
    <mergeCell ref="L25:M25"/>
    <mergeCell ref="O25:Q25"/>
    <mergeCell ref="C26:E26"/>
    <mergeCell ref="J26:K26"/>
    <mergeCell ref="L26:M26"/>
    <mergeCell ref="O26:Q26"/>
    <mergeCell ref="C31:E31"/>
    <mergeCell ref="J31:K31"/>
    <mergeCell ref="L31:M31"/>
    <mergeCell ref="O31:Q31"/>
    <mergeCell ref="C32:E32"/>
    <mergeCell ref="J32:K32"/>
    <mergeCell ref="L32:M32"/>
    <mergeCell ref="O32:Q32"/>
    <mergeCell ref="C29:E29"/>
    <mergeCell ref="J29:K29"/>
    <mergeCell ref="L29:M29"/>
    <mergeCell ref="O29:Q29"/>
    <mergeCell ref="C30:E30"/>
    <mergeCell ref="J30:K30"/>
    <mergeCell ref="L30:M30"/>
    <mergeCell ref="O30:Q30"/>
    <mergeCell ref="C35:E35"/>
    <mergeCell ref="J35:K35"/>
    <mergeCell ref="L35:M35"/>
    <mergeCell ref="O35:Q35"/>
    <mergeCell ref="C36:E36"/>
    <mergeCell ref="J36:K36"/>
    <mergeCell ref="L36:M36"/>
    <mergeCell ref="O36:Q36"/>
    <mergeCell ref="C33:E33"/>
    <mergeCell ref="J33:K33"/>
    <mergeCell ref="L33:M33"/>
    <mergeCell ref="O33:Q33"/>
    <mergeCell ref="C34:E34"/>
    <mergeCell ref="J34:K34"/>
    <mergeCell ref="L34:M34"/>
    <mergeCell ref="O34:Q34"/>
    <mergeCell ref="A39:J39"/>
    <mergeCell ref="A40:J40"/>
    <mergeCell ref="A47:P47"/>
    <mergeCell ref="C37:E37"/>
    <mergeCell ref="J37:K37"/>
    <mergeCell ref="L37:M37"/>
    <mergeCell ref="O37:Q37"/>
    <mergeCell ref="C38:E38"/>
    <mergeCell ref="J38:K38"/>
    <mergeCell ref="L38:M38"/>
    <mergeCell ref="O38:Q3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K40"/>
  <sheetViews>
    <sheetView zoomScale="130" zoomScaleNormal="130" workbookViewId="0">
      <selection activeCell="I4" sqref="I4"/>
    </sheetView>
  </sheetViews>
  <sheetFormatPr defaultColWidth="8.7109375" defaultRowHeight="15" x14ac:dyDescent="0.25"/>
  <cols>
    <col min="1" max="1" width="51.7109375" style="1" customWidth="1"/>
    <col min="2" max="2" width="12.85546875" style="1" customWidth="1"/>
    <col min="3" max="3" width="12.5703125" style="10" customWidth="1"/>
    <col min="4" max="4" width="11.42578125" style="10" customWidth="1"/>
    <col min="5" max="5" width="12.28515625" style="10" customWidth="1"/>
    <col min="6" max="6" width="11.7109375" style="10" customWidth="1"/>
    <col min="7" max="7" width="12.42578125" style="10" customWidth="1"/>
    <col min="8" max="8" width="12.7109375" style="10" customWidth="1"/>
    <col min="9" max="10" width="11.7109375" style="10" customWidth="1"/>
    <col min="11" max="11" width="11.42578125" style="10" customWidth="1"/>
    <col min="12" max="12" width="12.28515625" style="10" bestFit="1" customWidth="1"/>
    <col min="13" max="13" width="12.5703125" style="10" customWidth="1"/>
    <col min="14" max="14" width="10.5703125" style="10" customWidth="1"/>
    <col min="15" max="15" width="11.7109375" style="10" customWidth="1"/>
    <col min="16" max="16" width="9.28515625" style="10" bestFit="1" customWidth="1"/>
    <col min="17" max="17" width="14.7109375" style="10" bestFit="1" customWidth="1"/>
    <col min="18" max="18" width="12.5703125" style="10" bestFit="1" customWidth="1"/>
    <col min="19" max="1025" width="9.140625" style="10" customWidth="1"/>
  </cols>
  <sheetData>
    <row r="1" spans="1:19" x14ac:dyDescent="0.25">
      <c r="A1" s="26" t="s">
        <v>1168</v>
      </c>
      <c r="B1" s="477"/>
      <c r="D1" s="20" t="s">
        <v>476</v>
      </c>
      <c r="F1" s="81" t="s">
        <v>477</v>
      </c>
      <c r="G1" s="531"/>
      <c r="H1" s="81"/>
      <c r="I1" s="82" t="s">
        <v>478</v>
      </c>
      <c r="M1" s="82"/>
      <c r="N1" s="20" t="s">
        <v>476</v>
      </c>
      <c r="P1" s="81" t="s">
        <v>479</v>
      </c>
    </row>
    <row r="2" spans="1:19" x14ac:dyDescent="0.25">
      <c r="A2" s="39" t="s">
        <v>480</v>
      </c>
      <c r="B2" s="1040" t="s">
        <v>481</v>
      </c>
      <c r="C2" s="1040"/>
      <c r="D2" s="463">
        <v>45809</v>
      </c>
      <c r="E2" s="463">
        <v>45778</v>
      </c>
      <c r="F2" s="463">
        <v>45748</v>
      </c>
      <c r="G2" s="463">
        <v>45717</v>
      </c>
      <c r="H2" s="463">
        <v>45689</v>
      </c>
      <c r="I2" s="463">
        <v>45658</v>
      </c>
      <c r="J2" s="463">
        <v>45627</v>
      </c>
      <c r="K2" s="463">
        <v>45597</v>
      </c>
      <c r="L2" s="463">
        <v>45566</v>
      </c>
      <c r="M2" s="463">
        <v>45536</v>
      </c>
      <c r="N2" s="463">
        <v>45505</v>
      </c>
      <c r="O2" s="463">
        <v>45474</v>
      </c>
    </row>
    <row r="3" spans="1:19" x14ac:dyDescent="0.25">
      <c r="A3" s="84" t="s">
        <v>482</v>
      </c>
      <c r="B3" s="85" t="s">
        <v>483</v>
      </c>
      <c r="C3" s="13" t="s">
        <v>484</v>
      </c>
      <c r="D3" s="86" t="s">
        <v>485</v>
      </c>
      <c r="E3" s="86" t="s">
        <v>485</v>
      </c>
      <c r="F3" s="87" t="s">
        <v>486</v>
      </c>
      <c r="G3" s="88" t="s">
        <v>487</v>
      </c>
      <c r="H3" s="87" t="s">
        <v>488</v>
      </c>
      <c r="I3" s="88" t="s">
        <v>489</v>
      </c>
      <c r="J3" s="87" t="s">
        <v>490</v>
      </c>
      <c r="K3" s="88" t="s">
        <v>491</v>
      </c>
      <c r="L3" s="87" t="s">
        <v>492</v>
      </c>
      <c r="M3" s="88" t="s">
        <v>493</v>
      </c>
      <c r="N3" s="87" t="s">
        <v>494</v>
      </c>
      <c r="O3" s="88" t="s">
        <v>495</v>
      </c>
      <c r="Q3" s="472"/>
    </row>
    <row r="4" spans="1:19" x14ac:dyDescent="0.25">
      <c r="A4" s="89" t="s">
        <v>496</v>
      </c>
      <c r="B4" s="90">
        <f>SUM(D4:K4)</f>
        <v>122112163.18000001</v>
      </c>
      <c r="C4" s="91">
        <f>C5-C6</f>
        <v>178827106.19</v>
      </c>
      <c r="D4" s="92">
        <f>D5-D6</f>
        <v>15319791.859999999</v>
      </c>
      <c r="E4" s="92">
        <f>E5-E6</f>
        <v>16280992.049999999</v>
      </c>
      <c r="F4" s="92">
        <f t="shared" ref="F4:I4" si="0">F5-F6</f>
        <v>14797259.33</v>
      </c>
      <c r="G4" s="92">
        <f t="shared" si="0"/>
        <v>12846807.84</v>
      </c>
      <c r="H4" s="92">
        <f t="shared" si="0"/>
        <v>14461756.689999999</v>
      </c>
      <c r="I4" s="92">
        <f t="shared" si="0"/>
        <v>16149725.890000001</v>
      </c>
      <c r="J4" s="92">
        <f t="shared" ref="J4" si="1">J5-J6</f>
        <v>19207974.18</v>
      </c>
      <c r="K4" s="92">
        <f t="shared" ref="K4" si="2">K5-K6</f>
        <v>13047855.34</v>
      </c>
      <c r="L4" s="92">
        <f t="shared" ref="L4" si="3">L5-L6</f>
        <v>15025272.9</v>
      </c>
      <c r="M4" s="92">
        <f>M5-M6</f>
        <v>13231557.350000001</v>
      </c>
      <c r="N4" s="92">
        <f t="shared" ref="N4" si="4">N5-N6</f>
        <v>13392188.359999999</v>
      </c>
      <c r="O4" s="92">
        <f t="shared" ref="O4" si="5">O5-O6</f>
        <v>15065924.399999999</v>
      </c>
      <c r="P4" s="77"/>
      <c r="Q4" s="472"/>
    </row>
    <row r="5" spans="1:19" x14ac:dyDescent="0.25">
      <c r="A5" s="93" t="s">
        <v>400</v>
      </c>
      <c r="B5" s="94" t="s">
        <v>497</v>
      </c>
      <c r="C5" s="95">
        <f>SUM(D5:O5)</f>
        <v>198617564.75</v>
      </c>
      <c r="D5" s="92">
        <f>16858841.61</f>
        <v>16858841.609999999</v>
      </c>
      <c r="E5" s="92">
        <f>18039575.99</f>
        <v>18039575.989999998</v>
      </c>
      <c r="F5" s="92">
        <v>16324058.35</v>
      </c>
      <c r="G5" s="92">
        <f>14281978.72+83091.24</f>
        <v>14365069.960000001</v>
      </c>
      <c r="H5" s="92">
        <f>16179298.5</f>
        <v>16179298.5</v>
      </c>
      <c r="I5" s="92">
        <f>18385654.18</f>
        <v>18385654.18</v>
      </c>
      <c r="J5" s="92">
        <f>21217442.96</f>
        <v>21217442.960000001</v>
      </c>
      <c r="K5" s="92">
        <f>14526275.7</f>
        <v>14526275.699999999</v>
      </c>
      <c r="L5" s="92">
        <f>16693611.4</f>
        <v>16693611.4</v>
      </c>
      <c r="M5" s="92">
        <f>14771280.96</f>
        <v>14771280.960000001</v>
      </c>
      <c r="N5" s="92">
        <f>14807917.19</f>
        <v>14807917.189999999</v>
      </c>
      <c r="O5" s="92">
        <f>16448537.95</f>
        <v>16448537.949999999</v>
      </c>
      <c r="P5" s="75"/>
      <c r="Q5" s="114"/>
    </row>
    <row r="6" spans="1:19" x14ac:dyDescent="0.25">
      <c r="A6" s="97" t="s">
        <v>498</v>
      </c>
      <c r="B6" s="98" t="s">
        <v>499</v>
      </c>
      <c r="C6" s="99">
        <f>SUM(D6:O6)</f>
        <v>19790458.559999999</v>
      </c>
      <c r="D6" s="96">
        <f>1539049.75</f>
        <v>1539049.75</v>
      </c>
      <c r="E6" s="96">
        <f>1758583.94</f>
        <v>1758583.94</v>
      </c>
      <c r="F6" s="96">
        <f>1526799.02</f>
        <v>1526799.02</v>
      </c>
      <c r="G6" s="96">
        <f>1316944.25+201317.87</f>
        <v>1518262.12</v>
      </c>
      <c r="H6" s="96">
        <f>1717541.81</f>
        <v>1717541.81</v>
      </c>
      <c r="I6" s="96">
        <f>2235928.29</f>
        <v>2235928.29</v>
      </c>
      <c r="J6" s="96">
        <f>2009468.78</f>
        <v>2009468.78</v>
      </c>
      <c r="K6" s="92">
        <f>1478420.36</f>
        <v>1478420.36</v>
      </c>
      <c r="L6" s="92">
        <f>1668338.5</f>
        <v>1668338.5</v>
      </c>
      <c r="M6" s="92">
        <f>1539723.61</f>
        <v>1539723.61</v>
      </c>
      <c r="N6" s="92">
        <f>1415728.83</f>
        <v>1415728.83</v>
      </c>
      <c r="O6" s="92">
        <f>1382613.55</f>
        <v>1382613.55</v>
      </c>
      <c r="P6" s="75"/>
      <c r="Q6" s="114"/>
    </row>
    <row r="7" spans="1:19" s="82" customFormat="1" x14ac:dyDescent="0.25">
      <c r="A7" s="89" t="s">
        <v>500</v>
      </c>
      <c r="B7" s="100"/>
      <c r="C7" s="91">
        <f t="shared" ref="C7" si="6">C8+C12+C13+C14+C17+C20+C15+C16</f>
        <v>23637017.580000002</v>
      </c>
      <c r="D7" s="91">
        <f t="shared" ref="D7:E7" si="7">D8+D17+D20</f>
        <v>3051037.1599999997</v>
      </c>
      <c r="E7" s="91">
        <f t="shared" si="7"/>
        <v>1922505.31</v>
      </c>
      <c r="F7" s="91">
        <f t="shared" ref="F7:O7" si="8">F8+F17+F20</f>
        <v>1880175.92</v>
      </c>
      <c r="G7" s="91">
        <f t="shared" si="8"/>
        <v>1551738.62</v>
      </c>
      <c r="H7" s="91">
        <f t="shared" si="8"/>
        <v>1670436.28</v>
      </c>
      <c r="I7" s="91">
        <f t="shared" si="8"/>
        <v>1915828.6</v>
      </c>
      <c r="J7" s="91">
        <f t="shared" si="8"/>
        <v>2351921.41</v>
      </c>
      <c r="K7" s="91">
        <f t="shared" si="8"/>
        <v>1579056.2000000002</v>
      </c>
      <c r="L7" s="91">
        <f t="shared" si="8"/>
        <v>2701572.7699999996</v>
      </c>
      <c r="M7" s="91">
        <f t="shared" si="8"/>
        <v>1452529.76</v>
      </c>
      <c r="N7" s="91">
        <f t="shared" si="8"/>
        <v>1579175.47</v>
      </c>
      <c r="O7" s="91">
        <f t="shared" si="8"/>
        <v>1981040.0799999998</v>
      </c>
      <c r="Q7" s="472"/>
    </row>
    <row r="8" spans="1:19" s="82" customFormat="1" x14ac:dyDescent="0.25">
      <c r="A8" s="93" t="s">
        <v>501</v>
      </c>
      <c r="B8" s="101" t="s">
        <v>502</v>
      </c>
      <c r="C8" s="102">
        <f>SUM(C9:C11)</f>
        <v>10335820.130000001</v>
      </c>
      <c r="D8" s="102">
        <f t="shared" ref="D8:E8" si="9">SUM(D9:D16)</f>
        <v>2140629.6</v>
      </c>
      <c r="E8" s="102">
        <f t="shared" si="9"/>
        <v>1031832.66</v>
      </c>
      <c r="F8" s="102">
        <f t="shared" ref="F8:O8" si="10">SUM(F9:F16)</f>
        <v>1001402.4500000001</v>
      </c>
      <c r="G8" s="102">
        <f t="shared" si="10"/>
        <v>977261.36</v>
      </c>
      <c r="H8" s="102">
        <f t="shared" si="10"/>
        <v>934358.63</v>
      </c>
      <c r="I8" s="102">
        <f t="shared" si="10"/>
        <v>988798.59000000008</v>
      </c>
      <c r="J8" s="102">
        <f t="shared" si="10"/>
        <v>1831683.6700000004</v>
      </c>
      <c r="K8" s="102">
        <f t="shared" si="10"/>
        <v>983507.1100000001</v>
      </c>
      <c r="L8" s="102">
        <f t="shared" si="10"/>
        <v>2160677.6399999997</v>
      </c>
      <c r="M8" s="102">
        <f t="shared" si="10"/>
        <v>979351.02</v>
      </c>
      <c r="N8" s="102">
        <f t="shared" si="10"/>
        <v>961885.50999999989</v>
      </c>
      <c r="O8" s="102">
        <f t="shared" si="10"/>
        <v>1117827.94</v>
      </c>
    </row>
    <row r="9" spans="1:19" s="82" customFormat="1" ht="11.25" x14ac:dyDescent="0.2">
      <c r="A9" s="103" t="s">
        <v>503</v>
      </c>
      <c r="B9" s="104"/>
      <c r="C9" s="105">
        <f t="shared" ref="C9:C14" si="11">SUM(D9:O9)</f>
        <v>8175610.3399999999</v>
      </c>
      <c r="D9" s="96">
        <f>462786.7+193434.09+11385.88</f>
        <v>667606.67000000004</v>
      </c>
      <c r="E9" s="96">
        <f>460166.37+192503.83+11378.63</f>
        <v>664048.82999999996</v>
      </c>
      <c r="F9" s="96">
        <f>457654.08+190495.73+11378.63</f>
        <v>659528.44000000006</v>
      </c>
      <c r="G9" s="96">
        <f>455264.81+189431.52+11378.63</f>
        <v>656074.96</v>
      </c>
      <c r="H9" s="96">
        <f>423951.6+167978.38+10151.47</f>
        <v>602081.44999999995</v>
      </c>
      <c r="I9" s="96">
        <f>420114.96+176937.78+11487.61</f>
        <v>608540.35</v>
      </c>
      <c r="J9" s="96">
        <f>878774.09+341351.03+21311.33</f>
        <v>1241436.4500000002</v>
      </c>
      <c r="K9" s="96">
        <f>432520.95+174027.86+11499.47</f>
        <v>618048.28</v>
      </c>
      <c r="L9" s="96">
        <f>431114.34+174253.1+11727.12</f>
        <v>617094.56000000006</v>
      </c>
      <c r="M9" s="96">
        <f>431128.82+174016.71+10577.24</f>
        <v>615722.77</v>
      </c>
      <c r="N9" s="96">
        <f>429780.76+173454.36+10073.48</f>
        <v>613308.6</v>
      </c>
      <c r="O9" s="96">
        <f>428499.99+173545.51+10073.48</f>
        <v>612118.98</v>
      </c>
      <c r="P9" s="75"/>
      <c r="Q9" s="114"/>
    </row>
    <row r="10" spans="1:19" s="82" customFormat="1" ht="11.25" x14ac:dyDescent="0.2">
      <c r="A10" s="103" t="s">
        <v>1177</v>
      </c>
      <c r="B10" s="108" t="s">
        <v>1178</v>
      </c>
      <c r="C10" s="105">
        <f>SUM(D10:O10)</f>
        <v>2916.03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>
        <f>2916.03</f>
        <v>2916.03</v>
      </c>
      <c r="Q10" s="114"/>
    </row>
    <row r="11" spans="1:19" s="8" customFormat="1" ht="11.25" x14ac:dyDescent="0.2">
      <c r="A11" s="103" t="s">
        <v>504</v>
      </c>
      <c r="B11" s="104" t="s">
        <v>505</v>
      </c>
      <c r="C11" s="105">
        <f t="shared" si="11"/>
        <v>2157293.7600000002</v>
      </c>
      <c r="D11" s="96">
        <f>99835.52+80310.33+8092.29</f>
        <v>188238.14</v>
      </c>
      <c r="E11" s="96">
        <f>98942.57+79666.36+8026.33</f>
        <v>186635.25999999998</v>
      </c>
      <c r="F11" s="96">
        <f>99953.51+79421.6+7968.62</f>
        <v>187343.72999999998</v>
      </c>
      <c r="G11" s="96">
        <f>94114.02+79179.75+7968.62</f>
        <v>181262.39</v>
      </c>
      <c r="H11" s="96">
        <f>97138.91+75431.39+7624.95</f>
        <v>180195.25</v>
      </c>
      <c r="I11" s="96">
        <f>95530.37+75364.33+7695.26</f>
        <v>178589.96000000002</v>
      </c>
      <c r="J11" s="96">
        <f>95176.34+75024.84+7688.44</f>
        <v>177889.62</v>
      </c>
      <c r="K11" s="96">
        <f>93797.04+75071.36+7689.69</f>
        <v>176558.09</v>
      </c>
      <c r="L11" s="96">
        <f>92964.6+74967.57+7831.31</f>
        <v>175763.48</v>
      </c>
      <c r="M11" s="96">
        <f>93130.11+74685.67+7301.46</f>
        <v>175117.24</v>
      </c>
      <c r="N11" s="96">
        <f>92656.25+74597.69+7301.46</f>
        <v>174555.4</v>
      </c>
      <c r="O11" s="96">
        <f>93119.7+74672.56+7352.94</f>
        <v>175145.2</v>
      </c>
      <c r="P11" s="75"/>
    </row>
    <row r="12" spans="1:19" s="82" customFormat="1" ht="11.25" x14ac:dyDescent="0.2">
      <c r="A12" s="38" t="s">
        <v>1449</v>
      </c>
      <c r="B12" s="105" t="s">
        <v>506</v>
      </c>
      <c r="C12" s="105">
        <f t="shared" si="11"/>
        <v>2920845.86</v>
      </c>
      <c r="D12" s="107">
        <f>1113508.96</f>
        <v>1113508.96</v>
      </c>
      <c r="E12" s="107"/>
      <c r="F12" s="107"/>
      <c r="G12" s="107"/>
      <c r="H12" s="107"/>
      <c r="I12" s="107">
        <v>57202.27</v>
      </c>
      <c r="J12" s="107">
        <f>251823.6</f>
        <v>251823.6</v>
      </c>
      <c r="K12" s="107">
        <f>54857.54</f>
        <v>54857.54</v>
      </c>
      <c r="L12" s="107">
        <f>1223818.88</f>
        <v>1223818.8799999999</v>
      </c>
      <c r="M12" s="107">
        <f>43952.13</f>
        <v>43952.13</v>
      </c>
      <c r="N12" s="107">
        <f>43920.62</f>
        <v>43920.62</v>
      </c>
      <c r="O12" s="107">
        <f>131761.86</f>
        <v>131761.85999999999</v>
      </c>
      <c r="P12" s="75"/>
      <c r="Q12" s="10"/>
      <c r="R12" s="10"/>
    </row>
    <row r="13" spans="1:19" s="82" customFormat="1" x14ac:dyDescent="0.25">
      <c r="A13" s="38" t="s">
        <v>2034</v>
      </c>
      <c r="B13" s="108"/>
      <c r="C13" s="105">
        <f>SUM(D13:O13)</f>
        <v>24256.82</v>
      </c>
      <c r="D13" s="107">
        <f>24256.82</f>
        <v>24256.82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R13" s="518"/>
      <c r="S13" s="519"/>
    </row>
    <row r="14" spans="1:19" s="82" customFormat="1" ht="11.25" x14ac:dyDescent="0.2">
      <c r="A14" s="38" t="s">
        <v>2033</v>
      </c>
      <c r="B14" s="109" t="s">
        <v>956</v>
      </c>
      <c r="C14" s="105">
        <f t="shared" si="11"/>
        <v>1731986.52</v>
      </c>
      <c r="D14" s="110">
        <f>144836.36</f>
        <v>144836.35999999999</v>
      </c>
      <c r="E14" s="110">
        <f>168962.66</f>
        <v>168962.66</v>
      </c>
      <c r="F14" s="110">
        <f>154522.66</f>
        <v>154522.66</v>
      </c>
      <c r="G14" s="110">
        <f>139916.18</f>
        <v>139916.18</v>
      </c>
      <c r="H14" s="110">
        <f>139110.4</f>
        <v>139110.39999999999</v>
      </c>
      <c r="I14" s="110">
        <f>140467.82</f>
        <v>140467.82</v>
      </c>
      <c r="J14" s="110">
        <f>160534</f>
        <v>160534</v>
      </c>
      <c r="K14" s="110">
        <f>134043.2</f>
        <v>134043.20000000001</v>
      </c>
      <c r="L14" s="110">
        <f>142725.4</f>
        <v>142725.4</v>
      </c>
      <c r="M14" s="110">
        <f>141177.23</f>
        <v>141177.23000000001</v>
      </c>
      <c r="N14" s="110">
        <f>129925.57</f>
        <v>129925.57</v>
      </c>
      <c r="O14" s="110">
        <f>135867.27-102.23</f>
        <v>135765.03999999998</v>
      </c>
    </row>
    <row r="15" spans="1:19" s="82" customFormat="1" ht="11.25" x14ac:dyDescent="0.2">
      <c r="A15" s="38" t="s">
        <v>1455</v>
      </c>
      <c r="B15" s="38" t="s">
        <v>507</v>
      </c>
      <c r="C15" s="105">
        <f>SUM(D15:O15)</f>
        <v>96306.85</v>
      </c>
      <c r="D15" s="70">
        <f>12+1561.62+609.03</f>
        <v>2182.6499999999996</v>
      </c>
      <c r="E15" s="70">
        <f>8766.84+3419.07</f>
        <v>12185.91</v>
      </c>
      <c r="F15" s="70">
        <v>7.62</v>
      </c>
      <c r="G15" s="70">
        <f>7.83</f>
        <v>7.83</v>
      </c>
      <c r="H15" s="70">
        <f>12971.53</f>
        <v>12971.53</v>
      </c>
      <c r="I15" s="70">
        <v>3998.19</v>
      </c>
      <c r="J15" s="70"/>
      <c r="K15" s="70"/>
      <c r="L15" s="70">
        <f>1275.32</f>
        <v>1275.32</v>
      </c>
      <c r="M15" s="70">
        <f>3226.33+155.32</f>
        <v>3381.65</v>
      </c>
      <c r="N15" s="70">
        <f>175.32</f>
        <v>175.32</v>
      </c>
      <c r="O15" s="70">
        <f>41430+295.32+122.26+18273.25</f>
        <v>60120.83</v>
      </c>
    </row>
    <row r="16" spans="1:19" s="82" customFormat="1" ht="11.25" x14ac:dyDescent="0.2">
      <c r="A16" s="471" t="s">
        <v>954</v>
      </c>
      <c r="B16" s="38" t="s">
        <v>955</v>
      </c>
      <c r="C16" s="105">
        <f>SUM(D16:O16)</f>
        <v>0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1:19" s="8" customFormat="1" x14ac:dyDescent="0.25">
      <c r="A17" s="52" t="s">
        <v>508</v>
      </c>
      <c r="B17" s="111"/>
      <c r="C17" s="112">
        <f t="shared" ref="C17" si="12">SUM(C18:C19)</f>
        <v>6766533.8699999992</v>
      </c>
      <c r="D17" s="112">
        <f t="shared" ref="D17" si="13">SUM(D18:D19)</f>
        <v>782639.99</v>
      </c>
      <c r="E17" s="112">
        <f t="shared" ref="E17:O17" si="14">SUM(E18:E19)</f>
        <v>760527.62</v>
      </c>
      <c r="F17" s="112">
        <f t="shared" si="14"/>
        <v>741380.0199999999</v>
      </c>
      <c r="G17" s="112">
        <f t="shared" si="14"/>
        <v>435968.52000000008</v>
      </c>
      <c r="H17" s="112">
        <f t="shared" si="14"/>
        <v>597568.90999999992</v>
      </c>
      <c r="I17" s="112">
        <f t="shared" si="14"/>
        <v>781302.01</v>
      </c>
      <c r="J17" s="112">
        <f t="shared" si="14"/>
        <v>249133.74</v>
      </c>
      <c r="K17" s="112">
        <f t="shared" si="14"/>
        <v>459997.09</v>
      </c>
      <c r="L17" s="112">
        <f t="shared" si="14"/>
        <v>405343.12999999995</v>
      </c>
      <c r="M17" s="112">
        <f t="shared" si="14"/>
        <v>337626.74</v>
      </c>
      <c r="N17" s="112">
        <f t="shared" si="14"/>
        <v>484561.96</v>
      </c>
      <c r="O17" s="112">
        <f t="shared" si="14"/>
        <v>730484.1399999999</v>
      </c>
    </row>
    <row r="18" spans="1:19" x14ac:dyDescent="0.25">
      <c r="A18" s="103" t="s">
        <v>1164</v>
      </c>
      <c r="B18" s="116" t="s">
        <v>509</v>
      </c>
      <c r="C18" s="105">
        <f>SUM(D18:O18)</f>
        <v>6361582.959999999</v>
      </c>
      <c r="D18" s="113">
        <f>733514.76+2915.82</f>
        <v>736430.58</v>
      </c>
      <c r="E18" s="113">
        <f>710441.72+3001.27</f>
        <v>713442.99</v>
      </c>
      <c r="F18" s="113">
        <f>695607.95+2765.44</f>
        <v>698373.3899999999</v>
      </c>
      <c r="G18" s="113">
        <f>597414.03+2493.93-201317.87</f>
        <v>398590.09000000008</v>
      </c>
      <c r="H18" s="113">
        <f>557209.37+2544.84</f>
        <v>559754.21</v>
      </c>
      <c r="I18" s="113">
        <f>741397.61+2573.3</f>
        <v>743970.91</v>
      </c>
      <c r="J18" s="113">
        <f>414592.95+2341.87-194432.92</f>
        <v>222501.9</v>
      </c>
      <c r="K18" s="113">
        <f>449209.02+1977.55-16101.99</f>
        <v>435084.58</v>
      </c>
      <c r="L18" s="113">
        <f>429412.81+2308.61-53359.9</f>
        <v>378361.51999999996</v>
      </c>
      <c r="M18" s="113">
        <f>368918.66+2069.55-57482.24</f>
        <v>313505.96999999997</v>
      </c>
      <c r="N18" s="113">
        <f>457319.99+2131.64</f>
        <v>459451.63</v>
      </c>
      <c r="O18" s="113">
        <f>699895.35+2219.84</f>
        <v>702115.19</v>
      </c>
      <c r="P18" s="75"/>
      <c r="Q18" s="114"/>
    </row>
    <row r="19" spans="1:19" x14ac:dyDescent="0.25">
      <c r="A19" s="103" t="s">
        <v>1448</v>
      </c>
      <c r="B19" s="488" t="s">
        <v>1163</v>
      </c>
      <c r="C19" s="105">
        <f>SUM(D19:O19)</f>
        <v>404950.91000000003</v>
      </c>
      <c r="D19" s="107">
        <f>46209.41</f>
        <v>46209.41</v>
      </c>
      <c r="E19" s="107">
        <f>47084.63</f>
        <v>47084.63</v>
      </c>
      <c r="F19" s="107">
        <f>43006.63</f>
        <v>43006.63</v>
      </c>
      <c r="G19" s="107">
        <f>31789.18+5589.25</f>
        <v>37378.43</v>
      </c>
      <c r="H19" s="107">
        <f>37814.7</f>
        <v>37814.699999999997</v>
      </c>
      <c r="I19" s="115">
        <f>37331.1</f>
        <v>37331.1</v>
      </c>
      <c r="J19" s="115">
        <f>26631.84</f>
        <v>26631.84</v>
      </c>
      <c r="K19" s="115">
        <f>24912.51</f>
        <v>24912.51</v>
      </c>
      <c r="L19" s="115">
        <f>26981.61</f>
        <v>26981.61</v>
      </c>
      <c r="M19" s="115">
        <f>24120.77</f>
        <v>24120.77</v>
      </c>
      <c r="N19" s="115">
        <f>25110.33</f>
        <v>25110.33</v>
      </c>
      <c r="O19" s="115">
        <f>28368.95</f>
        <v>28368.95</v>
      </c>
      <c r="P19" s="75"/>
      <c r="Q19" s="114"/>
    </row>
    <row r="20" spans="1:19" x14ac:dyDescent="0.25">
      <c r="A20" s="464" t="s">
        <v>946</v>
      </c>
      <c r="B20" s="111"/>
      <c r="C20" s="116">
        <f t="shared" ref="C20" si="15">SUM(C21:C24)</f>
        <v>1761267.53</v>
      </c>
      <c r="D20" s="116">
        <f t="shared" ref="D20" si="16">SUM(D21:D24)</f>
        <v>127767.57</v>
      </c>
      <c r="E20" s="116">
        <f t="shared" ref="E20:O20" si="17">SUM(E21:E24)</f>
        <v>130145.03</v>
      </c>
      <c r="F20" s="116">
        <f t="shared" si="17"/>
        <v>137393.45000000001</v>
      </c>
      <c r="G20" s="116">
        <f t="shared" si="17"/>
        <v>138508.74</v>
      </c>
      <c r="H20" s="116">
        <f t="shared" si="17"/>
        <v>138508.74</v>
      </c>
      <c r="I20" s="116">
        <f t="shared" si="17"/>
        <v>145728</v>
      </c>
      <c r="J20" s="116">
        <f t="shared" si="17"/>
        <v>271104</v>
      </c>
      <c r="K20" s="116">
        <f t="shared" si="17"/>
        <v>135552</v>
      </c>
      <c r="L20" s="116">
        <f t="shared" si="17"/>
        <v>135552</v>
      </c>
      <c r="M20" s="116">
        <f t="shared" si="17"/>
        <v>135552</v>
      </c>
      <c r="N20" s="116">
        <f t="shared" si="17"/>
        <v>132728</v>
      </c>
      <c r="O20" s="116">
        <f t="shared" si="17"/>
        <v>132728</v>
      </c>
    </row>
    <row r="21" spans="1:19" x14ac:dyDescent="0.25">
      <c r="A21" s="38" t="s">
        <v>943</v>
      </c>
      <c r="B21" s="105" t="s">
        <v>510</v>
      </c>
      <c r="C21" s="105">
        <f>SUM(D21:O21)</f>
        <v>0</v>
      </c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Q21" s="114"/>
      <c r="R21" s="82"/>
      <c r="S21" s="82"/>
    </row>
    <row r="22" spans="1:19" x14ac:dyDescent="0.25">
      <c r="A22" s="38" t="s">
        <v>511</v>
      </c>
      <c r="B22" s="105" t="s">
        <v>512</v>
      </c>
      <c r="C22" s="105">
        <f>SUM(D22:O22)</f>
        <v>0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Q22" s="114"/>
      <c r="R22" s="82"/>
      <c r="S22" s="82"/>
    </row>
    <row r="23" spans="1:19" x14ac:dyDescent="0.25">
      <c r="A23" s="38" t="s">
        <v>1456</v>
      </c>
      <c r="B23" s="105" t="s">
        <v>513</v>
      </c>
      <c r="C23" s="99">
        <f>SUM(D23:O23)</f>
        <v>1592292</v>
      </c>
      <c r="D23" s="107">
        <f>124476</f>
        <v>124476</v>
      </c>
      <c r="E23" s="107">
        <f>127512</f>
        <v>127512</v>
      </c>
      <c r="F23" s="107">
        <f>127512</f>
        <v>127512</v>
      </c>
      <c r="G23" s="107">
        <f>127512</f>
        <v>127512</v>
      </c>
      <c r="H23" s="107">
        <f>127512</f>
        <v>127512</v>
      </c>
      <c r="I23" s="107">
        <f>127512</f>
        <v>127512</v>
      </c>
      <c r="J23" s="107">
        <f>237216</f>
        <v>237216</v>
      </c>
      <c r="K23" s="107">
        <f>118608</f>
        <v>118608</v>
      </c>
      <c r="L23" s="107">
        <f>118608</f>
        <v>118608</v>
      </c>
      <c r="M23" s="107">
        <f>118608</f>
        <v>118608</v>
      </c>
      <c r="N23" s="107">
        <f>118608</f>
        <v>118608</v>
      </c>
      <c r="O23" s="107">
        <f>118608</f>
        <v>118608</v>
      </c>
      <c r="P23" s="75"/>
      <c r="Q23" s="8"/>
      <c r="R23" s="8"/>
      <c r="S23" s="8"/>
    </row>
    <row r="24" spans="1:19" x14ac:dyDescent="0.25">
      <c r="A24" s="59" t="s">
        <v>1656</v>
      </c>
      <c r="B24" s="99" t="s">
        <v>514</v>
      </c>
      <c r="C24" s="99">
        <f>SUM(D24:O24)</f>
        <v>168975.53</v>
      </c>
      <c r="D24" s="107">
        <f>3291.57</f>
        <v>3291.57</v>
      </c>
      <c r="E24" s="107">
        <v>2633.03</v>
      </c>
      <c r="F24" s="107">
        <f>9881.45</f>
        <v>9881.4500000000007</v>
      </c>
      <c r="G24" s="107">
        <f>10996.74</f>
        <v>10996.74</v>
      </c>
      <c r="H24" s="107">
        <f>10996.74</f>
        <v>10996.74</v>
      </c>
      <c r="I24" s="107">
        <f>18216</f>
        <v>18216</v>
      </c>
      <c r="J24" s="107">
        <f>33888</f>
        <v>33888</v>
      </c>
      <c r="K24" s="107">
        <f>16944</f>
        <v>16944</v>
      </c>
      <c r="L24" s="107">
        <f>16944</f>
        <v>16944</v>
      </c>
      <c r="M24" s="107">
        <f>16944</f>
        <v>16944</v>
      </c>
      <c r="N24" s="107">
        <f>14120</f>
        <v>14120</v>
      </c>
      <c r="O24" s="107">
        <f>14120</f>
        <v>14120</v>
      </c>
      <c r="P24" s="75"/>
      <c r="R24" s="520"/>
      <c r="S24" s="82"/>
    </row>
    <row r="25" spans="1:19" x14ac:dyDescent="0.25">
      <c r="A25" s="118" t="s">
        <v>515</v>
      </c>
      <c r="B25" s="119"/>
      <c r="C25" s="120">
        <f t="shared" ref="C25" si="18">C4-C7</f>
        <v>155190088.60999998</v>
      </c>
      <c r="D25" s="120">
        <f t="shared" ref="D25" si="19">D4-D7</f>
        <v>12268754.699999999</v>
      </c>
      <c r="E25" s="120">
        <f t="shared" ref="E25:O25" si="20">E4-E7</f>
        <v>14358486.739999998</v>
      </c>
      <c r="F25" s="120">
        <f t="shared" si="20"/>
        <v>12917083.41</v>
      </c>
      <c r="G25" s="120">
        <f t="shared" si="20"/>
        <v>11295069.219999999</v>
      </c>
      <c r="H25" s="120">
        <f t="shared" si="20"/>
        <v>12791320.41</v>
      </c>
      <c r="I25" s="120">
        <f t="shared" si="20"/>
        <v>14233897.290000001</v>
      </c>
      <c r="J25" s="120">
        <f t="shared" si="20"/>
        <v>16856052.77</v>
      </c>
      <c r="K25" s="120">
        <f t="shared" si="20"/>
        <v>11468799.140000001</v>
      </c>
      <c r="L25" s="120">
        <f t="shared" si="20"/>
        <v>12323700.130000001</v>
      </c>
      <c r="M25" s="120">
        <f t="shared" si="20"/>
        <v>11779027.590000002</v>
      </c>
      <c r="N25" s="120">
        <f t="shared" si="20"/>
        <v>11813012.889999999</v>
      </c>
      <c r="O25" s="120">
        <f t="shared" si="20"/>
        <v>13084884.319999998</v>
      </c>
      <c r="Q25" s="82"/>
      <c r="R25" s="518"/>
      <c r="S25" s="519"/>
    </row>
    <row r="26" spans="1:19" x14ac:dyDescent="0.25">
      <c r="A26" s="69" t="s">
        <v>516</v>
      </c>
      <c r="B26" s="100"/>
      <c r="C26" s="121">
        <f>SUM(D26:O26)</f>
        <v>0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</row>
    <row r="27" spans="1:19" x14ac:dyDescent="0.25">
      <c r="A27" s="89" t="s">
        <v>517</v>
      </c>
      <c r="B27" s="122"/>
      <c r="C27" s="120">
        <f t="shared" ref="C27" si="21">C25-C26</f>
        <v>155190088.60999998</v>
      </c>
      <c r="D27" s="120">
        <f>D25-D26</f>
        <v>12268754.699999999</v>
      </c>
      <c r="E27" s="120">
        <f>E25-E26</f>
        <v>14358486.739999998</v>
      </c>
      <c r="F27" s="120">
        <f t="shared" ref="F27:O27" si="22">F25-F26</f>
        <v>12917083.41</v>
      </c>
      <c r="G27" s="120">
        <f t="shared" si="22"/>
        <v>11295069.219999999</v>
      </c>
      <c r="H27" s="120">
        <f t="shared" si="22"/>
        <v>12791320.41</v>
      </c>
      <c r="I27" s="120">
        <f t="shared" si="22"/>
        <v>14233897.290000001</v>
      </c>
      <c r="J27" s="120">
        <f t="shared" si="22"/>
        <v>16856052.77</v>
      </c>
      <c r="K27" s="120">
        <f t="shared" si="22"/>
        <v>11468799.140000001</v>
      </c>
      <c r="L27" s="120">
        <f t="shared" si="22"/>
        <v>12323700.130000001</v>
      </c>
      <c r="M27" s="120">
        <f t="shared" si="22"/>
        <v>11779027.590000002</v>
      </c>
      <c r="N27" s="120">
        <f t="shared" si="22"/>
        <v>11813012.889999999</v>
      </c>
      <c r="O27" s="120">
        <f t="shared" si="22"/>
        <v>13084884.319999998</v>
      </c>
    </row>
    <row r="28" spans="1:19" x14ac:dyDescent="0.25">
      <c r="A28" s="60" t="s">
        <v>518</v>
      </c>
      <c r="B28" s="123"/>
      <c r="C28" s="124">
        <f>SUM(D28:O28)</f>
        <v>0</v>
      </c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</row>
    <row r="29" spans="1:19" x14ac:dyDescent="0.25">
      <c r="A29" s="118" t="s">
        <v>519</v>
      </c>
      <c r="B29" s="126"/>
      <c r="C29" s="120">
        <f t="shared" ref="C29" si="23">C27-C28</f>
        <v>155190088.60999998</v>
      </c>
      <c r="D29" s="120">
        <f>D27-D28</f>
        <v>12268754.699999999</v>
      </c>
      <c r="E29" s="120">
        <f t="shared" ref="E29:O29" si="24">E27-E28</f>
        <v>14358486.739999998</v>
      </c>
      <c r="F29" s="120">
        <f t="shared" si="24"/>
        <v>12917083.41</v>
      </c>
      <c r="G29" s="120">
        <f t="shared" si="24"/>
        <v>11295069.219999999</v>
      </c>
      <c r="H29" s="120">
        <f t="shared" si="24"/>
        <v>12791320.41</v>
      </c>
      <c r="I29" s="120">
        <f t="shared" si="24"/>
        <v>14233897.290000001</v>
      </c>
      <c r="J29" s="120">
        <f t="shared" si="24"/>
        <v>16856052.77</v>
      </c>
      <c r="K29" s="120">
        <f t="shared" si="24"/>
        <v>11468799.140000001</v>
      </c>
      <c r="L29" s="120">
        <f t="shared" si="24"/>
        <v>12323700.130000001</v>
      </c>
      <c r="M29" s="120">
        <f t="shared" si="24"/>
        <v>11779027.590000002</v>
      </c>
      <c r="N29" s="120">
        <f t="shared" si="24"/>
        <v>11813012.889999999</v>
      </c>
      <c r="O29" s="120">
        <f t="shared" si="24"/>
        <v>13084884.319999998</v>
      </c>
    </row>
    <row r="30" spans="1:19" s="129" customFormat="1" ht="8.25" x14ac:dyDescent="0.15">
      <c r="A30" s="8" t="s">
        <v>520</v>
      </c>
      <c r="B30" s="8"/>
      <c r="C30" s="127"/>
      <c r="D30" s="6">
        <f>12396522.27-D29</f>
        <v>127767.5700000003</v>
      </c>
      <c r="E30" s="6">
        <f>14488631.77-E29</f>
        <v>130145.03000000119</v>
      </c>
      <c r="F30" s="6">
        <f>11356075.97-F29</f>
        <v>-1561007.4399999995</v>
      </c>
      <c r="G30" s="6">
        <f>11356075.97-G29</f>
        <v>61006.750000001863</v>
      </c>
      <c r="H30" s="6">
        <f>12963360.53-H29</f>
        <v>172040.11999999918</v>
      </c>
      <c r="I30" s="6">
        <f>14379625.29-I29</f>
        <v>145727.99999999814</v>
      </c>
      <c r="J30" s="6">
        <f>1712715677-J29</f>
        <v>1695859624.23</v>
      </c>
      <c r="K30" s="6">
        <f>11604351.14-K29</f>
        <v>135552</v>
      </c>
      <c r="L30" s="6">
        <f>12459252.13-L29</f>
        <v>135552</v>
      </c>
      <c r="M30" s="6">
        <f>11914579.59-M29</f>
        <v>135551.99999999814</v>
      </c>
      <c r="N30" s="6">
        <f>11914579.59-N29</f>
        <v>101566.70000000112</v>
      </c>
      <c r="O30" s="6">
        <f>11945758.76-O29</f>
        <v>-1139125.5599999987</v>
      </c>
    </row>
    <row r="31" spans="1:19" s="129" customFormat="1" ht="8.25" x14ac:dyDescent="0.15">
      <c r="A31" s="8" t="s">
        <v>1166</v>
      </c>
      <c r="B31" s="8"/>
      <c r="C31" s="6"/>
      <c r="D31" s="437"/>
      <c r="E31" s="437"/>
    </row>
    <row r="32" spans="1:19" s="129" customFormat="1" ht="8.25" x14ac:dyDescent="0.15">
      <c r="A32" s="8"/>
      <c r="B32" s="8"/>
      <c r="C32" s="6"/>
      <c r="D32" s="128"/>
    </row>
    <row r="33" spans="1:18" s="129" customFormat="1" ht="8.25" x14ac:dyDescent="0.15">
      <c r="C33" s="437"/>
      <c r="D33" s="437"/>
      <c r="E33" s="437"/>
      <c r="F33" s="437"/>
      <c r="G33" s="437"/>
      <c r="H33" s="437"/>
      <c r="I33" s="437"/>
      <c r="J33" s="437"/>
      <c r="K33" s="437"/>
      <c r="L33" s="437"/>
      <c r="M33" s="437"/>
      <c r="N33" s="437"/>
      <c r="O33" s="437"/>
    </row>
    <row r="34" spans="1:18" x14ac:dyDescent="0.25">
      <c r="B34" s="532"/>
      <c r="C34" s="531"/>
      <c r="D34" s="75"/>
      <c r="E34" s="75"/>
      <c r="F34" s="4"/>
      <c r="G34" s="4"/>
      <c r="H34" s="22" t="s">
        <v>1650</v>
      </c>
      <c r="K34" s="10" t="s">
        <v>1653</v>
      </c>
      <c r="L34" s="22" t="s">
        <v>1651</v>
      </c>
      <c r="M34" s="22" t="s">
        <v>1655</v>
      </c>
      <c r="N34" s="22" t="s">
        <v>1652</v>
      </c>
      <c r="O34" s="10" t="s">
        <v>1654</v>
      </c>
      <c r="R34" s="531"/>
    </row>
    <row r="35" spans="1:18" x14ac:dyDescent="0.25">
      <c r="A35" s="15" t="s">
        <v>1452</v>
      </c>
      <c r="B35" s="16" t="s">
        <v>1453</v>
      </c>
      <c r="D35" s="16"/>
      <c r="E35" s="17" t="s">
        <v>98</v>
      </c>
      <c r="F35" s="15"/>
      <c r="H35" s="426">
        <v>2806680.6</v>
      </c>
      <c r="I35" s="417" t="s">
        <v>1645</v>
      </c>
      <c r="J35" s="417" t="s">
        <v>1646</v>
      </c>
      <c r="K35" s="417"/>
      <c r="L35" s="657">
        <v>148984249.5</v>
      </c>
      <c r="M35" s="658">
        <v>0.02</v>
      </c>
      <c r="N35" s="659">
        <f>L35*M35</f>
        <v>2979684.99</v>
      </c>
      <c r="O35" s="417" t="s">
        <v>1647</v>
      </c>
      <c r="P35" s="465"/>
      <c r="R35" s="531"/>
    </row>
    <row r="36" spans="1:18" x14ac:dyDescent="0.25">
      <c r="A36" s="15" t="s">
        <v>99</v>
      </c>
      <c r="B36" s="16" t="s">
        <v>100</v>
      </c>
      <c r="D36" s="16"/>
      <c r="E36" s="17" t="s">
        <v>101</v>
      </c>
      <c r="F36" s="15"/>
      <c r="H36" s="426">
        <v>1414348.56</v>
      </c>
      <c r="I36" s="660" t="s">
        <v>1649</v>
      </c>
      <c r="J36" s="417"/>
      <c r="K36" s="417"/>
      <c r="L36" s="417"/>
      <c r="M36" s="658">
        <v>0.01</v>
      </c>
      <c r="N36" s="659">
        <f>M36*L35</f>
        <v>1489842.4950000001</v>
      </c>
      <c r="O36" s="417" t="s">
        <v>1648</v>
      </c>
      <c r="P36" s="453"/>
    </row>
    <row r="37" spans="1:18" x14ac:dyDescent="0.25">
      <c r="H37" s="17"/>
      <c r="M37" s="4"/>
      <c r="N37" s="4"/>
    </row>
    <row r="39" spans="1:18" x14ac:dyDescent="0.25">
      <c r="D39" s="426"/>
    </row>
    <row r="40" spans="1:18" x14ac:dyDescent="0.25">
      <c r="D40" s="426"/>
    </row>
  </sheetData>
  <mergeCells count="1">
    <mergeCell ref="B2:C2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K33"/>
  <sheetViews>
    <sheetView topLeftCell="A27" zoomScale="154" zoomScaleNormal="154" workbookViewId="0">
      <selection activeCell="D41" sqref="D41"/>
    </sheetView>
  </sheetViews>
  <sheetFormatPr defaultColWidth="8.7109375" defaultRowHeight="15" x14ac:dyDescent="0.25"/>
  <cols>
    <col min="1" max="1" width="78.42578125" style="1" customWidth="1"/>
    <col min="2" max="2" width="11.28515625" style="1" customWidth="1"/>
    <col min="3" max="3" width="15.5703125" style="131" customWidth="1"/>
    <col min="4" max="5" width="11.7109375" style="8" bestFit="1" customWidth="1"/>
    <col min="6" max="7" width="12.28515625" style="8" customWidth="1"/>
    <col min="8" max="8" width="10.85546875" style="8" bestFit="1" customWidth="1"/>
    <col min="9" max="9" width="12.5703125" style="8" customWidth="1"/>
    <col min="10" max="11" width="11.7109375" style="8" bestFit="1" customWidth="1"/>
    <col min="12" max="12" width="12.28515625" style="8" customWidth="1"/>
    <col min="13" max="13" width="12.42578125" style="8" customWidth="1"/>
    <col min="14" max="15" width="10.85546875" style="8" bestFit="1" customWidth="1"/>
    <col min="16" max="16" width="10.42578125" style="8" customWidth="1"/>
    <col min="17" max="17" width="14.7109375" style="8" bestFit="1" customWidth="1"/>
    <col min="18" max="1025" width="9.140625" style="8" customWidth="1"/>
  </cols>
  <sheetData>
    <row r="1" spans="1:18" s="10" customFormat="1" ht="11.25" x14ac:dyDescent="0.2">
      <c r="C1" s="131"/>
      <c r="D1" s="82"/>
      <c r="E1" s="81" t="s">
        <v>477</v>
      </c>
      <c r="F1" s="77"/>
      <c r="G1" s="82" t="s">
        <v>521</v>
      </c>
      <c r="L1" s="82" t="s">
        <v>522</v>
      </c>
      <c r="O1" s="81" t="s">
        <v>479</v>
      </c>
    </row>
    <row r="2" spans="1:18" x14ac:dyDescent="0.25">
      <c r="A2" s="1" t="s">
        <v>1167</v>
      </c>
      <c r="C2" s="82" t="s">
        <v>523</v>
      </c>
      <c r="F2" s="127"/>
      <c r="G2" s="128"/>
      <c r="H2" s="128"/>
    </row>
    <row r="3" spans="1:18" s="10" customFormat="1" ht="11.25" x14ac:dyDescent="0.2">
      <c r="C3" s="82"/>
      <c r="F3" s="531"/>
      <c r="G3" s="77"/>
      <c r="H3" s="75"/>
      <c r="I3" s="75"/>
    </row>
    <row r="4" spans="1:18" x14ac:dyDescent="0.25">
      <c r="A4" s="97" t="s">
        <v>524</v>
      </c>
      <c r="B4" s="1040" t="s">
        <v>525</v>
      </c>
      <c r="C4" s="1040"/>
      <c r="D4" s="132">
        <f>RCL!D2</f>
        <v>45809</v>
      </c>
      <c r="E4" s="132">
        <f>RCL!E2</f>
        <v>45778</v>
      </c>
      <c r="F4" s="133">
        <f>RCL!F2</f>
        <v>45748</v>
      </c>
      <c r="G4" s="132">
        <f>RCL!G2</f>
        <v>45717</v>
      </c>
      <c r="H4" s="132">
        <f>RCL!H2</f>
        <v>45689</v>
      </c>
      <c r="I4" s="133">
        <f>RCL!I2</f>
        <v>45658</v>
      </c>
      <c r="J4" s="132">
        <f>RCL!J2</f>
        <v>45627</v>
      </c>
      <c r="K4" s="133">
        <f>RCL!K2</f>
        <v>45597</v>
      </c>
      <c r="L4" s="132">
        <f>RCL!L2</f>
        <v>45566</v>
      </c>
      <c r="M4" s="133">
        <f>RCL!M2</f>
        <v>45536</v>
      </c>
      <c r="N4" s="132">
        <f>RCL!N2</f>
        <v>45505</v>
      </c>
      <c r="O4" s="133">
        <f>RCL!O2</f>
        <v>45474</v>
      </c>
    </row>
    <row r="5" spans="1:18" x14ac:dyDescent="0.25">
      <c r="A5" s="97" t="s">
        <v>526</v>
      </c>
      <c r="B5" s="85" t="s">
        <v>483</v>
      </c>
      <c r="C5" s="134" t="s">
        <v>527</v>
      </c>
      <c r="D5" s="87" t="s">
        <v>485</v>
      </c>
      <c r="E5" s="88" t="s">
        <v>486</v>
      </c>
      <c r="F5" s="87" t="s">
        <v>487</v>
      </c>
      <c r="G5" s="87" t="s">
        <v>528</v>
      </c>
      <c r="H5" s="88" t="s">
        <v>529</v>
      </c>
      <c r="I5" s="87" t="s">
        <v>530</v>
      </c>
      <c r="J5" s="88" t="s">
        <v>531</v>
      </c>
      <c r="K5" s="87" t="s">
        <v>532</v>
      </c>
      <c r="L5" s="88" t="s">
        <v>533</v>
      </c>
      <c r="M5" s="87" t="s">
        <v>534</v>
      </c>
      <c r="N5" s="88" t="s">
        <v>535</v>
      </c>
      <c r="O5" s="87" t="s">
        <v>536</v>
      </c>
    </row>
    <row r="6" spans="1:18" s="129" customFormat="1" x14ac:dyDescent="0.25">
      <c r="A6" s="118" t="s">
        <v>537</v>
      </c>
      <c r="B6" s="135"/>
      <c r="C6" s="120">
        <f>SUM(C7:C9)</f>
        <v>124957884.66999999</v>
      </c>
      <c r="D6" s="136">
        <f t="shared" ref="D6" si="0">D7+D8</f>
        <v>11984322.640000001</v>
      </c>
      <c r="E6" s="136">
        <f t="shared" ref="E6:O6" si="1">E7+E8</f>
        <v>10440251.85</v>
      </c>
      <c r="F6" s="136">
        <f t="shared" si="1"/>
        <v>10586900.73</v>
      </c>
      <c r="G6" s="136">
        <f t="shared" si="1"/>
        <v>10448251.85</v>
      </c>
      <c r="H6" s="136">
        <f t="shared" si="1"/>
        <v>9770294.9000000004</v>
      </c>
      <c r="I6" s="136">
        <f t="shared" si="1"/>
        <v>10208759.609999999</v>
      </c>
      <c r="J6" s="136">
        <f t="shared" si="1"/>
        <v>16159648.710000001</v>
      </c>
      <c r="K6" s="136">
        <f t="shared" si="1"/>
        <v>9468379.3399999999</v>
      </c>
      <c r="L6" s="136">
        <f t="shared" si="1"/>
        <v>9535426.8599999994</v>
      </c>
      <c r="M6" s="136">
        <f t="shared" si="1"/>
        <v>9320707.9100000001</v>
      </c>
      <c r="N6" s="136">
        <f t="shared" si="1"/>
        <v>7163598.1999999993</v>
      </c>
      <c r="O6" s="136">
        <f t="shared" si="1"/>
        <v>9871342.0700000003</v>
      </c>
      <c r="Q6" s="8"/>
      <c r="R6" s="8"/>
    </row>
    <row r="7" spans="1:18" x14ac:dyDescent="0.25">
      <c r="A7" s="93" t="s">
        <v>538</v>
      </c>
      <c r="B7" s="93" t="s">
        <v>539</v>
      </c>
      <c r="C7" s="95">
        <f>SUM(D7:O7)</f>
        <v>124472552.61999999</v>
      </c>
      <c r="D7" s="137">
        <f>11907916.24</f>
        <v>11907916.24</v>
      </c>
      <c r="E7" s="137">
        <f>10369308.51</f>
        <v>10369308.51</v>
      </c>
      <c r="F7" s="137">
        <f>10515508.5</f>
        <v>10515508.5</v>
      </c>
      <c r="G7" s="137">
        <f>10369662.41</f>
        <v>10369662.41</v>
      </c>
      <c r="H7" s="137">
        <f>9684951.68</f>
        <v>9684951.6799999997</v>
      </c>
      <c r="I7" s="137">
        <v>10208759.609999999</v>
      </c>
      <c r="J7" s="137">
        <f>16087813.05</f>
        <v>16087813.050000001</v>
      </c>
      <c r="K7" s="137">
        <f>9391147.02</f>
        <v>9391147.0199999996</v>
      </c>
      <c r="L7" s="137">
        <f>9462622.7</f>
        <v>9462622.6999999993</v>
      </c>
      <c r="M7" s="137">
        <f>9667252.55</f>
        <v>9667252.5500000007</v>
      </c>
      <c r="N7" s="137">
        <f>7079202.68</f>
        <v>7079202.6799999997</v>
      </c>
      <c r="O7" s="137">
        <f>9728407.67</f>
        <v>9728407.6699999999</v>
      </c>
      <c r="P7" s="138"/>
      <c r="Q7" s="426"/>
      <c r="R7" s="127"/>
    </row>
    <row r="8" spans="1:18" x14ac:dyDescent="0.25">
      <c r="A8" s="39" t="s">
        <v>540</v>
      </c>
      <c r="B8" s="39" t="s">
        <v>1179</v>
      </c>
      <c r="C8" s="105">
        <f>SUM(D8:O8)</f>
        <v>485332.05000000016</v>
      </c>
      <c r="D8" s="139">
        <f>76406.4</f>
        <v>76406.399999999994</v>
      </c>
      <c r="E8" s="139">
        <f>70943.34</f>
        <v>70943.34</v>
      </c>
      <c r="F8" s="139">
        <f>71392.23</f>
        <v>71392.23</v>
      </c>
      <c r="G8" s="139">
        <f>78589.44</f>
        <v>78589.440000000002</v>
      </c>
      <c r="H8" s="139">
        <f>85343.22</f>
        <v>85343.22</v>
      </c>
      <c r="I8" s="139"/>
      <c r="J8" s="139">
        <f>71835.66</f>
        <v>71835.66</v>
      </c>
      <c r="K8" s="139">
        <f>77232.32</f>
        <v>77232.320000000007</v>
      </c>
      <c r="L8" s="139">
        <f>72804.16</f>
        <v>72804.160000000003</v>
      </c>
      <c r="M8" s="139">
        <f>-346544.64</f>
        <v>-346544.64000000001</v>
      </c>
      <c r="N8" s="139">
        <f>84395.52</f>
        <v>84395.520000000004</v>
      </c>
      <c r="O8" s="139">
        <v>142934.39999999999</v>
      </c>
      <c r="P8" s="128"/>
      <c r="Q8" s="489"/>
      <c r="R8" s="138"/>
    </row>
    <row r="9" spans="1:18" s="129" customFormat="1" x14ac:dyDescent="0.25">
      <c r="A9" s="59" t="s">
        <v>541</v>
      </c>
      <c r="B9" s="97" t="s">
        <v>1180</v>
      </c>
      <c r="C9" s="99">
        <f>SUM(D9:O9)</f>
        <v>0</v>
      </c>
      <c r="D9" s="495"/>
      <c r="E9" s="495"/>
      <c r="F9" s="495"/>
      <c r="G9" s="495"/>
      <c r="H9" s="495"/>
      <c r="I9" s="495"/>
      <c r="J9" s="495"/>
      <c r="K9" s="495"/>
      <c r="L9" s="495"/>
      <c r="M9" s="495"/>
      <c r="N9" s="495"/>
      <c r="O9" s="495"/>
      <c r="P9" s="130"/>
      <c r="Q9" s="8"/>
      <c r="R9" s="8"/>
    </row>
    <row r="10" spans="1:18" s="129" customFormat="1" x14ac:dyDescent="0.25">
      <c r="A10" s="118" t="s">
        <v>542</v>
      </c>
      <c r="B10" s="135"/>
      <c r="C10" s="140">
        <f t="shared" ref="C10:D10" si="2">SUM(C11:C17)</f>
        <v>48802845.645999998</v>
      </c>
      <c r="D10" s="91">
        <f t="shared" si="2"/>
        <v>5470768.6160000004</v>
      </c>
      <c r="E10" s="91">
        <f t="shared" ref="E10:O10" si="3">SUM(E11:E17)</f>
        <v>3771164.8640000001</v>
      </c>
      <c r="F10" s="91">
        <f t="shared" si="3"/>
        <v>4163032.8560000006</v>
      </c>
      <c r="G10" s="91">
        <f t="shared" si="3"/>
        <v>3786033.9819999994</v>
      </c>
      <c r="H10" s="91">
        <f t="shared" si="3"/>
        <v>3499203.2519999999</v>
      </c>
      <c r="I10" s="91">
        <f t="shared" si="3"/>
        <v>4187787.3320000004</v>
      </c>
      <c r="J10" s="91">
        <f t="shared" si="3"/>
        <v>6481075.1199999992</v>
      </c>
      <c r="K10" s="91">
        <f t="shared" si="3"/>
        <v>3325104.1489999997</v>
      </c>
      <c r="L10" s="91">
        <f t="shared" si="3"/>
        <v>3475839.8469999996</v>
      </c>
      <c r="M10" s="91">
        <f t="shared" si="3"/>
        <v>3679139.0700000003</v>
      </c>
      <c r="N10" s="91">
        <f t="shared" si="3"/>
        <v>3650313.9139999999</v>
      </c>
      <c r="O10" s="91">
        <f t="shared" si="3"/>
        <v>3313382.6439999999</v>
      </c>
      <c r="P10" s="130"/>
      <c r="Q10" s="490"/>
      <c r="R10" s="8"/>
    </row>
    <row r="11" spans="1:18" x14ac:dyDescent="0.25">
      <c r="A11" s="93" t="s">
        <v>543</v>
      </c>
      <c r="B11" s="93" t="s">
        <v>544</v>
      </c>
      <c r="C11" s="95">
        <f t="shared" ref="C11:C15" si="4">SUM(D11:O11)</f>
        <v>37135048.460000001</v>
      </c>
      <c r="D11" s="139">
        <f>4530100.85</f>
        <v>4530100.8499999996</v>
      </c>
      <c r="E11" s="139">
        <f>3024545.11</f>
        <v>3024545.11</v>
      </c>
      <c r="F11" s="139">
        <f>3009511.97</f>
        <v>3009511.97</v>
      </c>
      <c r="G11" s="139">
        <f>2987025.07</f>
        <v>2987025.07</v>
      </c>
      <c r="H11" s="139">
        <f>2974492.45</f>
        <v>2974492.45</v>
      </c>
      <c r="I11" s="139">
        <v>2810965.39</v>
      </c>
      <c r="J11" s="139">
        <f>4127083.78</f>
        <v>4127083.78</v>
      </c>
      <c r="K11" s="139">
        <f>2737876.45</f>
        <v>2737876.45</v>
      </c>
      <c r="L11" s="139">
        <f>2737676.03</f>
        <v>2737676.03</v>
      </c>
      <c r="M11" s="139">
        <f>2736186.29</f>
        <v>2736186.29</v>
      </c>
      <c r="N11" s="139">
        <f>2732800.31</f>
        <v>2732800.31</v>
      </c>
      <c r="O11" s="139">
        <v>2726784.76</v>
      </c>
      <c r="P11" s="128"/>
      <c r="Q11" s="490"/>
    </row>
    <row r="12" spans="1:18" x14ac:dyDescent="0.25">
      <c r="A12" s="39" t="s">
        <v>545</v>
      </c>
      <c r="B12" s="39" t="s">
        <v>546</v>
      </c>
      <c r="C12" s="95">
        <f t="shared" si="4"/>
        <v>4145467.6700000004</v>
      </c>
      <c r="D12" s="139">
        <f>493554.9</f>
        <v>493554.9</v>
      </c>
      <c r="E12" s="139">
        <f>326333.96</f>
        <v>326333.96000000002</v>
      </c>
      <c r="F12" s="139">
        <f>323529.19</f>
        <v>323529.19</v>
      </c>
      <c r="G12" s="139">
        <f>322086.36</f>
        <v>322086.36</v>
      </c>
      <c r="H12" s="139">
        <f>322086.36</f>
        <v>322086.36</v>
      </c>
      <c r="I12" s="139">
        <v>314479.2</v>
      </c>
      <c r="J12" s="139">
        <f>468452.72</f>
        <v>468452.72</v>
      </c>
      <c r="K12" s="139">
        <f>322048.72</f>
        <v>322048.71999999997</v>
      </c>
      <c r="L12" s="139">
        <f>322499.03</f>
        <v>322499.03000000003</v>
      </c>
      <c r="M12" s="139">
        <f>323107.62</f>
        <v>323107.62</v>
      </c>
      <c r="N12" s="139">
        <f>308796.63</f>
        <v>308796.63</v>
      </c>
      <c r="O12" s="139">
        <f>298492.98</f>
        <v>298492.98</v>
      </c>
      <c r="P12" s="128"/>
      <c r="Q12" s="491"/>
    </row>
    <row r="13" spans="1:18" x14ac:dyDescent="0.25">
      <c r="A13" s="30" t="s">
        <v>547</v>
      </c>
      <c r="B13" s="97" t="s">
        <v>548</v>
      </c>
      <c r="C13" s="95">
        <f t="shared" si="4"/>
        <v>97131.299999999988</v>
      </c>
      <c r="D13" s="139">
        <f>8641.14</f>
        <v>8641.14</v>
      </c>
      <c r="E13" s="139">
        <f>2567.6</f>
        <v>2567.6</v>
      </c>
      <c r="F13" s="139">
        <f>2071.43</f>
        <v>2071.4299999999998</v>
      </c>
      <c r="G13" s="139">
        <f>2258.23</f>
        <v>2258.23</v>
      </c>
      <c r="H13" s="139">
        <f>2338.15</f>
        <v>2338.15</v>
      </c>
      <c r="I13" s="139">
        <v>2067.89</v>
      </c>
      <c r="J13" s="139">
        <f>27046.02</f>
        <v>27046.02</v>
      </c>
      <c r="K13" s="139">
        <f>8419.67</f>
        <v>8419.67</v>
      </c>
      <c r="L13" s="139">
        <f>3557.18</f>
        <v>3557.18</v>
      </c>
      <c r="M13" s="139">
        <f>5291.28</f>
        <v>5291.28</v>
      </c>
      <c r="N13" s="139">
        <f>6005.4</f>
        <v>6005.4</v>
      </c>
      <c r="O13" s="139">
        <v>26867.31</v>
      </c>
      <c r="Q13" s="491"/>
    </row>
    <row r="14" spans="1:18" x14ac:dyDescent="0.25">
      <c r="A14" s="60" t="s">
        <v>549</v>
      </c>
      <c r="B14" s="97" t="s">
        <v>957</v>
      </c>
      <c r="C14" s="95">
        <f t="shared" si="4"/>
        <v>598774.51</v>
      </c>
      <c r="D14" s="106">
        <f>36678.83</f>
        <v>36678.83</v>
      </c>
      <c r="E14" s="106">
        <f>36678.83</f>
        <v>36678.83</v>
      </c>
      <c r="F14" s="106">
        <f>36678.83</f>
        <v>36678.83</v>
      </c>
      <c r="G14" s="106">
        <f>83316.09</f>
        <v>83316.09</v>
      </c>
      <c r="H14" s="106">
        <f>36678.83</f>
        <v>36678.83</v>
      </c>
      <c r="I14" s="106"/>
      <c r="J14" s="106">
        <f>36678.83</f>
        <v>36678.83</v>
      </c>
      <c r="K14" s="106">
        <f>36678.83</f>
        <v>36678.83</v>
      </c>
      <c r="L14" s="106">
        <f>73846.36</f>
        <v>73846.36</v>
      </c>
      <c r="M14" s="106">
        <f>73846.36</f>
        <v>73846.36</v>
      </c>
      <c r="N14" s="106">
        <f>73846.36</f>
        <v>73846.36</v>
      </c>
      <c r="O14" s="106">
        <f>73846.36</f>
        <v>73846.36</v>
      </c>
      <c r="Q14" s="492"/>
    </row>
    <row r="15" spans="1:18" x14ac:dyDescent="0.25">
      <c r="A15" s="39" t="s">
        <v>550</v>
      </c>
      <c r="B15" s="39" t="s">
        <v>551</v>
      </c>
      <c r="C15" s="105">
        <f t="shared" si="4"/>
        <v>4930864.3199999994</v>
      </c>
      <c r="D15" s="96">
        <f>271261.17</f>
        <v>271261.17</v>
      </c>
      <c r="E15" s="96">
        <f>225206.54</f>
        <v>225206.54</v>
      </c>
      <c r="F15" s="96">
        <f>627344.6</f>
        <v>627344.6</v>
      </c>
      <c r="G15" s="96">
        <f>203128.96</f>
        <v>203128.95999999999</v>
      </c>
      <c r="H15" s="96">
        <f>82733.96</f>
        <v>82733.960000000006</v>
      </c>
      <c r="I15" s="96">
        <f>883144.86</f>
        <v>883144.86</v>
      </c>
      <c r="J15" s="96">
        <f>1529062.05</f>
        <v>1529062.05</v>
      </c>
      <c r="K15" s="96">
        <f>88932.65</f>
        <v>88932.65</v>
      </c>
      <c r="L15" s="96">
        <f>189474.09</f>
        <v>189474.09</v>
      </c>
      <c r="M15" s="96">
        <f>395098.74</f>
        <v>395098.74</v>
      </c>
      <c r="N15" s="96">
        <f>387793.9</f>
        <v>387793.9</v>
      </c>
      <c r="O15" s="96">
        <f>47682.8</f>
        <v>47682.8</v>
      </c>
      <c r="Q15" s="493"/>
    </row>
    <row r="16" spans="1:18" x14ac:dyDescent="0.25">
      <c r="A16" s="38" t="s">
        <v>1450</v>
      </c>
      <c r="B16" s="97" t="s">
        <v>940</v>
      </c>
      <c r="C16" s="105">
        <f>SUM(D16:O16)</f>
        <v>125988.70599999999</v>
      </c>
      <c r="D16" s="106">
        <f>9152.07*0.8</f>
        <v>7321.6559999999999</v>
      </c>
      <c r="E16" s="106">
        <f>8493.53*0.8</f>
        <v>6794.8240000000005</v>
      </c>
      <c r="F16" s="106">
        <f>8678.47*0.8</f>
        <v>6942.7759999999998</v>
      </c>
      <c r="G16" s="106">
        <f>10996.74*0.8</f>
        <v>8797.3919999999998</v>
      </c>
      <c r="H16" s="106">
        <f>10996.74*0.8</f>
        <v>8797.3919999999998</v>
      </c>
      <c r="I16" s="106">
        <f>10996.74*0.8</f>
        <v>8797.3919999999998</v>
      </c>
      <c r="J16" s="106">
        <f>24176.05</f>
        <v>24176.05</v>
      </c>
      <c r="K16" s="106">
        <f>16423.11*0.9</f>
        <v>14780.799000000001</v>
      </c>
      <c r="L16" s="106">
        <f>13764.83*0.9</f>
        <v>12388.347</v>
      </c>
      <c r="M16" s="106">
        <f>9821.1*0.9</f>
        <v>8838.99</v>
      </c>
      <c r="N16" s="106">
        <f>10196.16*0.9</f>
        <v>9176.5439999999999</v>
      </c>
      <c r="O16" s="106">
        <f>10196.16*0.9</f>
        <v>9176.5439999999999</v>
      </c>
      <c r="Q16" s="477"/>
    </row>
    <row r="17" spans="1:18" s="10" customFormat="1" ht="11.25" x14ac:dyDescent="0.2">
      <c r="A17" s="59" t="s">
        <v>1451</v>
      </c>
      <c r="B17" s="59" t="s">
        <v>552</v>
      </c>
      <c r="C17" s="99">
        <f>SUM(D17:O17)</f>
        <v>1769570.68</v>
      </c>
      <c r="D17" s="67">
        <f>123210.07</f>
        <v>123210.07</v>
      </c>
      <c r="E17" s="67">
        <f>149038</f>
        <v>149038</v>
      </c>
      <c r="F17" s="67">
        <f>156954.06</f>
        <v>156954.06</v>
      </c>
      <c r="G17" s="67">
        <f>179421.88</f>
        <v>179421.88</v>
      </c>
      <c r="H17" s="67">
        <f>72076.11</f>
        <v>72076.11</v>
      </c>
      <c r="I17" s="67">
        <v>168332.6</v>
      </c>
      <c r="J17" s="67">
        <f>268575.67</f>
        <v>268575.67</v>
      </c>
      <c r="K17" s="67">
        <f>116367.03</f>
        <v>116367.03</v>
      </c>
      <c r="L17" s="67">
        <f>136398.81</f>
        <v>136398.81</v>
      </c>
      <c r="M17" s="67">
        <f>136769.79</f>
        <v>136769.79</v>
      </c>
      <c r="N17" s="67">
        <f>131894.77</f>
        <v>131894.76999999999</v>
      </c>
      <c r="O17" s="67">
        <f>130531.89</f>
        <v>130531.89</v>
      </c>
      <c r="Q17" s="494"/>
    </row>
    <row r="18" spans="1:18" x14ac:dyDescent="0.25">
      <c r="A18" s="89" t="s">
        <v>553</v>
      </c>
      <c r="B18" s="142"/>
      <c r="C18" s="143">
        <f t="shared" ref="C18:D18" si="5">C6-C10</f>
        <v>76155039.023999989</v>
      </c>
      <c r="D18" s="144">
        <f t="shared" si="5"/>
        <v>6513554.0240000002</v>
      </c>
      <c r="E18" s="144">
        <f t="shared" ref="E18:O18" si="6">E6-E10</f>
        <v>6669086.9859999996</v>
      </c>
      <c r="F18" s="144">
        <f t="shared" si="6"/>
        <v>6423867.8739999998</v>
      </c>
      <c r="G18" s="144">
        <f t="shared" si="6"/>
        <v>6662217.8680000007</v>
      </c>
      <c r="H18" s="144">
        <f t="shared" si="6"/>
        <v>6271091.648</v>
      </c>
      <c r="I18" s="144">
        <f t="shared" si="6"/>
        <v>6020972.277999999</v>
      </c>
      <c r="J18" s="144">
        <f t="shared" si="6"/>
        <v>9678573.5900000017</v>
      </c>
      <c r="K18" s="144">
        <f t="shared" si="6"/>
        <v>6143275.1909999996</v>
      </c>
      <c r="L18" s="144">
        <f t="shared" si="6"/>
        <v>6059587.0130000003</v>
      </c>
      <c r="M18" s="144">
        <f t="shared" si="6"/>
        <v>5641568.8399999999</v>
      </c>
      <c r="N18" s="144">
        <f t="shared" si="6"/>
        <v>3513284.2859999994</v>
      </c>
      <c r="O18" s="144">
        <f t="shared" si="6"/>
        <v>6557959.4260000009</v>
      </c>
      <c r="Q18" s="127"/>
    </row>
    <row r="19" spans="1:18" x14ac:dyDescent="0.25">
      <c r="A19" s="93" t="s">
        <v>396</v>
      </c>
      <c r="B19" s="73" t="s">
        <v>554</v>
      </c>
      <c r="C19" s="95">
        <f>SUM(D19:O19)</f>
        <v>0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Q19" s="127"/>
    </row>
    <row r="20" spans="1:18" x14ac:dyDescent="0.25">
      <c r="A20" s="97" t="s">
        <v>378</v>
      </c>
      <c r="B20" s="59" t="s">
        <v>555</v>
      </c>
      <c r="C20" s="95">
        <f>SUM(D20:O20)</f>
        <v>0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Q20" s="127"/>
    </row>
    <row r="21" spans="1:18" x14ac:dyDescent="0.25">
      <c r="A21" s="89" t="s">
        <v>556</v>
      </c>
      <c r="B21" s="147"/>
      <c r="C21" s="91">
        <f t="shared" ref="C21:D21" si="7">SUM(C19:C20)</f>
        <v>0</v>
      </c>
      <c r="D21" s="91">
        <f t="shared" si="7"/>
        <v>0</v>
      </c>
      <c r="E21" s="91">
        <f t="shared" ref="E21:O21" si="8">SUM(E19:E20)</f>
        <v>0</v>
      </c>
      <c r="F21" s="91">
        <f t="shared" si="8"/>
        <v>0</v>
      </c>
      <c r="G21" s="91">
        <f t="shared" si="8"/>
        <v>0</v>
      </c>
      <c r="H21" s="91">
        <f t="shared" si="8"/>
        <v>0</v>
      </c>
      <c r="I21" s="91">
        <f t="shared" si="8"/>
        <v>0</v>
      </c>
      <c r="J21" s="91">
        <f t="shared" si="8"/>
        <v>0</v>
      </c>
      <c r="K21" s="91">
        <f t="shared" si="8"/>
        <v>0</v>
      </c>
      <c r="L21" s="91">
        <f t="shared" si="8"/>
        <v>0</v>
      </c>
      <c r="M21" s="91">
        <f t="shared" si="8"/>
        <v>0</v>
      </c>
      <c r="N21" s="91">
        <f t="shared" si="8"/>
        <v>0</v>
      </c>
      <c r="O21" s="91">
        <f t="shared" si="8"/>
        <v>0</v>
      </c>
    </row>
    <row r="22" spans="1:18" s="10" customFormat="1" ht="11.25" x14ac:dyDescent="0.2">
      <c r="A22" s="73" t="s">
        <v>557</v>
      </c>
      <c r="B22" s="73" t="s">
        <v>558</v>
      </c>
      <c r="C22" s="95">
        <f>SUM(D22:O22)</f>
        <v>0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8" s="10" customFormat="1" ht="11.25" x14ac:dyDescent="0.2">
      <c r="A23" s="59" t="s">
        <v>559</v>
      </c>
      <c r="B23" s="59" t="s">
        <v>558</v>
      </c>
      <c r="C23" s="95">
        <f>SUM(D23:O23)</f>
        <v>0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</row>
    <row r="24" spans="1:18" s="129" customFormat="1" x14ac:dyDescent="0.25">
      <c r="A24" s="89" t="s">
        <v>560</v>
      </c>
      <c r="B24" s="147"/>
      <c r="C24" s="91">
        <f t="shared" ref="C24:D24" si="9">SUM(C22:C23)</f>
        <v>0</v>
      </c>
      <c r="D24" s="91">
        <f t="shared" si="9"/>
        <v>0</v>
      </c>
      <c r="E24" s="91">
        <f t="shared" ref="E24:O24" si="10">SUM(E22:E23)</f>
        <v>0</v>
      </c>
      <c r="F24" s="91">
        <f t="shared" si="10"/>
        <v>0</v>
      </c>
      <c r="G24" s="91">
        <f t="shared" si="10"/>
        <v>0</v>
      </c>
      <c r="H24" s="91">
        <f t="shared" si="10"/>
        <v>0</v>
      </c>
      <c r="I24" s="91">
        <f t="shared" si="10"/>
        <v>0</v>
      </c>
      <c r="J24" s="91">
        <f t="shared" si="10"/>
        <v>0</v>
      </c>
      <c r="K24" s="91">
        <f t="shared" si="10"/>
        <v>0</v>
      </c>
      <c r="L24" s="91">
        <f t="shared" si="10"/>
        <v>0</v>
      </c>
      <c r="M24" s="91">
        <f t="shared" si="10"/>
        <v>0</v>
      </c>
      <c r="N24" s="91">
        <f t="shared" si="10"/>
        <v>0</v>
      </c>
      <c r="O24" s="91">
        <f t="shared" si="10"/>
        <v>0</v>
      </c>
      <c r="Q24" s="8"/>
      <c r="R24" s="8"/>
    </row>
    <row r="25" spans="1:18" s="82" customFormat="1" ht="11.25" x14ac:dyDescent="0.2">
      <c r="A25" s="73" t="s">
        <v>1165</v>
      </c>
      <c r="B25" s="73" t="s">
        <v>561</v>
      </c>
      <c r="C25" s="95">
        <f>SUM(D25:O25)</f>
        <v>0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Q25" s="10"/>
      <c r="R25" s="10"/>
    </row>
    <row r="26" spans="1:18" s="82" customFormat="1" ht="11.25" x14ac:dyDescent="0.2">
      <c r="A26" s="59" t="s">
        <v>562</v>
      </c>
      <c r="B26" s="59" t="s">
        <v>563</v>
      </c>
      <c r="C26" s="95">
        <f>SUM(D26:O26)</f>
        <v>0</v>
      </c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Q26" s="10"/>
      <c r="R26" s="10"/>
    </row>
    <row r="27" spans="1:18" s="129" customFormat="1" x14ac:dyDescent="0.25">
      <c r="A27" s="89" t="s">
        <v>564</v>
      </c>
      <c r="B27" s="147"/>
      <c r="C27" s="91">
        <f t="shared" ref="C27:D27" si="11">SUM(C25:C26)</f>
        <v>0</v>
      </c>
      <c r="D27" s="91">
        <f t="shared" si="11"/>
        <v>0</v>
      </c>
      <c r="E27" s="91">
        <f t="shared" ref="E27:O27" si="12">SUM(E25:E26)</f>
        <v>0</v>
      </c>
      <c r="F27" s="91">
        <f t="shared" si="12"/>
        <v>0</v>
      </c>
      <c r="G27" s="91">
        <f t="shared" si="12"/>
        <v>0</v>
      </c>
      <c r="H27" s="91">
        <f t="shared" si="12"/>
        <v>0</v>
      </c>
      <c r="I27" s="91">
        <f t="shared" si="12"/>
        <v>0</v>
      </c>
      <c r="J27" s="91">
        <f t="shared" si="12"/>
        <v>0</v>
      </c>
      <c r="K27" s="91">
        <f t="shared" si="12"/>
        <v>0</v>
      </c>
      <c r="L27" s="91">
        <f t="shared" si="12"/>
        <v>0</v>
      </c>
      <c r="M27" s="91">
        <f t="shared" si="12"/>
        <v>0</v>
      </c>
      <c r="N27" s="91">
        <f t="shared" si="12"/>
        <v>0</v>
      </c>
      <c r="O27" s="91">
        <f t="shared" si="12"/>
        <v>0</v>
      </c>
      <c r="Q27" s="8"/>
      <c r="R27" s="8"/>
    </row>
    <row r="28" spans="1:18" x14ac:dyDescent="0.25">
      <c r="A28" s="89" t="s">
        <v>565</v>
      </c>
      <c r="B28" s="149" t="s">
        <v>484</v>
      </c>
      <c r="C28" s="91">
        <f t="shared" ref="C28:O28" si="13">C18+C21+C24+C27</f>
        <v>76155039.023999989</v>
      </c>
      <c r="D28" s="91">
        <f t="shared" si="13"/>
        <v>6513554.0240000002</v>
      </c>
      <c r="E28" s="91">
        <f t="shared" si="13"/>
        <v>6669086.9859999996</v>
      </c>
      <c r="F28" s="91">
        <f t="shared" si="13"/>
        <v>6423867.8739999998</v>
      </c>
      <c r="G28" s="91">
        <f t="shared" si="13"/>
        <v>6662217.8680000007</v>
      </c>
      <c r="H28" s="91">
        <f t="shared" si="13"/>
        <v>6271091.648</v>
      </c>
      <c r="I28" s="91">
        <f t="shared" si="13"/>
        <v>6020972.277999999</v>
      </c>
      <c r="J28" s="91">
        <f t="shared" si="13"/>
        <v>9678573.5900000017</v>
      </c>
      <c r="K28" s="91">
        <f t="shared" si="13"/>
        <v>6143275.1909999996</v>
      </c>
      <c r="L28" s="91">
        <f t="shared" si="13"/>
        <v>6059587.0130000003</v>
      </c>
      <c r="M28" s="91">
        <f t="shared" si="13"/>
        <v>5641568.8399999999</v>
      </c>
      <c r="N28" s="91">
        <f t="shared" si="13"/>
        <v>3513284.2859999994</v>
      </c>
      <c r="O28" s="91">
        <f t="shared" si="13"/>
        <v>6557959.4260000009</v>
      </c>
    </row>
    <row r="29" spans="1:18" x14ac:dyDescent="0.25">
      <c r="A29" s="150" t="s">
        <v>945</v>
      </c>
      <c r="D29" s="628"/>
      <c r="E29" s="628"/>
      <c r="F29" s="628"/>
      <c r="G29" s="628"/>
      <c r="H29" s="628"/>
      <c r="I29" s="628"/>
      <c r="J29" s="628"/>
      <c r="K29" s="628"/>
      <c r="L29" s="628"/>
      <c r="M29" s="628"/>
      <c r="N29" s="628"/>
      <c r="O29" s="628"/>
    </row>
    <row r="30" spans="1:18" s="10" customFormat="1" ht="11.25" x14ac:dyDescent="0.2">
      <c r="C30" s="131"/>
      <c r="J30" s="151"/>
      <c r="K30" s="152"/>
      <c r="L30" s="152"/>
      <c r="M30" s="152"/>
      <c r="N30" s="152"/>
      <c r="O30" s="152"/>
    </row>
    <row r="31" spans="1:18" s="10" customFormat="1" ht="11.25" x14ac:dyDescent="0.2">
      <c r="C31" s="131"/>
    </row>
    <row r="32" spans="1:18" s="153" customFormat="1" ht="11.25" x14ac:dyDescent="0.2">
      <c r="A32" s="10"/>
      <c r="B32" s="10"/>
      <c r="C32" s="131"/>
      <c r="F32" s="18" t="s">
        <v>1452</v>
      </c>
      <c r="I32" s="15" t="s">
        <v>1453</v>
      </c>
      <c r="J32" s="19"/>
      <c r="L32" s="16"/>
      <c r="M32" s="17" t="s">
        <v>98</v>
      </c>
    </row>
    <row r="33" spans="1:13" s="153" customFormat="1" ht="11.25" x14ac:dyDescent="0.2">
      <c r="A33" s="10"/>
      <c r="B33" s="10"/>
      <c r="C33" s="131"/>
      <c r="F33" s="15" t="s">
        <v>99</v>
      </c>
      <c r="I33" s="15" t="s">
        <v>100</v>
      </c>
      <c r="J33" s="19"/>
      <c r="L33" s="16"/>
      <c r="M33" s="17" t="s">
        <v>101</v>
      </c>
    </row>
  </sheetData>
  <mergeCells count="1">
    <mergeCell ref="B4:C4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K35"/>
  <sheetViews>
    <sheetView topLeftCell="B10" zoomScale="172" zoomScaleNormal="172" workbookViewId="0">
      <selection activeCell="C4" sqref="C4:C7"/>
    </sheetView>
  </sheetViews>
  <sheetFormatPr defaultColWidth="8.7109375" defaultRowHeight="15" x14ac:dyDescent="0.25"/>
  <cols>
    <col min="1" max="1" width="0.7109375" style="154" customWidth="1"/>
    <col min="2" max="2" width="14.5703125" style="154" customWidth="1"/>
    <col min="3" max="3" width="10.140625" style="154" customWidth="1"/>
    <col min="4" max="4" width="8.85546875" style="154" customWidth="1"/>
    <col min="5" max="5" width="9" style="154" customWidth="1"/>
    <col min="6" max="6" width="9.140625" style="154" customWidth="1"/>
    <col min="7" max="7" width="8.42578125" style="154" customWidth="1"/>
    <col min="8" max="8" width="8.140625" style="154" customWidth="1"/>
    <col min="9" max="10" width="8.42578125" style="154" customWidth="1"/>
    <col min="11" max="11" width="8.85546875" style="154" customWidth="1"/>
    <col min="12" max="12" width="8.42578125" style="154" customWidth="1"/>
    <col min="13" max="13" width="8.85546875" style="154" customWidth="1"/>
    <col min="14" max="14" width="8.28515625" style="154" customWidth="1"/>
    <col min="15" max="15" width="8.5703125" style="154" customWidth="1"/>
    <col min="16" max="16" width="9.140625" style="154" customWidth="1"/>
    <col min="17" max="17" width="9.42578125" style="154" customWidth="1"/>
    <col min="18" max="18" width="9.140625" style="154" customWidth="1"/>
    <col min="19" max="19" width="24.140625" style="154" customWidth="1"/>
    <col min="20" max="20" width="10.42578125" style="154" customWidth="1"/>
    <col min="21" max="21" width="10.28515625" style="154" customWidth="1"/>
    <col min="22" max="256" width="9.140625" style="154" customWidth="1"/>
    <col min="257" max="257" width="6.140625" style="154" customWidth="1"/>
    <col min="258" max="258" width="16.7109375" style="154" customWidth="1"/>
    <col min="259" max="260" width="9.85546875" style="154" customWidth="1"/>
    <col min="261" max="262" width="9.140625" style="154" customWidth="1"/>
    <col min="263" max="263" width="9" style="154" customWidth="1"/>
    <col min="264" max="264" width="9.140625" style="154" customWidth="1"/>
    <col min="265" max="265" width="9" style="154" customWidth="1"/>
    <col min="266" max="266" width="8.85546875" style="154" customWidth="1"/>
    <col min="267" max="267" width="9.140625" style="154" customWidth="1"/>
    <col min="268" max="268" width="8.85546875" style="154" customWidth="1"/>
    <col min="269" max="270" width="9" style="154" customWidth="1"/>
    <col min="271" max="271" width="8.85546875" style="154" customWidth="1"/>
    <col min="272" max="274" width="9.140625" style="154" customWidth="1"/>
    <col min="275" max="275" width="24.140625" style="154" customWidth="1"/>
    <col min="276" max="276" width="10.42578125" style="154" customWidth="1"/>
    <col min="277" max="277" width="10.28515625" style="154" customWidth="1"/>
    <col min="278" max="512" width="9.140625" style="154" customWidth="1"/>
    <col min="513" max="513" width="6.140625" style="154" customWidth="1"/>
    <col min="514" max="514" width="16.7109375" style="154" customWidth="1"/>
    <col min="515" max="516" width="9.85546875" style="154" customWidth="1"/>
    <col min="517" max="518" width="9.140625" style="154" customWidth="1"/>
    <col min="519" max="519" width="9" style="154" customWidth="1"/>
    <col min="520" max="520" width="9.140625" style="154" customWidth="1"/>
    <col min="521" max="521" width="9" style="154" customWidth="1"/>
    <col min="522" max="522" width="8.85546875" style="154" customWidth="1"/>
    <col min="523" max="523" width="9.140625" style="154" customWidth="1"/>
    <col min="524" max="524" width="8.85546875" style="154" customWidth="1"/>
    <col min="525" max="526" width="9" style="154" customWidth="1"/>
    <col min="527" max="527" width="8.85546875" style="154" customWidth="1"/>
    <col min="528" max="530" width="9.140625" style="154" customWidth="1"/>
    <col min="531" max="531" width="24.140625" style="154" customWidth="1"/>
    <col min="532" max="532" width="10.42578125" style="154" customWidth="1"/>
    <col min="533" max="533" width="10.28515625" style="154" customWidth="1"/>
    <col min="534" max="768" width="9.140625" style="154" customWidth="1"/>
    <col min="769" max="769" width="6.140625" style="154" customWidth="1"/>
    <col min="770" max="770" width="16.7109375" style="154" customWidth="1"/>
    <col min="771" max="772" width="9.85546875" style="154" customWidth="1"/>
    <col min="773" max="774" width="9.140625" style="154" customWidth="1"/>
    <col min="775" max="775" width="9" style="154" customWidth="1"/>
    <col min="776" max="776" width="9.140625" style="154" customWidth="1"/>
    <col min="777" max="777" width="9" style="154" customWidth="1"/>
    <col min="778" max="778" width="8.85546875" style="154" customWidth="1"/>
    <col min="779" max="779" width="9.140625" style="154" customWidth="1"/>
    <col min="780" max="780" width="8.85546875" style="154" customWidth="1"/>
    <col min="781" max="782" width="9" style="154" customWidth="1"/>
    <col min="783" max="783" width="8.85546875" style="154" customWidth="1"/>
    <col min="784" max="786" width="9.140625" style="154" customWidth="1"/>
    <col min="787" max="787" width="24.140625" style="154" customWidth="1"/>
    <col min="788" max="788" width="10.42578125" style="154" customWidth="1"/>
    <col min="789" max="789" width="10.28515625" style="154" customWidth="1"/>
    <col min="790" max="1025" width="9.140625" style="154" customWidth="1"/>
  </cols>
  <sheetData>
    <row r="1" spans="1:1025" ht="15.75" x14ac:dyDescent="0.25">
      <c r="B1" s="155" t="s">
        <v>1303</v>
      </c>
      <c r="C1" s="156" t="s">
        <v>566</v>
      </c>
      <c r="J1" s="157" t="s">
        <v>522</v>
      </c>
      <c r="K1" s="157"/>
    </row>
    <row r="2" spans="1:1025" s="413" customFormat="1" ht="8.25" x14ac:dyDescent="0.15">
      <c r="A2" s="154"/>
      <c r="B2" s="158"/>
      <c r="C2" s="159"/>
      <c r="D2" s="160">
        <f>DCLP!D4</f>
        <v>45809</v>
      </c>
      <c r="E2" s="160">
        <f>DCLP!E4</f>
        <v>45778</v>
      </c>
      <c r="F2" s="160">
        <f>DCLP!F4</f>
        <v>45748</v>
      </c>
      <c r="G2" s="160">
        <f>DCLP!G4</f>
        <v>45717</v>
      </c>
      <c r="H2" s="160">
        <f>DCLP!H4</f>
        <v>45689</v>
      </c>
      <c r="I2" s="160">
        <f>DCLP!I4</f>
        <v>45658</v>
      </c>
      <c r="J2" s="160">
        <f>DCLP!J4</f>
        <v>45627</v>
      </c>
      <c r="K2" s="160">
        <f>DCLP!K4</f>
        <v>45597</v>
      </c>
      <c r="L2" s="160">
        <f>DCLP!L4</f>
        <v>45566</v>
      </c>
      <c r="M2" s="160">
        <f>DCLP!M4</f>
        <v>45536</v>
      </c>
      <c r="N2" s="160">
        <f>DCLP!N4</f>
        <v>45505</v>
      </c>
      <c r="O2" s="160">
        <f>DCLP!O4</f>
        <v>45474</v>
      </c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  <c r="FE2" s="154"/>
      <c r="FF2" s="154"/>
      <c r="FG2" s="154"/>
      <c r="FH2" s="154"/>
      <c r="FI2" s="154"/>
      <c r="FJ2" s="154"/>
      <c r="FK2" s="154"/>
      <c r="FL2" s="154"/>
      <c r="FM2" s="154"/>
      <c r="FN2" s="154"/>
      <c r="FO2" s="154"/>
      <c r="FP2" s="154"/>
      <c r="FQ2" s="154"/>
      <c r="FR2" s="154"/>
      <c r="FS2" s="154"/>
      <c r="FT2" s="154"/>
      <c r="FU2" s="154"/>
      <c r="FV2" s="154"/>
      <c r="FW2" s="154"/>
      <c r="FX2" s="154"/>
      <c r="FY2" s="154"/>
      <c r="FZ2" s="154"/>
      <c r="GA2" s="154"/>
      <c r="GB2" s="154"/>
      <c r="GC2" s="154"/>
      <c r="GD2" s="154"/>
      <c r="GE2" s="154"/>
      <c r="GF2" s="154"/>
      <c r="GG2" s="154"/>
      <c r="GH2" s="154"/>
      <c r="GI2" s="154"/>
      <c r="GJ2" s="154"/>
      <c r="GK2" s="154"/>
      <c r="GL2" s="154"/>
      <c r="GM2" s="154"/>
      <c r="GN2" s="154"/>
      <c r="GO2" s="154"/>
      <c r="GP2" s="154"/>
      <c r="GQ2" s="154"/>
      <c r="GR2" s="154"/>
      <c r="GS2" s="154"/>
      <c r="GT2" s="154"/>
      <c r="GU2" s="154"/>
      <c r="GV2" s="154"/>
      <c r="GW2" s="154"/>
      <c r="GX2" s="154"/>
      <c r="GY2" s="154"/>
      <c r="GZ2" s="154"/>
      <c r="HA2" s="154"/>
      <c r="HB2" s="154"/>
      <c r="HC2" s="154"/>
      <c r="HD2" s="154"/>
      <c r="HE2" s="154"/>
      <c r="HF2" s="154"/>
      <c r="HG2" s="154"/>
      <c r="HH2" s="154"/>
      <c r="HI2" s="154"/>
      <c r="HJ2" s="154"/>
      <c r="HK2" s="154"/>
      <c r="HL2" s="154"/>
      <c r="HM2" s="154"/>
      <c r="HN2" s="154"/>
      <c r="HO2" s="154"/>
      <c r="HP2" s="154"/>
      <c r="HQ2" s="154"/>
      <c r="HR2" s="154"/>
      <c r="HS2" s="154"/>
      <c r="HT2" s="154"/>
      <c r="HU2" s="154"/>
      <c r="HV2" s="154"/>
      <c r="HW2" s="154"/>
      <c r="HX2" s="154"/>
      <c r="HY2" s="154"/>
      <c r="HZ2" s="154"/>
      <c r="IA2" s="154"/>
      <c r="IB2" s="154"/>
      <c r="IC2" s="154"/>
      <c r="ID2" s="154"/>
      <c r="IE2" s="154"/>
      <c r="IF2" s="154"/>
      <c r="IG2" s="154"/>
      <c r="IH2" s="154"/>
      <c r="II2" s="154"/>
      <c r="IJ2" s="154"/>
      <c r="IK2" s="154"/>
      <c r="IL2" s="154"/>
      <c r="IM2" s="154"/>
      <c r="IN2" s="154"/>
      <c r="IO2" s="154"/>
      <c r="IP2" s="154"/>
      <c r="IQ2" s="154"/>
      <c r="IR2" s="154"/>
      <c r="IS2" s="154"/>
      <c r="IT2" s="154"/>
      <c r="IU2" s="154"/>
      <c r="IV2" s="154"/>
      <c r="IW2" s="154"/>
      <c r="IX2" s="154"/>
      <c r="IY2" s="154"/>
      <c r="IZ2" s="154"/>
      <c r="JA2" s="154"/>
      <c r="JB2" s="154"/>
      <c r="JC2" s="154"/>
      <c r="JD2" s="154"/>
      <c r="JE2" s="154"/>
      <c r="JF2" s="154"/>
      <c r="JG2" s="154"/>
      <c r="JH2" s="154"/>
      <c r="JI2" s="154"/>
      <c r="JJ2" s="154"/>
      <c r="JK2" s="154"/>
      <c r="JL2" s="154"/>
      <c r="JM2" s="154"/>
      <c r="JN2" s="154"/>
      <c r="JO2" s="154"/>
      <c r="JP2" s="154"/>
      <c r="JQ2" s="154"/>
      <c r="JR2" s="154"/>
      <c r="JS2" s="154"/>
      <c r="JT2" s="154"/>
      <c r="JU2" s="154"/>
      <c r="JV2" s="154"/>
      <c r="JW2" s="154"/>
      <c r="JX2" s="154"/>
      <c r="JY2" s="154"/>
      <c r="JZ2" s="154"/>
      <c r="KA2" s="154"/>
      <c r="KB2" s="154"/>
      <c r="KC2" s="154"/>
      <c r="KD2" s="154"/>
      <c r="KE2" s="154"/>
      <c r="KF2" s="154"/>
      <c r="KG2" s="154"/>
      <c r="KH2" s="154"/>
      <c r="KI2" s="154"/>
      <c r="KJ2" s="154"/>
      <c r="KK2" s="154"/>
      <c r="KL2" s="154"/>
      <c r="KM2" s="154"/>
      <c r="KN2" s="154"/>
      <c r="KO2" s="154"/>
      <c r="KP2" s="154"/>
      <c r="KQ2" s="154"/>
      <c r="KR2" s="154"/>
      <c r="KS2" s="154"/>
      <c r="KT2" s="154"/>
      <c r="KU2" s="154"/>
      <c r="KV2" s="154"/>
      <c r="KW2" s="154"/>
      <c r="KX2" s="154"/>
      <c r="KY2" s="154"/>
      <c r="KZ2" s="154"/>
      <c r="LA2" s="154"/>
      <c r="LB2" s="154"/>
      <c r="LC2" s="154"/>
      <c r="LD2" s="154"/>
      <c r="LE2" s="154"/>
      <c r="LF2" s="154"/>
      <c r="LG2" s="154"/>
      <c r="LH2" s="154"/>
      <c r="LI2" s="154"/>
      <c r="LJ2" s="154"/>
      <c r="LK2" s="154"/>
      <c r="LL2" s="154"/>
      <c r="LM2" s="154"/>
      <c r="LN2" s="154"/>
      <c r="LO2" s="154"/>
      <c r="LP2" s="154"/>
      <c r="LQ2" s="154"/>
      <c r="LR2" s="154"/>
      <c r="LS2" s="154"/>
      <c r="LT2" s="154"/>
      <c r="LU2" s="154"/>
      <c r="LV2" s="154"/>
      <c r="LW2" s="154"/>
      <c r="LX2" s="154"/>
      <c r="LY2" s="154"/>
      <c r="LZ2" s="154"/>
      <c r="MA2" s="154"/>
      <c r="MB2" s="154"/>
      <c r="MC2" s="154"/>
      <c r="MD2" s="154"/>
      <c r="ME2" s="154"/>
      <c r="MF2" s="154"/>
      <c r="MG2" s="154"/>
      <c r="MH2" s="154"/>
      <c r="MI2" s="154"/>
      <c r="MJ2" s="154"/>
      <c r="MK2" s="154"/>
      <c r="ML2" s="154"/>
      <c r="MM2" s="154"/>
      <c r="MN2" s="154"/>
      <c r="MO2" s="154"/>
      <c r="MP2" s="154"/>
      <c r="MQ2" s="154"/>
      <c r="MR2" s="154"/>
      <c r="MS2" s="154"/>
      <c r="MT2" s="154"/>
      <c r="MU2" s="154"/>
      <c r="MV2" s="154"/>
      <c r="MW2" s="154"/>
      <c r="MX2" s="154"/>
      <c r="MY2" s="154"/>
      <c r="MZ2" s="154"/>
      <c r="NA2" s="154"/>
      <c r="NB2" s="154"/>
      <c r="NC2" s="154"/>
      <c r="ND2" s="154"/>
      <c r="NE2" s="154"/>
      <c r="NF2" s="154"/>
      <c r="NG2" s="154"/>
      <c r="NH2" s="154"/>
      <c r="NI2" s="154"/>
      <c r="NJ2" s="154"/>
      <c r="NK2" s="154"/>
      <c r="NL2" s="154"/>
      <c r="NM2" s="154"/>
      <c r="NN2" s="154"/>
      <c r="NO2" s="154"/>
      <c r="NP2" s="154"/>
      <c r="NQ2" s="154"/>
      <c r="NR2" s="154"/>
      <c r="NS2" s="154"/>
      <c r="NT2" s="154"/>
      <c r="NU2" s="154"/>
      <c r="NV2" s="154"/>
      <c r="NW2" s="154"/>
      <c r="NX2" s="154"/>
      <c r="NY2" s="154"/>
      <c r="NZ2" s="154"/>
      <c r="OA2" s="154"/>
      <c r="OB2" s="154"/>
      <c r="OC2" s="154"/>
      <c r="OD2" s="154"/>
      <c r="OE2" s="154"/>
      <c r="OF2" s="154"/>
      <c r="OG2" s="154"/>
      <c r="OH2" s="154"/>
      <c r="OI2" s="154"/>
      <c r="OJ2" s="154"/>
      <c r="OK2" s="154"/>
      <c r="OL2" s="154"/>
      <c r="OM2" s="154"/>
      <c r="ON2" s="154"/>
      <c r="OO2" s="154"/>
      <c r="OP2" s="154"/>
      <c r="OQ2" s="154"/>
      <c r="OR2" s="154"/>
      <c r="OS2" s="154"/>
      <c r="OT2" s="154"/>
      <c r="OU2" s="154"/>
      <c r="OV2" s="154"/>
      <c r="OW2" s="154"/>
      <c r="OX2" s="154"/>
      <c r="OY2" s="154"/>
      <c r="OZ2" s="154"/>
      <c r="PA2" s="154"/>
      <c r="PB2" s="154"/>
      <c r="PC2" s="154"/>
      <c r="PD2" s="154"/>
      <c r="PE2" s="154"/>
      <c r="PF2" s="154"/>
      <c r="PG2" s="154"/>
      <c r="PH2" s="154"/>
      <c r="PI2" s="154"/>
      <c r="PJ2" s="154"/>
      <c r="PK2" s="154"/>
      <c r="PL2" s="154"/>
      <c r="PM2" s="154"/>
      <c r="PN2" s="154"/>
      <c r="PO2" s="154"/>
      <c r="PP2" s="154"/>
      <c r="PQ2" s="154"/>
      <c r="PR2" s="154"/>
      <c r="PS2" s="154"/>
      <c r="PT2" s="154"/>
      <c r="PU2" s="154"/>
      <c r="PV2" s="154"/>
      <c r="PW2" s="154"/>
      <c r="PX2" s="154"/>
      <c r="PY2" s="154"/>
      <c r="PZ2" s="154"/>
      <c r="QA2" s="154"/>
      <c r="QB2" s="154"/>
      <c r="QC2" s="154"/>
      <c r="QD2" s="154"/>
      <c r="QE2" s="154"/>
      <c r="QF2" s="154"/>
      <c r="QG2" s="154"/>
      <c r="QH2" s="154"/>
      <c r="QI2" s="154"/>
      <c r="QJ2" s="154"/>
      <c r="QK2" s="154"/>
      <c r="QL2" s="154"/>
      <c r="QM2" s="154"/>
      <c r="QN2" s="154"/>
      <c r="QO2" s="154"/>
      <c r="QP2" s="154"/>
      <c r="QQ2" s="154"/>
      <c r="QR2" s="154"/>
      <c r="QS2" s="154"/>
      <c r="QT2" s="154"/>
      <c r="QU2" s="154"/>
      <c r="QV2" s="154"/>
      <c r="QW2" s="154"/>
      <c r="QX2" s="154"/>
      <c r="QY2" s="154"/>
      <c r="QZ2" s="154"/>
      <c r="RA2" s="154"/>
      <c r="RB2" s="154"/>
      <c r="RC2" s="154"/>
      <c r="RD2" s="154"/>
      <c r="RE2" s="154"/>
      <c r="RF2" s="154"/>
      <c r="RG2" s="154"/>
      <c r="RH2" s="154"/>
      <c r="RI2" s="154"/>
      <c r="RJ2" s="154"/>
      <c r="RK2" s="154"/>
      <c r="RL2" s="154"/>
      <c r="RM2" s="154"/>
      <c r="RN2" s="154"/>
      <c r="RO2" s="154"/>
      <c r="RP2" s="154"/>
      <c r="RQ2" s="154"/>
      <c r="RR2" s="154"/>
      <c r="RS2" s="154"/>
      <c r="RT2" s="154"/>
      <c r="RU2" s="154"/>
      <c r="RV2" s="154"/>
      <c r="RW2" s="154"/>
      <c r="RX2" s="154"/>
      <c r="RY2" s="154"/>
      <c r="RZ2" s="154"/>
      <c r="SA2" s="154"/>
      <c r="SB2" s="154"/>
      <c r="SC2" s="154"/>
      <c r="SD2" s="154"/>
      <c r="SE2" s="154"/>
      <c r="SF2" s="154"/>
      <c r="SG2" s="154"/>
      <c r="SH2" s="154"/>
      <c r="SI2" s="154"/>
      <c r="SJ2" s="154"/>
      <c r="SK2" s="154"/>
      <c r="SL2" s="154"/>
      <c r="SM2" s="154"/>
      <c r="SN2" s="154"/>
      <c r="SO2" s="154"/>
      <c r="SP2" s="154"/>
      <c r="SQ2" s="154"/>
      <c r="SR2" s="154"/>
      <c r="SS2" s="154"/>
      <c r="ST2" s="154"/>
      <c r="SU2" s="154"/>
      <c r="SV2" s="154"/>
      <c r="SW2" s="154"/>
      <c r="SX2" s="154"/>
      <c r="SY2" s="154"/>
      <c r="SZ2" s="154"/>
      <c r="TA2" s="154"/>
      <c r="TB2" s="154"/>
      <c r="TC2" s="154"/>
      <c r="TD2" s="154"/>
      <c r="TE2" s="154"/>
      <c r="TF2" s="154"/>
      <c r="TG2" s="154"/>
      <c r="TH2" s="154"/>
      <c r="TI2" s="154"/>
      <c r="TJ2" s="154"/>
      <c r="TK2" s="154"/>
      <c r="TL2" s="154"/>
      <c r="TM2" s="154"/>
      <c r="TN2" s="154"/>
      <c r="TO2" s="154"/>
      <c r="TP2" s="154"/>
      <c r="TQ2" s="154"/>
      <c r="TR2" s="154"/>
      <c r="TS2" s="154"/>
      <c r="TT2" s="154"/>
      <c r="TU2" s="154"/>
      <c r="TV2" s="154"/>
      <c r="TW2" s="154"/>
      <c r="TX2" s="154"/>
      <c r="TY2" s="154"/>
      <c r="TZ2" s="154"/>
      <c r="UA2" s="154"/>
      <c r="UB2" s="154"/>
      <c r="UC2" s="154"/>
      <c r="UD2" s="154"/>
      <c r="UE2" s="154"/>
      <c r="UF2" s="154"/>
      <c r="UG2" s="154"/>
      <c r="UH2" s="154"/>
      <c r="UI2" s="154"/>
      <c r="UJ2" s="154"/>
      <c r="UK2" s="154"/>
      <c r="UL2" s="154"/>
      <c r="UM2" s="154"/>
      <c r="UN2" s="154"/>
      <c r="UO2" s="154"/>
      <c r="UP2" s="154"/>
      <c r="UQ2" s="154"/>
      <c r="UR2" s="154"/>
      <c r="US2" s="154"/>
      <c r="UT2" s="154"/>
      <c r="UU2" s="154"/>
      <c r="UV2" s="154"/>
      <c r="UW2" s="154"/>
      <c r="UX2" s="154"/>
      <c r="UY2" s="154"/>
      <c r="UZ2" s="154"/>
      <c r="VA2" s="154"/>
      <c r="VB2" s="154"/>
      <c r="VC2" s="154"/>
      <c r="VD2" s="154"/>
      <c r="VE2" s="154"/>
      <c r="VF2" s="154"/>
      <c r="VG2" s="154"/>
      <c r="VH2" s="154"/>
      <c r="VI2" s="154"/>
      <c r="VJ2" s="154"/>
      <c r="VK2" s="154"/>
      <c r="VL2" s="154"/>
      <c r="VM2" s="154"/>
      <c r="VN2" s="154"/>
      <c r="VO2" s="154"/>
      <c r="VP2" s="154"/>
      <c r="VQ2" s="154"/>
      <c r="VR2" s="154"/>
      <c r="VS2" s="154"/>
      <c r="VT2" s="154"/>
      <c r="VU2" s="154"/>
      <c r="VV2" s="154"/>
      <c r="VW2" s="154"/>
      <c r="VX2" s="154"/>
      <c r="VY2" s="154"/>
      <c r="VZ2" s="154"/>
      <c r="WA2" s="154"/>
      <c r="WB2" s="154"/>
      <c r="WC2" s="154"/>
      <c r="WD2" s="154"/>
      <c r="WE2" s="154"/>
      <c r="WF2" s="154"/>
      <c r="WG2" s="154"/>
      <c r="WH2" s="154"/>
      <c r="WI2" s="154"/>
      <c r="WJ2" s="154"/>
      <c r="WK2" s="154"/>
      <c r="WL2" s="154"/>
      <c r="WM2" s="154"/>
      <c r="WN2" s="154"/>
      <c r="WO2" s="154"/>
      <c r="WP2" s="154"/>
      <c r="WQ2" s="154"/>
      <c r="WR2" s="154"/>
      <c r="WS2" s="154"/>
      <c r="WT2" s="154"/>
      <c r="WU2" s="154"/>
      <c r="WV2" s="154"/>
      <c r="WW2" s="154"/>
      <c r="WX2" s="154"/>
      <c r="WY2" s="154"/>
      <c r="WZ2" s="154"/>
      <c r="XA2" s="154"/>
      <c r="XB2" s="154"/>
      <c r="XC2" s="154"/>
      <c r="XD2" s="154"/>
      <c r="XE2" s="154"/>
      <c r="XF2" s="154"/>
      <c r="XG2" s="154"/>
      <c r="XH2" s="154"/>
      <c r="XI2" s="154"/>
      <c r="XJ2" s="154"/>
      <c r="XK2" s="154"/>
      <c r="XL2" s="154"/>
      <c r="XM2" s="154"/>
      <c r="XN2" s="154"/>
      <c r="XO2" s="154"/>
      <c r="XP2" s="154"/>
      <c r="XQ2" s="154"/>
      <c r="XR2" s="154"/>
      <c r="XS2" s="154"/>
      <c r="XT2" s="154"/>
      <c r="XU2" s="154"/>
      <c r="XV2" s="154"/>
      <c r="XW2" s="154"/>
      <c r="XX2" s="154"/>
      <c r="XY2" s="154"/>
      <c r="XZ2" s="154"/>
      <c r="YA2" s="154"/>
      <c r="YB2" s="154"/>
      <c r="YC2" s="154"/>
      <c r="YD2" s="154"/>
      <c r="YE2" s="154"/>
      <c r="YF2" s="154"/>
      <c r="YG2" s="154"/>
      <c r="YH2" s="154"/>
      <c r="YI2" s="154"/>
      <c r="YJ2" s="154"/>
      <c r="YK2" s="154"/>
      <c r="YL2" s="154"/>
      <c r="YM2" s="154"/>
      <c r="YN2" s="154"/>
      <c r="YO2" s="154"/>
      <c r="YP2" s="154"/>
      <c r="YQ2" s="154"/>
      <c r="YR2" s="154"/>
      <c r="YS2" s="154"/>
      <c r="YT2" s="154"/>
      <c r="YU2" s="154"/>
      <c r="YV2" s="154"/>
      <c r="YW2" s="154"/>
      <c r="YX2" s="154"/>
      <c r="YY2" s="154"/>
      <c r="YZ2" s="154"/>
      <c r="ZA2" s="154"/>
      <c r="ZB2" s="154"/>
      <c r="ZC2" s="154"/>
      <c r="ZD2" s="154"/>
      <c r="ZE2" s="154"/>
      <c r="ZF2" s="154"/>
      <c r="ZG2" s="154"/>
      <c r="ZH2" s="154"/>
      <c r="ZI2" s="154"/>
      <c r="ZJ2" s="154"/>
      <c r="ZK2" s="154"/>
      <c r="ZL2" s="154"/>
      <c r="ZM2" s="154"/>
      <c r="ZN2" s="154"/>
      <c r="ZO2" s="154"/>
      <c r="ZP2" s="154"/>
      <c r="ZQ2" s="154"/>
      <c r="ZR2" s="154"/>
      <c r="ZS2" s="154"/>
      <c r="ZT2" s="154"/>
      <c r="ZU2" s="154"/>
      <c r="ZV2" s="154"/>
      <c r="ZW2" s="154"/>
      <c r="ZX2" s="154"/>
      <c r="ZY2" s="154"/>
      <c r="ZZ2" s="154"/>
      <c r="AAA2" s="154"/>
      <c r="AAB2" s="154"/>
      <c r="AAC2" s="154"/>
      <c r="AAD2" s="154"/>
      <c r="AAE2" s="154"/>
      <c r="AAF2" s="154"/>
      <c r="AAG2" s="154"/>
      <c r="AAH2" s="154"/>
      <c r="AAI2" s="154"/>
      <c r="AAJ2" s="154"/>
      <c r="AAK2" s="154"/>
      <c r="AAL2" s="154"/>
      <c r="AAM2" s="154"/>
      <c r="AAN2" s="154"/>
      <c r="AAO2" s="154"/>
      <c r="AAP2" s="154"/>
      <c r="AAQ2" s="154"/>
      <c r="AAR2" s="154"/>
      <c r="AAS2" s="154"/>
      <c r="AAT2" s="154"/>
      <c r="AAU2" s="154"/>
      <c r="AAV2" s="154"/>
      <c r="AAW2" s="154"/>
      <c r="AAX2" s="154"/>
      <c r="AAY2" s="154"/>
      <c r="AAZ2" s="154"/>
      <c r="ABA2" s="154"/>
      <c r="ABB2" s="154"/>
      <c r="ABC2" s="154"/>
      <c r="ABD2" s="154"/>
      <c r="ABE2" s="154"/>
      <c r="ABF2" s="154"/>
      <c r="ABG2" s="154"/>
      <c r="ABH2" s="154"/>
      <c r="ABI2" s="154"/>
      <c r="ABJ2" s="154"/>
      <c r="ABK2" s="154"/>
      <c r="ABL2" s="154"/>
      <c r="ABM2" s="154"/>
      <c r="ABN2" s="154"/>
      <c r="ABO2" s="154"/>
      <c r="ABP2" s="154"/>
      <c r="ABQ2" s="154"/>
      <c r="ABR2" s="154"/>
      <c r="ABS2" s="154"/>
      <c r="ABT2" s="154"/>
      <c r="ABU2" s="154"/>
      <c r="ABV2" s="154"/>
      <c r="ABW2" s="154"/>
      <c r="ABX2" s="154"/>
      <c r="ABY2" s="154"/>
      <c r="ABZ2" s="154"/>
      <c r="ACA2" s="154"/>
      <c r="ACB2" s="154"/>
      <c r="ACC2" s="154"/>
      <c r="ACD2" s="154"/>
      <c r="ACE2" s="154"/>
      <c r="ACF2" s="154"/>
      <c r="ACG2" s="154"/>
      <c r="ACH2" s="154"/>
      <c r="ACI2" s="154"/>
      <c r="ACJ2" s="154"/>
      <c r="ACK2" s="154"/>
      <c r="ACL2" s="154"/>
      <c r="ACM2" s="154"/>
      <c r="ACN2" s="154"/>
      <c r="ACO2" s="154"/>
      <c r="ACP2" s="154"/>
      <c r="ACQ2" s="154"/>
      <c r="ACR2" s="154"/>
      <c r="ACS2" s="154"/>
      <c r="ACT2" s="154"/>
      <c r="ACU2" s="154"/>
      <c r="ACV2" s="154"/>
      <c r="ACW2" s="154"/>
      <c r="ACX2" s="154"/>
      <c r="ACY2" s="154"/>
      <c r="ACZ2" s="154"/>
      <c r="ADA2" s="154"/>
      <c r="ADB2" s="154"/>
      <c r="ADC2" s="154"/>
      <c r="ADD2" s="154"/>
      <c r="ADE2" s="154"/>
      <c r="ADF2" s="154"/>
      <c r="ADG2" s="154"/>
      <c r="ADH2" s="154"/>
      <c r="ADI2" s="154"/>
      <c r="ADJ2" s="154"/>
      <c r="ADK2" s="154"/>
      <c r="ADL2" s="154"/>
      <c r="ADM2" s="154"/>
      <c r="ADN2" s="154"/>
      <c r="ADO2" s="154"/>
      <c r="ADP2" s="154"/>
      <c r="ADQ2" s="154"/>
      <c r="ADR2" s="154"/>
      <c r="ADS2" s="154"/>
      <c r="ADT2" s="154"/>
      <c r="ADU2" s="154"/>
      <c r="ADV2" s="154"/>
      <c r="ADW2" s="154"/>
      <c r="ADX2" s="154"/>
      <c r="ADY2" s="154"/>
      <c r="ADZ2" s="154"/>
      <c r="AEA2" s="154"/>
      <c r="AEB2" s="154"/>
      <c r="AEC2" s="154"/>
      <c r="AED2" s="154"/>
      <c r="AEE2" s="154"/>
      <c r="AEF2" s="154"/>
      <c r="AEG2" s="154"/>
      <c r="AEH2" s="154"/>
      <c r="AEI2" s="154"/>
      <c r="AEJ2" s="154"/>
      <c r="AEK2" s="154"/>
      <c r="AEL2" s="154"/>
      <c r="AEM2" s="154"/>
      <c r="AEN2" s="154"/>
      <c r="AEO2" s="154"/>
      <c r="AEP2" s="154"/>
      <c r="AEQ2" s="154"/>
      <c r="AER2" s="154"/>
      <c r="AES2" s="154"/>
      <c r="AET2" s="154"/>
      <c r="AEU2" s="154"/>
      <c r="AEV2" s="154"/>
      <c r="AEW2" s="154"/>
      <c r="AEX2" s="154"/>
      <c r="AEY2" s="154"/>
      <c r="AEZ2" s="154"/>
      <c r="AFA2" s="154"/>
      <c r="AFB2" s="154"/>
      <c r="AFC2" s="154"/>
      <c r="AFD2" s="154"/>
      <c r="AFE2" s="154"/>
      <c r="AFF2" s="154"/>
      <c r="AFG2" s="154"/>
      <c r="AFH2" s="154"/>
      <c r="AFI2" s="154"/>
      <c r="AFJ2" s="154"/>
      <c r="AFK2" s="154"/>
      <c r="AFL2" s="154"/>
      <c r="AFM2" s="154"/>
      <c r="AFN2" s="154"/>
      <c r="AFO2" s="154"/>
      <c r="AFP2" s="154"/>
      <c r="AFQ2" s="154"/>
      <c r="AFR2" s="154"/>
      <c r="AFS2" s="154"/>
      <c r="AFT2" s="154"/>
      <c r="AFU2" s="154"/>
      <c r="AFV2" s="154"/>
      <c r="AFW2" s="154"/>
      <c r="AFX2" s="154"/>
      <c r="AFY2" s="154"/>
      <c r="AFZ2" s="154"/>
      <c r="AGA2" s="154"/>
      <c r="AGB2" s="154"/>
      <c r="AGC2" s="154"/>
      <c r="AGD2" s="154"/>
      <c r="AGE2" s="154"/>
      <c r="AGF2" s="154"/>
      <c r="AGG2" s="154"/>
      <c r="AGH2" s="154"/>
      <c r="AGI2" s="154"/>
      <c r="AGJ2" s="154"/>
      <c r="AGK2" s="154"/>
      <c r="AGL2" s="154"/>
      <c r="AGM2" s="154"/>
      <c r="AGN2" s="154"/>
      <c r="AGO2" s="154"/>
      <c r="AGP2" s="154"/>
      <c r="AGQ2" s="154"/>
      <c r="AGR2" s="154"/>
      <c r="AGS2" s="154"/>
      <c r="AGT2" s="154"/>
      <c r="AGU2" s="154"/>
      <c r="AGV2" s="154"/>
      <c r="AGW2" s="154"/>
      <c r="AGX2" s="154"/>
      <c r="AGY2" s="154"/>
      <c r="AGZ2" s="154"/>
      <c r="AHA2" s="154"/>
      <c r="AHB2" s="154"/>
      <c r="AHC2" s="154"/>
      <c r="AHD2" s="154"/>
      <c r="AHE2" s="154"/>
      <c r="AHF2" s="154"/>
      <c r="AHG2" s="154"/>
      <c r="AHH2" s="154"/>
      <c r="AHI2" s="154"/>
      <c r="AHJ2" s="154"/>
      <c r="AHK2" s="154"/>
      <c r="AHL2" s="154"/>
      <c r="AHM2" s="154"/>
      <c r="AHN2" s="154"/>
      <c r="AHO2" s="154"/>
      <c r="AHP2" s="154"/>
      <c r="AHQ2" s="154"/>
      <c r="AHR2" s="154"/>
      <c r="AHS2" s="154"/>
      <c r="AHT2" s="154"/>
      <c r="AHU2" s="154"/>
      <c r="AHV2" s="154"/>
      <c r="AHW2" s="154"/>
      <c r="AHX2" s="154"/>
      <c r="AHY2" s="154"/>
      <c r="AHZ2" s="154"/>
      <c r="AIA2" s="154"/>
      <c r="AIB2" s="154"/>
      <c r="AIC2" s="154"/>
      <c r="AID2" s="154"/>
      <c r="AIE2" s="154"/>
      <c r="AIF2" s="154"/>
      <c r="AIG2" s="154"/>
      <c r="AIH2" s="154"/>
      <c r="AII2" s="154"/>
      <c r="AIJ2" s="154"/>
      <c r="AIK2" s="154"/>
      <c r="AIL2" s="154"/>
      <c r="AIM2" s="154"/>
      <c r="AIN2" s="154"/>
      <c r="AIO2" s="154"/>
      <c r="AIP2" s="154"/>
      <c r="AIQ2" s="154"/>
      <c r="AIR2" s="154"/>
      <c r="AIS2" s="154"/>
      <c r="AIT2" s="154"/>
      <c r="AIU2" s="154"/>
      <c r="AIV2" s="154"/>
      <c r="AIW2" s="154"/>
      <c r="AIX2" s="154"/>
      <c r="AIY2" s="154"/>
      <c r="AIZ2" s="154"/>
      <c r="AJA2" s="154"/>
      <c r="AJB2" s="154"/>
      <c r="AJC2" s="154"/>
      <c r="AJD2" s="154"/>
      <c r="AJE2" s="154"/>
      <c r="AJF2" s="154"/>
      <c r="AJG2" s="154"/>
      <c r="AJH2" s="154"/>
      <c r="AJI2" s="154"/>
      <c r="AJJ2" s="154"/>
      <c r="AJK2" s="154"/>
      <c r="AJL2" s="154"/>
      <c r="AJM2" s="154"/>
      <c r="AJN2" s="154"/>
      <c r="AJO2" s="154"/>
      <c r="AJP2" s="154"/>
      <c r="AJQ2" s="154"/>
      <c r="AJR2" s="154"/>
      <c r="AJS2" s="154"/>
      <c r="AJT2" s="154"/>
      <c r="AJU2" s="154"/>
      <c r="AJV2" s="154"/>
      <c r="AJW2" s="154"/>
      <c r="AJX2" s="154"/>
      <c r="AJY2" s="154"/>
      <c r="AJZ2" s="154"/>
      <c r="AKA2" s="154"/>
      <c r="AKB2" s="154"/>
      <c r="AKC2" s="154"/>
      <c r="AKD2" s="154"/>
      <c r="AKE2" s="154"/>
      <c r="AKF2" s="154"/>
      <c r="AKG2" s="154"/>
      <c r="AKH2" s="154"/>
      <c r="AKI2" s="154"/>
      <c r="AKJ2" s="154"/>
      <c r="AKK2" s="154"/>
      <c r="AKL2" s="154"/>
      <c r="AKM2" s="154"/>
      <c r="AKN2" s="154"/>
      <c r="AKO2" s="154"/>
      <c r="AKP2" s="154"/>
      <c r="AKQ2" s="154"/>
      <c r="AKR2" s="154"/>
      <c r="AKS2" s="154"/>
      <c r="AKT2" s="154"/>
      <c r="AKU2" s="154"/>
      <c r="AKV2" s="154"/>
      <c r="AKW2" s="154"/>
      <c r="AKX2" s="154"/>
      <c r="AKY2" s="154"/>
      <c r="AKZ2" s="154"/>
      <c r="ALA2" s="154"/>
      <c r="ALB2" s="154"/>
      <c r="ALC2" s="154"/>
      <c r="ALD2" s="154"/>
      <c r="ALE2" s="154"/>
      <c r="ALF2" s="154"/>
      <c r="ALG2" s="154"/>
      <c r="ALH2" s="154"/>
      <c r="ALI2" s="154"/>
      <c r="ALJ2" s="154"/>
      <c r="ALK2" s="154"/>
      <c r="ALL2" s="154"/>
      <c r="ALM2" s="154"/>
      <c r="ALN2" s="154"/>
      <c r="ALO2" s="154"/>
      <c r="ALP2" s="154"/>
      <c r="ALQ2" s="154"/>
      <c r="ALR2" s="154"/>
      <c r="ALS2" s="154"/>
      <c r="ALT2" s="154"/>
      <c r="ALU2" s="154"/>
      <c r="ALV2" s="154"/>
      <c r="ALW2" s="154"/>
      <c r="ALX2" s="154"/>
      <c r="ALY2" s="154"/>
      <c r="ALZ2" s="154"/>
      <c r="AMA2" s="154"/>
      <c r="AMB2" s="154"/>
      <c r="AMC2" s="154"/>
      <c r="AMD2" s="154"/>
      <c r="AME2" s="154"/>
      <c r="AMF2" s="154"/>
      <c r="AMG2" s="154"/>
      <c r="AMH2" s="154"/>
      <c r="AMI2" s="154"/>
      <c r="AMJ2" s="154"/>
      <c r="AMK2" s="154"/>
    </row>
    <row r="3" spans="1:1025" s="413" customFormat="1" ht="8.25" x14ac:dyDescent="0.15">
      <c r="A3" s="154"/>
      <c r="B3" s="161" t="s">
        <v>567</v>
      </c>
      <c r="C3" s="162"/>
      <c r="D3" s="163" t="s">
        <v>485</v>
      </c>
      <c r="E3" s="164" t="s">
        <v>486</v>
      </c>
      <c r="F3" s="163" t="s">
        <v>487</v>
      </c>
      <c r="G3" s="164" t="s">
        <v>528</v>
      </c>
      <c r="H3" s="163" t="s">
        <v>529</v>
      </c>
      <c r="I3" s="164" t="s">
        <v>530</v>
      </c>
      <c r="J3" s="163" t="s">
        <v>531</v>
      </c>
      <c r="K3" s="164" t="s">
        <v>532</v>
      </c>
      <c r="L3" s="163" t="s">
        <v>533</v>
      </c>
      <c r="M3" s="164" t="s">
        <v>534</v>
      </c>
      <c r="N3" s="163" t="s">
        <v>535</v>
      </c>
      <c r="O3" s="165" t="s">
        <v>536</v>
      </c>
      <c r="P3" s="154"/>
      <c r="Q3" s="166"/>
      <c r="R3" s="167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  <c r="FG3" s="154"/>
      <c r="FH3" s="154"/>
      <c r="FI3" s="154"/>
      <c r="FJ3" s="154"/>
      <c r="FK3" s="154"/>
      <c r="FL3" s="154"/>
      <c r="FM3" s="154"/>
      <c r="FN3" s="154"/>
      <c r="FO3" s="154"/>
      <c r="FP3" s="154"/>
      <c r="FQ3" s="154"/>
      <c r="FR3" s="154"/>
      <c r="FS3" s="154"/>
      <c r="FT3" s="154"/>
      <c r="FU3" s="154"/>
      <c r="FV3" s="154"/>
      <c r="FW3" s="154"/>
      <c r="FX3" s="154"/>
      <c r="FY3" s="154"/>
      <c r="FZ3" s="154"/>
      <c r="GA3" s="154"/>
      <c r="GB3" s="154"/>
      <c r="GC3" s="154"/>
      <c r="GD3" s="154"/>
      <c r="GE3" s="154"/>
      <c r="GF3" s="154"/>
      <c r="GG3" s="154"/>
      <c r="GH3" s="154"/>
      <c r="GI3" s="154"/>
      <c r="GJ3" s="154"/>
      <c r="GK3" s="154"/>
      <c r="GL3" s="154"/>
      <c r="GM3" s="154"/>
      <c r="GN3" s="154"/>
      <c r="GO3" s="154"/>
      <c r="GP3" s="154"/>
      <c r="GQ3" s="154"/>
      <c r="GR3" s="154"/>
      <c r="GS3" s="154"/>
      <c r="GT3" s="154"/>
      <c r="GU3" s="154"/>
      <c r="GV3" s="154"/>
      <c r="GW3" s="154"/>
      <c r="GX3" s="154"/>
      <c r="GY3" s="154"/>
      <c r="GZ3" s="154"/>
      <c r="HA3" s="154"/>
      <c r="HB3" s="154"/>
      <c r="HC3" s="154"/>
      <c r="HD3" s="154"/>
      <c r="HE3" s="154"/>
      <c r="HF3" s="154"/>
      <c r="HG3" s="154"/>
      <c r="HH3" s="154"/>
      <c r="HI3" s="154"/>
      <c r="HJ3" s="154"/>
      <c r="HK3" s="154"/>
      <c r="HL3" s="154"/>
      <c r="HM3" s="154"/>
      <c r="HN3" s="154"/>
      <c r="HO3" s="154"/>
      <c r="HP3" s="154"/>
      <c r="HQ3" s="154"/>
      <c r="HR3" s="154"/>
      <c r="HS3" s="154"/>
      <c r="HT3" s="154"/>
      <c r="HU3" s="154"/>
      <c r="HV3" s="154"/>
      <c r="HW3" s="154"/>
      <c r="HX3" s="154"/>
      <c r="HY3" s="154"/>
      <c r="HZ3" s="154"/>
      <c r="IA3" s="154"/>
      <c r="IB3" s="154"/>
      <c r="IC3" s="154"/>
      <c r="ID3" s="154"/>
      <c r="IE3" s="154"/>
      <c r="IF3" s="154"/>
      <c r="IG3" s="154"/>
      <c r="IH3" s="154"/>
      <c r="II3" s="154"/>
      <c r="IJ3" s="154"/>
      <c r="IK3" s="154"/>
      <c r="IL3" s="154"/>
      <c r="IM3" s="154"/>
      <c r="IN3" s="154"/>
      <c r="IO3" s="154"/>
      <c r="IP3" s="154"/>
      <c r="IQ3" s="154"/>
      <c r="IR3" s="154"/>
      <c r="IS3" s="154"/>
      <c r="IT3" s="154"/>
      <c r="IU3" s="154"/>
      <c r="IV3" s="154"/>
      <c r="IW3" s="154"/>
      <c r="IX3" s="154"/>
      <c r="IY3" s="154"/>
      <c r="IZ3" s="154"/>
      <c r="JA3" s="154"/>
      <c r="JB3" s="154"/>
      <c r="JC3" s="154"/>
      <c r="JD3" s="154"/>
      <c r="JE3" s="154"/>
      <c r="JF3" s="154"/>
      <c r="JG3" s="154"/>
      <c r="JH3" s="154"/>
      <c r="JI3" s="154"/>
      <c r="JJ3" s="154"/>
      <c r="JK3" s="154"/>
      <c r="JL3" s="154"/>
      <c r="JM3" s="154"/>
      <c r="JN3" s="154"/>
      <c r="JO3" s="154"/>
      <c r="JP3" s="154"/>
      <c r="JQ3" s="154"/>
      <c r="JR3" s="154"/>
      <c r="JS3" s="154"/>
      <c r="JT3" s="154"/>
      <c r="JU3" s="154"/>
      <c r="JV3" s="154"/>
      <c r="JW3" s="154"/>
      <c r="JX3" s="154"/>
      <c r="JY3" s="154"/>
      <c r="JZ3" s="154"/>
      <c r="KA3" s="154"/>
      <c r="KB3" s="154"/>
      <c r="KC3" s="154"/>
      <c r="KD3" s="154"/>
      <c r="KE3" s="154"/>
      <c r="KF3" s="154"/>
      <c r="KG3" s="154"/>
      <c r="KH3" s="154"/>
      <c r="KI3" s="154"/>
      <c r="KJ3" s="154"/>
      <c r="KK3" s="154"/>
      <c r="KL3" s="154"/>
      <c r="KM3" s="154"/>
      <c r="KN3" s="154"/>
      <c r="KO3" s="154"/>
      <c r="KP3" s="154"/>
      <c r="KQ3" s="154"/>
      <c r="KR3" s="154"/>
      <c r="KS3" s="154"/>
      <c r="KT3" s="154"/>
      <c r="KU3" s="154"/>
      <c r="KV3" s="154"/>
      <c r="KW3" s="154"/>
      <c r="KX3" s="154"/>
      <c r="KY3" s="154"/>
      <c r="KZ3" s="154"/>
      <c r="LA3" s="154"/>
      <c r="LB3" s="154"/>
      <c r="LC3" s="154"/>
      <c r="LD3" s="154"/>
      <c r="LE3" s="154"/>
      <c r="LF3" s="154"/>
      <c r="LG3" s="154"/>
      <c r="LH3" s="154"/>
      <c r="LI3" s="154"/>
      <c r="LJ3" s="154"/>
      <c r="LK3" s="154"/>
      <c r="LL3" s="154"/>
      <c r="LM3" s="154"/>
      <c r="LN3" s="154"/>
      <c r="LO3" s="154"/>
      <c r="LP3" s="154"/>
      <c r="LQ3" s="154"/>
      <c r="LR3" s="154"/>
      <c r="LS3" s="154"/>
      <c r="LT3" s="154"/>
      <c r="LU3" s="154"/>
      <c r="LV3" s="154"/>
      <c r="LW3" s="154"/>
      <c r="LX3" s="154"/>
      <c r="LY3" s="154"/>
      <c r="LZ3" s="154"/>
      <c r="MA3" s="154"/>
      <c r="MB3" s="154"/>
      <c r="MC3" s="154"/>
      <c r="MD3" s="154"/>
      <c r="ME3" s="154"/>
      <c r="MF3" s="154"/>
      <c r="MG3" s="154"/>
      <c r="MH3" s="154"/>
      <c r="MI3" s="154"/>
      <c r="MJ3" s="154"/>
      <c r="MK3" s="154"/>
      <c r="ML3" s="154"/>
      <c r="MM3" s="154"/>
      <c r="MN3" s="154"/>
      <c r="MO3" s="154"/>
      <c r="MP3" s="154"/>
      <c r="MQ3" s="154"/>
      <c r="MR3" s="154"/>
      <c r="MS3" s="154"/>
      <c r="MT3" s="154"/>
      <c r="MU3" s="154"/>
      <c r="MV3" s="154"/>
      <c r="MW3" s="154"/>
      <c r="MX3" s="154"/>
      <c r="MY3" s="154"/>
      <c r="MZ3" s="154"/>
      <c r="NA3" s="154"/>
      <c r="NB3" s="154"/>
      <c r="NC3" s="154"/>
      <c r="ND3" s="154"/>
      <c r="NE3" s="154"/>
      <c r="NF3" s="154"/>
      <c r="NG3" s="154"/>
      <c r="NH3" s="154"/>
      <c r="NI3" s="154"/>
      <c r="NJ3" s="154"/>
      <c r="NK3" s="154"/>
      <c r="NL3" s="154"/>
      <c r="NM3" s="154"/>
      <c r="NN3" s="154"/>
      <c r="NO3" s="154"/>
      <c r="NP3" s="154"/>
      <c r="NQ3" s="154"/>
      <c r="NR3" s="154"/>
      <c r="NS3" s="154"/>
      <c r="NT3" s="154"/>
      <c r="NU3" s="154"/>
      <c r="NV3" s="154"/>
      <c r="NW3" s="154"/>
      <c r="NX3" s="154"/>
      <c r="NY3" s="154"/>
      <c r="NZ3" s="154"/>
      <c r="OA3" s="154"/>
      <c r="OB3" s="154"/>
      <c r="OC3" s="154"/>
      <c r="OD3" s="154"/>
      <c r="OE3" s="154"/>
      <c r="OF3" s="154"/>
      <c r="OG3" s="154"/>
      <c r="OH3" s="154"/>
      <c r="OI3" s="154"/>
      <c r="OJ3" s="154"/>
      <c r="OK3" s="154"/>
      <c r="OL3" s="154"/>
      <c r="OM3" s="154"/>
      <c r="ON3" s="154"/>
      <c r="OO3" s="154"/>
      <c r="OP3" s="154"/>
      <c r="OQ3" s="154"/>
      <c r="OR3" s="154"/>
      <c r="OS3" s="154"/>
      <c r="OT3" s="154"/>
      <c r="OU3" s="154"/>
      <c r="OV3" s="154"/>
      <c r="OW3" s="154"/>
      <c r="OX3" s="154"/>
      <c r="OY3" s="154"/>
      <c r="OZ3" s="154"/>
      <c r="PA3" s="154"/>
      <c r="PB3" s="154"/>
      <c r="PC3" s="154"/>
      <c r="PD3" s="154"/>
      <c r="PE3" s="154"/>
      <c r="PF3" s="154"/>
      <c r="PG3" s="154"/>
      <c r="PH3" s="154"/>
      <c r="PI3" s="154"/>
      <c r="PJ3" s="154"/>
      <c r="PK3" s="154"/>
      <c r="PL3" s="154"/>
      <c r="PM3" s="154"/>
      <c r="PN3" s="154"/>
      <c r="PO3" s="154"/>
      <c r="PP3" s="154"/>
      <c r="PQ3" s="154"/>
      <c r="PR3" s="154"/>
      <c r="PS3" s="154"/>
      <c r="PT3" s="154"/>
      <c r="PU3" s="154"/>
      <c r="PV3" s="154"/>
      <c r="PW3" s="154"/>
      <c r="PX3" s="154"/>
      <c r="PY3" s="154"/>
      <c r="PZ3" s="154"/>
      <c r="QA3" s="154"/>
      <c r="QB3" s="154"/>
      <c r="QC3" s="154"/>
      <c r="QD3" s="154"/>
      <c r="QE3" s="154"/>
      <c r="QF3" s="154"/>
      <c r="QG3" s="154"/>
      <c r="QH3" s="154"/>
      <c r="QI3" s="154"/>
      <c r="QJ3" s="154"/>
      <c r="QK3" s="154"/>
      <c r="QL3" s="154"/>
      <c r="QM3" s="154"/>
      <c r="QN3" s="154"/>
      <c r="QO3" s="154"/>
      <c r="QP3" s="154"/>
      <c r="QQ3" s="154"/>
      <c r="QR3" s="154"/>
      <c r="QS3" s="154"/>
      <c r="QT3" s="154"/>
      <c r="QU3" s="154"/>
      <c r="QV3" s="154"/>
      <c r="QW3" s="154"/>
      <c r="QX3" s="154"/>
      <c r="QY3" s="154"/>
      <c r="QZ3" s="154"/>
      <c r="RA3" s="154"/>
      <c r="RB3" s="154"/>
      <c r="RC3" s="154"/>
      <c r="RD3" s="154"/>
      <c r="RE3" s="154"/>
      <c r="RF3" s="154"/>
      <c r="RG3" s="154"/>
      <c r="RH3" s="154"/>
      <c r="RI3" s="154"/>
      <c r="RJ3" s="154"/>
      <c r="RK3" s="154"/>
      <c r="RL3" s="154"/>
      <c r="RM3" s="154"/>
      <c r="RN3" s="154"/>
      <c r="RO3" s="154"/>
      <c r="RP3" s="154"/>
      <c r="RQ3" s="154"/>
      <c r="RR3" s="154"/>
      <c r="RS3" s="154"/>
      <c r="RT3" s="154"/>
      <c r="RU3" s="154"/>
      <c r="RV3" s="154"/>
      <c r="RW3" s="154"/>
      <c r="RX3" s="154"/>
      <c r="RY3" s="154"/>
      <c r="RZ3" s="154"/>
      <c r="SA3" s="154"/>
      <c r="SB3" s="154"/>
      <c r="SC3" s="154"/>
      <c r="SD3" s="154"/>
      <c r="SE3" s="154"/>
      <c r="SF3" s="154"/>
      <c r="SG3" s="154"/>
      <c r="SH3" s="154"/>
      <c r="SI3" s="154"/>
      <c r="SJ3" s="154"/>
      <c r="SK3" s="154"/>
      <c r="SL3" s="154"/>
      <c r="SM3" s="154"/>
      <c r="SN3" s="154"/>
      <c r="SO3" s="154"/>
      <c r="SP3" s="154"/>
      <c r="SQ3" s="154"/>
      <c r="SR3" s="154"/>
      <c r="SS3" s="154"/>
      <c r="ST3" s="154"/>
      <c r="SU3" s="154"/>
      <c r="SV3" s="154"/>
      <c r="SW3" s="154"/>
      <c r="SX3" s="154"/>
      <c r="SY3" s="154"/>
      <c r="SZ3" s="154"/>
      <c r="TA3" s="154"/>
      <c r="TB3" s="154"/>
      <c r="TC3" s="154"/>
      <c r="TD3" s="154"/>
      <c r="TE3" s="154"/>
      <c r="TF3" s="154"/>
      <c r="TG3" s="154"/>
      <c r="TH3" s="154"/>
      <c r="TI3" s="154"/>
      <c r="TJ3" s="154"/>
      <c r="TK3" s="154"/>
      <c r="TL3" s="154"/>
      <c r="TM3" s="154"/>
      <c r="TN3" s="154"/>
      <c r="TO3" s="154"/>
      <c r="TP3" s="154"/>
      <c r="TQ3" s="154"/>
      <c r="TR3" s="154"/>
      <c r="TS3" s="154"/>
      <c r="TT3" s="154"/>
      <c r="TU3" s="154"/>
      <c r="TV3" s="154"/>
      <c r="TW3" s="154"/>
      <c r="TX3" s="154"/>
      <c r="TY3" s="154"/>
      <c r="TZ3" s="154"/>
      <c r="UA3" s="154"/>
      <c r="UB3" s="154"/>
      <c r="UC3" s="154"/>
      <c r="UD3" s="154"/>
      <c r="UE3" s="154"/>
      <c r="UF3" s="154"/>
      <c r="UG3" s="154"/>
      <c r="UH3" s="154"/>
      <c r="UI3" s="154"/>
      <c r="UJ3" s="154"/>
      <c r="UK3" s="154"/>
      <c r="UL3" s="154"/>
      <c r="UM3" s="154"/>
      <c r="UN3" s="154"/>
      <c r="UO3" s="154"/>
      <c r="UP3" s="154"/>
      <c r="UQ3" s="154"/>
      <c r="UR3" s="154"/>
      <c r="US3" s="154"/>
      <c r="UT3" s="154"/>
      <c r="UU3" s="154"/>
      <c r="UV3" s="154"/>
      <c r="UW3" s="154"/>
      <c r="UX3" s="154"/>
      <c r="UY3" s="154"/>
      <c r="UZ3" s="154"/>
      <c r="VA3" s="154"/>
      <c r="VB3" s="154"/>
      <c r="VC3" s="154"/>
      <c r="VD3" s="154"/>
      <c r="VE3" s="154"/>
      <c r="VF3" s="154"/>
      <c r="VG3" s="154"/>
      <c r="VH3" s="154"/>
      <c r="VI3" s="154"/>
      <c r="VJ3" s="154"/>
      <c r="VK3" s="154"/>
      <c r="VL3" s="154"/>
      <c r="VM3" s="154"/>
      <c r="VN3" s="154"/>
      <c r="VO3" s="154"/>
      <c r="VP3" s="154"/>
      <c r="VQ3" s="154"/>
      <c r="VR3" s="154"/>
      <c r="VS3" s="154"/>
      <c r="VT3" s="154"/>
      <c r="VU3" s="154"/>
      <c r="VV3" s="154"/>
      <c r="VW3" s="154"/>
      <c r="VX3" s="154"/>
      <c r="VY3" s="154"/>
      <c r="VZ3" s="154"/>
      <c r="WA3" s="154"/>
      <c r="WB3" s="154"/>
      <c r="WC3" s="154"/>
      <c r="WD3" s="154"/>
      <c r="WE3" s="154"/>
      <c r="WF3" s="154"/>
      <c r="WG3" s="154"/>
      <c r="WH3" s="154"/>
      <c r="WI3" s="154"/>
      <c r="WJ3" s="154"/>
      <c r="WK3" s="154"/>
      <c r="WL3" s="154"/>
      <c r="WM3" s="154"/>
      <c r="WN3" s="154"/>
      <c r="WO3" s="154"/>
      <c r="WP3" s="154"/>
      <c r="WQ3" s="154"/>
      <c r="WR3" s="154"/>
      <c r="WS3" s="154"/>
      <c r="WT3" s="154"/>
      <c r="WU3" s="154"/>
      <c r="WV3" s="154"/>
      <c r="WW3" s="154"/>
      <c r="WX3" s="154"/>
      <c r="WY3" s="154"/>
      <c r="WZ3" s="154"/>
      <c r="XA3" s="154"/>
      <c r="XB3" s="154"/>
      <c r="XC3" s="154"/>
      <c r="XD3" s="154"/>
      <c r="XE3" s="154"/>
      <c r="XF3" s="154"/>
      <c r="XG3" s="154"/>
      <c r="XH3" s="154"/>
      <c r="XI3" s="154"/>
      <c r="XJ3" s="154"/>
      <c r="XK3" s="154"/>
      <c r="XL3" s="154"/>
      <c r="XM3" s="154"/>
      <c r="XN3" s="154"/>
      <c r="XO3" s="154"/>
      <c r="XP3" s="154"/>
      <c r="XQ3" s="154"/>
      <c r="XR3" s="154"/>
      <c r="XS3" s="154"/>
      <c r="XT3" s="154"/>
      <c r="XU3" s="154"/>
      <c r="XV3" s="154"/>
      <c r="XW3" s="154"/>
      <c r="XX3" s="154"/>
      <c r="XY3" s="154"/>
      <c r="XZ3" s="154"/>
      <c r="YA3" s="154"/>
      <c r="YB3" s="154"/>
      <c r="YC3" s="154"/>
      <c r="YD3" s="154"/>
      <c r="YE3" s="154"/>
      <c r="YF3" s="154"/>
      <c r="YG3" s="154"/>
      <c r="YH3" s="154"/>
      <c r="YI3" s="154"/>
      <c r="YJ3" s="154"/>
      <c r="YK3" s="154"/>
      <c r="YL3" s="154"/>
      <c r="YM3" s="154"/>
      <c r="YN3" s="154"/>
      <c r="YO3" s="154"/>
      <c r="YP3" s="154"/>
      <c r="YQ3" s="154"/>
      <c r="YR3" s="154"/>
      <c r="YS3" s="154"/>
      <c r="YT3" s="154"/>
      <c r="YU3" s="154"/>
      <c r="YV3" s="154"/>
      <c r="YW3" s="154"/>
      <c r="YX3" s="154"/>
      <c r="YY3" s="154"/>
      <c r="YZ3" s="154"/>
      <c r="ZA3" s="154"/>
      <c r="ZB3" s="154"/>
      <c r="ZC3" s="154"/>
      <c r="ZD3" s="154"/>
      <c r="ZE3" s="154"/>
      <c r="ZF3" s="154"/>
      <c r="ZG3" s="154"/>
      <c r="ZH3" s="154"/>
      <c r="ZI3" s="154"/>
      <c r="ZJ3" s="154"/>
      <c r="ZK3" s="154"/>
      <c r="ZL3" s="154"/>
      <c r="ZM3" s="154"/>
      <c r="ZN3" s="154"/>
      <c r="ZO3" s="154"/>
      <c r="ZP3" s="154"/>
      <c r="ZQ3" s="154"/>
      <c r="ZR3" s="154"/>
      <c r="ZS3" s="154"/>
      <c r="ZT3" s="154"/>
      <c r="ZU3" s="154"/>
      <c r="ZV3" s="154"/>
      <c r="ZW3" s="154"/>
      <c r="ZX3" s="154"/>
      <c r="ZY3" s="154"/>
      <c r="ZZ3" s="154"/>
      <c r="AAA3" s="154"/>
      <c r="AAB3" s="154"/>
      <c r="AAC3" s="154"/>
      <c r="AAD3" s="154"/>
      <c r="AAE3" s="154"/>
      <c r="AAF3" s="154"/>
      <c r="AAG3" s="154"/>
      <c r="AAH3" s="154"/>
      <c r="AAI3" s="154"/>
      <c r="AAJ3" s="154"/>
      <c r="AAK3" s="154"/>
      <c r="AAL3" s="154"/>
      <c r="AAM3" s="154"/>
      <c r="AAN3" s="154"/>
      <c r="AAO3" s="154"/>
      <c r="AAP3" s="154"/>
      <c r="AAQ3" s="154"/>
      <c r="AAR3" s="154"/>
      <c r="AAS3" s="154"/>
      <c r="AAT3" s="154"/>
      <c r="AAU3" s="154"/>
      <c r="AAV3" s="154"/>
      <c r="AAW3" s="154"/>
      <c r="AAX3" s="154"/>
      <c r="AAY3" s="154"/>
      <c r="AAZ3" s="154"/>
      <c r="ABA3" s="154"/>
      <c r="ABB3" s="154"/>
      <c r="ABC3" s="154"/>
      <c r="ABD3" s="154"/>
      <c r="ABE3" s="154"/>
      <c r="ABF3" s="154"/>
      <c r="ABG3" s="154"/>
      <c r="ABH3" s="154"/>
      <c r="ABI3" s="154"/>
      <c r="ABJ3" s="154"/>
      <c r="ABK3" s="154"/>
      <c r="ABL3" s="154"/>
      <c r="ABM3" s="154"/>
      <c r="ABN3" s="154"/>
      <c r="ABO3" s="154"/>
      <c r="ABP3" s="154"/>
      <c r="ABQ3" s="154"/>
      <c r="ABR3" s="154"/>
      <c r="ABS3" s="154"/>
      <c r="ABT3" s="154"/>
      <c r="ABU3" s="154"/>
      <c r="ABV3" s="154"/>
      <c r="ABW3" s="154"/>
      <c r="ABX3" s="154"/>
      <c r="ABY3" s="154"/>
      <c r="ABZ3" s="154"/>
      <c r="ACA3" s="154"/>
      <c r="ACB3" s="154"/>
      <c r="ACC3" s="154"/>
      <c r="ACD3" s="154"/>
      <c r="ACE3" s="154"/>
      <c r="ACF3" s="154"/>
      <c r="ACG3" s="154"/>
      <c r="ACH3" s="154"/>
      <c r="ACI3" s="154"/>
      <c r="ACJ3" s="154"/>
      <c r="ACK3" s="154"/>
      <c r="ACL3" s="154"/>
      <c r="ACM3" s="154"/>
      <c r="ACN3" s="154"/>
      <c r="ACO3" s="154"/>
      <c r="ACP3" s="154"/>
      <c r="ACQ3" s="154"/>
      <c r="ACR3" s="154"/>
      <c r="ACS3" s="154"/>
      <c r="ACT3" s="154"/>
      <c r="ACU3" s="154"/>
      <c r="ACV3" s="154"/>
      <c r="ACW3" s="154"/>
      <c r="ACX3" s="154"/>
      <c r="ACY3" s="154"/>
      <c r="ACZ3" s="154"/>
      <c r="ADA3" s="154"/>
      <c r="ADB3" s="154"/>
      <c r="ADC3" s="154"/>
      <c r="ADD3" s="154"/>
      <c r="ADE3" s="154"/>
      <c r="ADF3" s="154"/>
      <c r="ADG3" s="154"/>
      <c r="ADH3" s="154"/>
      <c r="ADI3" s="154"/>
      <c r="ADJ3" s="154"/>
      <c r="ADK3" s="154"/>
      <c r="ADL3" s="154"/>
      <c r="ADM3" s="154"/>
      <c r="ADN3" s="154"/>
      <c r="ADO3" s="154"/>
      <c r="ADP3" s="154"/>
      <c r="ADQ3" s="154"/>
      <c r="ADR3" s="154"/>
      <c r="ADS3" s="154"/>
      <c r="ADT3" s="154"/>
      <c r="ADU3" s="154"/>
      <c r="ADV3" s="154"/>
      <c r="ADW3" s="154"/>
      <c r="ADX3" s="154"/>
      <c r="ADY3" s="154"/>
      <c r="ADZ3" s="154"/>
      <c r="AEA3" s="154"/>
      <c r="AEB3" s="154"/>
      <c r="AEC3" s="154"/>
      <c r="AED3" s="154"/>
      <c r="AEE3" s="154"/>
      <c r="AEF3" s="154"/>
      <c r="AEG3" s="154"/>
      <c r="AEH3" s="154"/>
      <c r="AEI3" s="154"/>
      <c r="AEJ3" s="154"/>
      <c r="AEK3" s="154"/>
      <c r="AEL3" s="154"/>
      <c r="AEM3" s="154"/>
      <c r="AEN3" s="154"/>
      <c r="AEO3" s="154"/>
      <c r="AEP3" s="154"/>
      <c r="AEQ3" s="154"/>
      <c r="AER3" s="154"/>
      <c r="AES3" s="154"/>
      <c r="AET3" s="154"/>
      <c r="AEU3" s="154"/>
      <c r="AEV3" s="154"/>
      <c r="AEW3" s="154"/>
      <c r="AEX3" s="154"/>
      <c r="AEY3" s="154"/>
      <c r="AEZ3" s="154"/>
      <c r="AFA3" s="154"/>
      <c r="AFB3" s="154"/>
      <c r="AFC3" s="154"/>
      <c r="AFD3" s="154"/>
      <c r="AFE3" s="154"/>
      <c r="AFF3" s="154"/>
      <c r="AFG3" s="154"/>
      <c r="AFH3" s="154"/>
      <c r="AFI3" s="154"/>
      <c r="AFJ3" s="154"/>
      <c r="AFK3" s="154"/>
      <c r="AFL3" s="154"/>
      <c r="AFM3" s="154"/>
      <c r="AFN3" s="154"/>
      <c r="AFO3" s="154"/>
      <c r="AFP3" s="154"/>
      <c r="AFQ3" s="154"/>
      <c r="AFR3" s="154"/>
      <c r="AFS3" s="154"/>
      <c r="AFT3" s="154"/>
      <c r="AFU3" s="154"/>
      <c r="AFV3" s="154"/>
      <c r="AFW3" s="154"/>
      <c r="AFX3" s="154"/>
      <c r="AFY3" s="154"/>
      <c r="AFZ3" s="154"/>
      <c r="AGA3" s="154"/>
      <c r="AGB3" s="154"/>
      <c r="AGC3" s="154"/>
      <c r="AGD3" s="154"/>
      <c r="AGE3" s="154"/>
      <c r="AGF3" s="154"/>
      <c r="AGG3" s="154"/>
      <c r="AGH3" s="154"/>
      <c r="AGI3" s="154"/>
      <c r="AGJ3" s="154"/>
      <c r="AGK3" s="154"/>
      <c r="AGL3" s="154"/>
      <c r="AGM3" s="154"/>
      <c r="AGN3" s="154"/>
      <c r="AGO3" s="154"/>
      <c r="AGP3" s="154"/>
      <c r="AGQ3" s="154"/>
      <c r="AGR3" s="154"/>
      <c r="AGS3" s="154"/>
      <c r="AGT3" s="154"/>
      <c r="AGU3" s="154"/>
      <c r="AGV3" s="154"/>
      <c r="AGW3" s="154"/>
      <c r="AGX3" s="154"/>
      <c r="AGY3" s="154"/>
      <c r="AGZ3" s="154"/>
      <c r="AHA3" s="154"/>
      <c r="AHB3" s="154"/>
      <c r="AHC3" s="154"/>
      <c r="AHD3" s="154"/>
      <c r="AHE3" s="154"/>
      <c r="AHF3" s="154"/>
      <c r="AHG3" s="154"/>
      <c r="AHH3" s="154"/>
      <c r="AHI3" s="154"/>
      <c r="AHJ3" s="154"/>
      <c r="AHK3" s="154"/>
      <c r="AHL3" s="154"/>
      <c r="AHM3" s="154"/>
      <c r="AHN3" s="154"/>
      <c r="AHO3" s="154"/>
      <c r="AHP3" s="154"/>
      <c r="AHQ3" s="154"/>
      <c r="AHR3" s="154"/>
      <c r="AHS3" s="154"/>
      <c r="AHT3" s="154"/>
      <c r="AHU3" s="154"/>
      <c r="AHV3" s="154"/>
      <c r="AHW3" s="154"/>
      <c r="AHX3" s="154"/>
      <c r="AHY3" s="154"/>
      <c r="AHZ3" s="154"/>
      <c r="AIA3" s="154"/>
      <c r="AIB3" s="154"/>
      <c r="AIC3" s="154"/>
      <c r="AID3" s="154"/>
      <c r="AIE3" s="154"/>
      <c r="AIF3" s="154"/>
      <c r="AIG3" s="154"/>
      <c r="AIH3" s="154"/>
      <c r="AII3" s="154"/>
      <c r="AIJ3" s="154"/>
      <c r="AIK3" s="154"/>
      <c r="AIL3" s="154"/>
      <c r="AIM3" s="154"/>
      <c r="AIN3" s="154"/>
      <c r="AIO3" s="154"/>
      <c r="AIP3" s="154"/>
      <c r="AIQ3" s="154"/>
      <c r="AIR3" s="154"/>
      <c r="AIS3" s="154"/>
      <c r="AIT3" s="154"/>
      <c r="AIU3" s="154"/>
      <c r="AIV3" s="154"/>
      <c r="AIW3" s="154"/>
      <c r="AIX3" s="154"/>
      <c r="AIY3" s="154"/>
      <c r="AIZ3" s="154"/>
      <c r="AJA3" s="154"/>
      <c r="AJB3" s="154"/>
      <c r="AJC3" s="154"/>
      <c r="AJD3" s="154"/>
      <c r="AJE3" s="154"/>
      <c r="AJF3" s="154"/>
      <c r="AJG3" s="154"/>
      <c r="AJH3" s="154"/>
      <c r="AJI3" s="154"/>
      <c r="AJJ3" s="154"/>
      <c r="AJK3" s="154"/>
      <c r="AJL3" s="154"/>
      <c r="AJM3" s="154"/>
      <c r="AJN3" s="154"/>
      <c r="AJO3" s="154"/>
      <c r="AJP3" s="154"/>
      <c r="AJQ3" s="154"/>
      <c r="AJR3" s="154"/>
      <c r="AJS3" s="154"/>
      <c r="AJT3" s="154"/>
      <c r="AJU3" s="154"/>
      <c r="AJV3" s="154"/>
      <c r="AJW3" s="154"/>
      <c r="AJX3" s="154"/>
      <c r="AJY3" s="154"/>
      <c r="AJZ3" s="154"/>
      <c r="AKA3" s="154"/>
      <c r="AKB3" s="154"/>
      <c r="AKC3" s="154"/>
      <c r="AKD3" s="154"/>
      <c r="AKE3" s="154"/>
      <c r="AKF3" s="154"/>
      <c r="AKG3" s="154"/>
      <c r="AKH3" s="154"/>
      <c r="AKI3" s="154"/>
      <c r="AKJ3" s="154"/>
      <c r="AKK3" s="154"/>
      <c r="AKL3" s="154"/>
      <c r="AKM3" s="154"/>
      <c r="AKN3" s="154"/>
      <c r="AKO3" s="154"/>
      <c r="AKP3" s="154"/>
      <c r="AKQ3" s="154"/>
      <c r="AKR3" s="154"/>
      <c r="AKS3" s="154"/>
      <c r="AKT3" s="154"/>
      <c r="AKU3" s="154"/>
      <c r="AKV3" s="154"/>
      <c r="AKW3" s="154"/>
      <c r="AKX3" s="154"/>
      <c r="AKY3" s="154"/>
      <c r="AKZ3" s="154"/>
      <c r="ALA3" s="154"/>
      <c r="ALB3" s="154"/>
      <c r="ALC3" s="154"/>
      <c r="ALD3" s="154"/>
      <c r="ALE3" s="154"/>
      <c r="ALF3" s="154"/>
      <c r="ALG3" s="154"/>
      <c r="ALH3" s="154"/>
      <c r="ALI3" s="154"/>
      <c r="ALJ3" s="154"/>
      <c r="ALK3" s="154"/>
      <c r="ALL3" s="154"/>
      <c r="ALM3" s="154"/>
      <c r="ALN3" s="154"/>
      <c r="ALO3" s="154"/>
      <c r="ALP3" s="154"/>
      <c r="ALQ3" s="154"/>
      <c r="ALR3" s="154"/>
      <c r="ALS3" s="154"/>
      <c r="ALT3" s="154"/>
      <c r="ALU3" s="154"/>
      <c r="ALV3" s="154"/>
      <c r="ALW3" s="154"/>
      <c r="ALX3" s="154"/>
      <c r="ALY3" s="154"/>
      <c r="ALZ3" s="154"/>
      <c r="AMA3" s="154"/>
      <c r="AMB3" s="154"/>
      <c r="AMC3" s="154"/>
      <c r="AMD3" s="154"/>
      <c r="AME3" s="154"/>
      <c r="AMF3" s="154"/>
      <c r="AMG3" s="154"/>
      <c r="AMH3" s="154"/>
      <c r="AMI3" s="154"/>
      <c r="AMJ3" s="154"/>
      <c r="AMK3" s="154"/>
    </row>
    <row r="4" spans="1:1025" s="413" customFormat="1" ht="8.25" x14ac:dyDescent="0.15">
      <c r="A4" s="154"/>
      <c r="B4" s="168" t="s">
        <v>568</v>
      </c>
      <c r="C4" s="169">
        <f>(SUM(D4:O4))</f>
        <v>76155039.024000004</v>
      </c>
      <c r="D4" s="170">
        <f>DCLP!D28</f>
        <v>6513554.0240000002</v>
      </c>
      <c r="E4" s="170">
        <f>DCLP!E28</f>
        <v>6669086.9859999996</v>
      </c>
      <c r="F4" s="170">
        <f>DCLP!F28</f>
        <v>6423867.8739999998</v>
      </c>
      <c r="G4" s="170">
        <f>DCLP!G28</f>
        <v>6662217.8680000007</v>
      </c>
      <c r="H4" s="170">
        <f>DCLP!H28</f>
        <v>6271091.648</v>
      </c>
      <c r="I4" s="170">
        <f>DCLP!I28</f>
        <v>6020972.277999999</v>
      </c>
      <c r="J4" s="170">
        <f>DCLP!J28</f>
        <v>9678573.5900000017</v>
      </c>
      <c r="K4" s="170">
        <f>DCLP!K28</f>
        <v>6143275.1909999996</v>
      </c>
      <c r="L4" s="170">
        <f>DCLP!L28</f>
        <v>6059587.0130000003</v>
      </c>
      <c r="M4" s="170">
        <f>DCLP!M28</f>
        <v>5641568.8399999999</v>
      </c>
      <c r="N4" s="170">
        <f>DCLP!N28</f>
        <v>3513284.2859999994</v>
      </c>
      <c r="O4" s="170">
        <f>DCLP!O28</f>
        <v>6557959.4260000009</v>
      </c>
      <c r="P4" s="154"/>
      <c r="Q4" s="171"/>
      <c r="R4" s="171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  <c r="IU4" s="154"/>
      <c r="IV4" s="154"/>
      <c r="IW4" s="154"/>
      <c r="IX4" s="154"/>
      <c r="IY4" s="154"/>
      <c r="IZ4" s="154"/>
      <c r="JA4" s="154"/>
      <c r="JB4" s="154"/>
      <c r="JC4" s="154"/>
      <c r="JD4" s="154"/>
      <c r="JE4" s="154"/>
      <c r="JF4" s="154"/>
      <c r="JG4" s="154"/>
      <c r="JH4" s="154"/>
      <c r="JI4" s="154"/>
      <c r="JJ4" s="154"/>
      <c r="JK4" s="154"/>
      <c r="JL4" s="154"/>
      <c r="JM4" s="154"/>
      <c r="JN4" s="154"/>
      <c r="JO4" s="154"/>
      <c r="JP4" s="154"/>
      <c r="JQ4" s="154"/>
      <c r="JR4" s="154"/>
      <c r="JS4" s="154"/>
      <c r="JT4" s="154"/>
      <c r="JU4" s="154"/>
      <c r="JV4" s="154"/>
      <c r="JW4" s="154"/>
      <c r="JX4" s="154"/>
      <c r="JY4" s="154"/>
      <c r="JZ4" s="154"/>
      <c r="KA4" s="154"/>
      <c r="KB4" s="154"/>
      <c r="KC4" s="154"/>
      <c r="KD4" s="154"/>
      <c r="KE4" s="154"/>
      <c r="KF4" s="154"/>
      <c r="KG4" s="154"/>
      <c r="KH4" s="154"/>
      <c r="KI4" s="154"/>
      <c r="KJ4" s="154"/>
      <c r="KK4" s="154"/>
      <c r="KL4" s="154"/>
      <c r="KM4" s="154"/>
      <c r="KN4" s="154"/>
      <c r="KO4" s="154"/>
      <c r="KP4" s="154"/>
      <c r="KQ4" s="154"/>
      <c r="KR4" s="154"/>
      <c r="KS4" s="154"/>
      <c r="KT4" s="154"/>
      <c r="KU4" s="154"/>
      <c r="KV4" s="154"/>
      <c r="KW4" s="154"/>
      <c r="KX4" s="154"/>
      <c r="KY4" s="154"/>
      <c r="KZ4" s="154"/>
      <c r="LA4" s="154"/>
      <c r="LB4" s="154"/>
      <c r="LC4" s="154"/>
      <c r="LD4" s="154"/>
      <c r="LE4" s="154"/>
      <c r="LF4" s="154"/>
      <c r="LG4" s="154"/>
      <c r="LH4" s="154"/>
      <c r="LI4" s="154"/>
      <c r="LJ4" s="154"/>
      <c r="LK4" s="154"/>
      <c r="LL4" s="154"/>
      <c r="LM4" s="154"/>
      <c r="LN4" s="154"/>
      <c r="LO4" s="154"/>
      <c r="LP4" s="154"/>
      <c r="LQ4" s="154"/>
      <c r="LR4" s="154"/>
      <c r="LS4" s="154"/>
      <c r="LT4" s="154"/>
      <c r="LU4" s="154"/>
      <c r="LV4" s="154"/>
      <c r="LW4" s="154"/>
      <c r="LX4" s="154"/>
      <c r="LY4" s="154"/>
      <c r="LZ4" s="154"/>
      <c r="MA4" s="154"/>
      <c r="MB4" s="154"/>
      <c r="MC4" s="154"/>
      <c r="MD4" s="154"/>
      <c r="ME4" s="154"/>
      <c r="MF4" s="154"/>
      <c r="MG4" s="154"/>
      <c r="MH4" s="154"/>
      <c r="MI4" s="154"/>
      <c r="MJ4" s="154"/>
      <c r="MK4" s="154"/>
      <c r="ML4" s="154"/>
      <c r="MM4" s="154"/>
      <c r="MN4" s="154"/>
      <c r="MO4" s="154"/>
      <c r="MP4" s="154"/>
      <c r="MQ4" s="154"/>
      <c r="MR4" s="154"/>
      <c r="MS4" s="154"/>
      <c r="MT4" s="154"/>
      <c r="MU4" s="154"/>
      <c r="MV4" s="154"/>
      <c r="MW4" s="154"/>
      <c r="MX4" s="154"/>
      <c r="MY4" s="154"/>
      <c r="MZ4" s="154"/>
      <c r="NA4" s="154"/>
      <c r="NB4" s="154"/>
      <c r="NC4" s="154"/>
      <c r="ND4" s="154"/>
      <c r="NE4" s="154"/>
      <c r="NF4" s="154"/>
      <c r="NG4" s="154"/>
      <c r="NH4" s="154"/>
      <c r="NI4" s="154"/>
      <c r="NJ4" s="154"/>
      <c r="NK4" s="154"/>
      <c r="NL4" s="154"/>
      <c r="NM4" s="154"/>
      <c r="NN4" s="154"/>
      <c r="NO4" s="154"/>
      <c r="NP4" s="154"/>
      <c r="NQ4" s="154"/>
      <c r="NR4" s="154"/>
      <c r="NS4" s="154"/>
      <c r="NT4" s="154"/>
      <c r="NU4" s="154"/>
      <c r="NV4" s="154"/>
      <c r="NW4" s="154"/>
      <c r="NX4" s="154"/>
      <c r="NY4" s="154"/>
      <c r="NZ4" s="154"/>
      <c r="OA4" s="154"/>
      <c r="OB4" s="154"/>
      <c r="OC4" s="154"/>
      <c r="OD4" s="154"/>
      <c r="OE4" s="154"/>
      <c r="OF4" s="154"/>
      <c r="OG4" s="154"/>
      <c r="OH4" s="154"/>
      <c r="OI4" s="154"/>
      <c r="OJ4" s="154"/>
      <c r="OK4" s="154"/>
      <c r="OL4" s="154"/>
      <c r="OM4" s="154"/>
      <c r="ON4" s="154"/>
      <c r="OO4" s="154"/>
      <c r="OP4" s="154"/>
      <c r="OQ4" s="154"/>
      <c r="OR4" s="154"/>
      <c r="OS4" s="154"/>
      <c r="OT4" s="154"/>
      <c r="OU4" s="154"/>
      <c r="OV4" s="154"/>
      <c r="OW4" s="154"/>
      <c r="OX4" s="154"/>
      <c r="OY4" s="154"/>
      <c r="OZ4" s="154"/>
      <c r="PA4" s="154"/>
      <c r="PB4" s="154"/>
      <c r="PC4" s="154"/>
      <c r="PD4" s="154"/>
      <c r="PE4" s="154"/>
      <c r="PF4" s="154"/>
      <c r="PG4" s="154"/>
      <c r="PH4" s="154"/>
      <c r="PI4" s="154"/>
      <c r="PJ4" s="154"/>
      <c r="PK4" s="154"/>
      <c r="PL4" s="154"/>
      <c r="PM4" s="154"/>
      <c r="PN4" s="154"/>
      <c r="PO4" s="154"/>
      <c r="PP4" s="154"/>
      <c r="PQ4" s="154"/>
      <c r="PR4" s="154"/>
      <c r="PS4" s="154"/>
      <c r="PT4" s="154"/>
      <c r="PU4" s="154"/>
      <c r="PV4" s="154"/>
      <c r="PW4" s="154"/>
      <c r="PX4" s="154"/>
      <c r="PY4" s="154"/>
      <c r="PZ4" s="154"/>
      <c r="QA4" s="154"/>
      <c r="QB4" s="154"/>
      <c r="QC4" s="154"/>
      <c r="QD4" s="154"/>
      <c r="QE4" s="154"/>
      <c r="QF4" s="154"/>
      <c r="QG4" s="154"/>
      <c r="QH4" s="154"/>
      <c r="QI4" s="154"/>
      <c r="QJ4" s="154"/>
      <c r="QK4" s="154"/>
      <c r="QL4" s="154"/>
      <c r="QM4" s="154"/>
      <c r="QN4" s="154"/>
      <c r="QO4" s="154"/>
      <c r="QP4" s="154"/>
      <c r="QQ4" s="154"/>
      <c r="QR4" s="154"/>
      <c r="QS4" s="154"/>
      <c r="QT4" s="154"/>
      <c r="QU4" s="154"/>
      <c r="QV4" s="154"/>
      <c r="QW4" s="154"/>
      <c r="QX4" s="154"/>
      <c r="QY4" s="154"/>
      <c r="QZ4" s="154"/>
      <c r="RA4" s="154"/>
      <c r="RB4" s="154"/>
      <c r="RC4" s="154"/>
      <c r="RD4" s="154"/>
      <c r="RE4" s="154"/>
      <c r="RF4" s="154"/>
      <c r="RG4" s="154"/>
      <c r="RH4" s="154"/>
      <c r="RI4" s="154"/>
      <c r="RJ4" s="154"/>
      <c r="RK4" s="154"/>
      <c r="RL4" s="154"/>
      <c r="RM4" s="154"/>
      <c r="RN4" s="154"/>
      <c r="RO4" s="154"/>
      <c r="RP4" s="154"/>
      <c r="RQ4" s="154"/>
      <c r="RR4" s="154"/>
      <c r="RS4" s="154"/>
      <c r="RT4" s="154"/>
      <c r="RU4" s="154"/>
      <c r="RV4" s="154"/>
      <c r="RW4" s="154"/>
      <c r="RX4" s="154"/>
      <c r="RY4" s="154"/>
      <c r="RZ4" s="154"/>
      <c r="SA4" s="154"/>
      <c r="SB4" s="154"/>
      <c r="SC4" s="154"/>
      <c r="SD4" s="154"/>
      <c r="SE4" s="154"/>
      <c r="SF4" s="154"/>
      <c r="SG4" s="154"/>
      <c r="SH4" s="154"/>
      <c r="SI4" s="154"/>
      <c r="SJ4" s="154"/>
      <c r="SK4" s="154"/>
      <c r="SL4" s="154"/>
      <c r="SM4" s="154"/>
      <c r="SN4" s="154"/>
      <c r="SO4" s="154"/>
      <c r="SP4" s="154"/>
      <c r="SQ4" s="154"/>
      <c r="SR4" s="154"/>
      <c r="SS4" s="154"/>
      <c r="ST4" s="154"/>
      <c r="SU4" s="154"/>
      <c r="SV4" s="154"/>
      <c r="SW4" s="154"/>
      <c r="SX4" s="154"/>
      <c r="SY4" s="154"/>
      <c r="SZ4" s="154"/>
      <c r="TA4" s="154"/>
      <c r="TB4" s="154"/>
      <c r="TC4" s="154"/>
      <c r="TD4" s="154"/>
      <c r="TE4" s="154"/>
      <c r="TF4" s="154"/>
      <c r="TG4" s="154"/>
      <c r="TH4" s="154"/>
      <c r="TI4" s="154"/>
      <c r="TJ4" s="154"/>
      <c r="TK4" s="154"/>
      <c r="TL4" s="154"/>
      <c r="TM4" s="154"/>
      <c r="TN4" s="154"/>
      <c r="TO4" s="154"/>
      <c r="TP4" s="154"/>
      <c r="TQ4" s="154"/>
      <c r="TR4" s="154"/>
      <c r="TS4" s="154"/>
      <c r="TT4" s="154"/>
      <c r="TU4" s="154"/>
      <c r="TV4" s="154"/>
      <c r="TW4" s="154"/>
      <c r="TX4" s="154"/>
      <c r="TY4" s="154"/>
      <c r="TZ4" s="154"/>
      <c r="UA4" s="154"/>
      <c r="UB4" s="154"/>
      <c r="UC4" s="154"/>
      <c r="UD4" s="154"/>
      <c r="UE4" s="154"/>
      <c r="UF4" s="154"/>
      <c r="UG4" s="154"/>
      <c r="UH4" s="154"/>
      <c r="UI4" s="154"/>
      <c r="UJ4" s="154"/>
      <c r="UK4" s="154"/>
      <c r="UL4" s="154"/>
      <c r="UM4" s="154"/>
      <c r="UN4" s="154"/>
      <c r="UO4" s="154"/>
      <c r="UP4" s="154"/>
      <c r="UQ4" s="154"/>
      <c r="UR4" s="154"/>
      <c r="US4" s="154"/>
      <c r="UT4" s="154"/>
      <c r="UU4" s="154"/>
      <c r="UV4" s="154"/>
      <c r="UW4" s="154"/>
      <c r="UX4" s="154"/>
      <c r="UY4" s="154"/>
      <c r="UZ4" s="154"/>
      <c r="VA4" s="154"/>
      <c r="VB4" s="154"/>
      <c r="VC4" s="154"/>
      <c r="VD4" s="154"/>
      <c r="VE4" s="154"/>
      <c r="VF4" s="154"/>
      <c r="VG4" s="154"/>
      <c r="VH4" s="154"/>
      <c r="VI4" s="154"/>
      <c r="VJ4" s="154"/>
      <c r="VK4" s="154"/>
      <c r="VL4" s="154"/>
      <c r="VM4" s="154"/>
      <c r="VN4" s="154"/>
      <c r="VO4" s="154"/>
      <c r="VP4" s="154"/>
      <c r="VQ4" s="154"/>
      <c r="VR4" s="154"/>
      <c r="VS4" s="154"/>
      <c r="VT4" s="154"/>
      <c r="VU4" s="154"/>
      <c r="VV4" s="154"/>
      <c r="VW4" s="154"/>
      <c r="VX4" s="154"/>
      <c r="VY4" s="154"/>
      <c r="VZ4" s="154"/>
      <c r="WA4" s="154"/>
      <c r="WB4" s="154"/>
      <c r="WC4" s="154"/>
      <c r="WD4" s="154"/>
      <c r="WE4" s="154"/>
      <c r="WF4" s="154"/>
      <c r="WG4" s="154"/>
      <c r="WH4" s="154"/>
      <c r="WI4" s="154"/>
      <c r="WJ4" s="154"/>
      <c r="WK4" s="154"/>
      <c r="WL4" s="154"/>
      <c r="WM4" s="154"/>
      <c r="WN4" s="154"/>
      <c r="WO4" s="154"/>
      <c r="WP4" s="154"/>
      <c r="WQ4" s="154"/>
      <c r="WR4" s="154"/>
      <c r="WS4" s="154"/>
      <c r="WT4" s="154"/>
      <c r="WU4" s="154"/>
      <c r="WV4" s="154"/>
      <c r="WW4" s="154"/>
      <c r="WX4" s="154"/>
      <c r="WY4" s="154"/>
      <c r="WZ4" s="154"/>
      <c r="XA4" s="154"/>
      <c r="XB4" s="154"/>
      <c r="XC4" s="154"/>
      <c r="XD4" s="154"/>
      <c r="XE4" s="154"/>
      <c r="XF4" s="154"/>
      <c r="XG4" s="154"/>
      <c r="XH4" s="154"/>
      <c r="XI4" s="154"/>
      <c r="XJ4" s="154"/>
      <c r="XK4" s="154"/>
      <c r="XL4" s="154"/>
      <c r="XM4" s="154"/>
      <c r="XN4" s="154"/>
      <c r="XO4" s="154"/>
      <c r="XP4" s="154"/>
      <c r="XQ4" s="154"/>
      <c r="XR4" s="154"/>
      <c r="XS4" s="154"/>
      <c r="XT4" s="154"/>
      <c r="XU4" s="154"/>
      <c r="XV4" s="154"/>
      <c r="XW4" s="154"/>
      <c r="XX4" s="154"/>
      <c r="XY4" s="154"/>
      <c r="XZ4" s="154"/>
      <c r="YA4" s="154"/>
      <c r="YB4" s="154"/>
      <c r="YC4" s="154"/>
      <c r="YD4" s="154"/>
      <c r="YE4" s="154"/>
      <c r="YF4" s="154"/>
      <c r="YG4" s="154"/>
      <c r="YH4" s="154"/>
      <c r="YI4" s="154"/>
      <c r="YJ4" s="154"/>
      <c r="YK4" s="154"/>
      <c r="YL4" s="154"/>
      <c r="YM4" s="154"/>
      <c r="YN4" s="154"/>
      <c r="YO4" s="154"/>
      <c r="YP4" s="154"/>
      <c r="YQ4" s="154"/>
      <c r="YR4" s="154"/>
      <c r="YS4" s="154"/>
      <c r="YT4" s="154"/>
      <c r="YU4" s="154"/>
      <c r="YV4" s="154"/>
      <c r="YW4" s="154"/>
      <c r="YX4" s="154"/>
      <c r="YY4" s="154"/>
      <c r="YZ4" s="154"/>
      <c r="ZA4" s="154"/>
      <c r="ZB4" s="154"/>
      <c r="ZC4" s="154"/>
      <c r="ZD4" s="154"/>
      <c r="ZE4" s="154"/>
      <c r="ZF4" s="154"/>
      <c r="ZG4" s="154"/>
      <c r="ZH4" s="154"/>
      <c r="ZI4" s="154"/>
      <c r="ZJ4" s="154"/>
      <c r="ZK4" s="154"/>
      <c r="ZL4" s="154"/>
      <c r="ZM4" s="154"/>
      <c r="ZN4" s="154"/>
      <c r="ZO4" s="154"/>
      <c r="ZP4" s="154"/>
      <c r="ZQ4" s="154"/>
      <c r="ZR4" s="154"/>
      <c r="ZS4" s="154"/>
      <c r="ZT4" s="154"/>
      <c r="ZU4" s="154"/>
      <c r="ZV4" s="154"/>
      <c r="ZW4" s="154"/>
      <c r="ZX4" s="154"/>
      <c r="ZY4" s="154"/>
      <c r="ZZ4" s="154"/>
      <c r="AAA4" s="154"/>
      <c r="AAB4" s="154"/>
      <c r="AAC4" s="154"/>
      <c r="AAD4" s="154"/>
      <c r="AAE4" s="154"/>
      <c r="AAF4" s="154"/>
      <c r="AAG4" s="154"/>
      <c r="AAH4" s="154"/>
      <c r="AAI4" s="154"/>
      <c r="AAJ4" s="154"/>
      <c r="AAK4" s="154"/>
      <c r="AAL4" s="154"/>
      <c r="AAM4" s="154"/>
      <c r="AAN4" s="154"/>
      <c r="AAO4" s="154"/>
      <c r="AAP4" s="154"/>
      <c r="AAQ4" s="154"/>
      <c r="AAR4" s="154"/>
      <c r="AAS4" s="154"/>
      <c r="AAT4" s="154"/>
      <c r="AAU4" s="154"/>
      <c r="AAV4" s="154"/>
      <c r="AAW4" s="154"/>
      <c r="AAX4" s="154"/>
      <c r="AAY4" s="154"/>
      <c r="AAZ4" s="154"/>
      <c r="ABA4" s="154"/>
      <c r="ABB4" s="154"/>
      <c r="ABC4" s="154"/>
      <c r="ABD4" s="154"/>
      <c r="ABE4" s="154"/>
      <c r="ABF4" s="154"/>
      <c r="ABG4" s="154"/>
      <c r="ABH4" s="154"/>
      <c r="ABI4" s="154"/>
      <c r="ABJ4" s="154"/>
      <c r="ABK4" s="154"/>
      <c r="ABL4" s="154"/>
      <c r="ABM4" s="154"/>
      <c r="ABN4" s="154"/>
      <c r="ABO4" s="154"/>
      <c r="ABP4" s="154"/>
      <c r="ABQ4" s="154"/>
      <c r="ABR4" s="154"/>
      <c r="ABS4" s="154"/>
      <c r="ABT4" s="154"/>
      <c r="ABU4" s="154"/>
      <c r="ABV4" s="154"/>
      <c r="ABW4" s="154"/>
      <c r="ABX4" s="154"/>
      <c r="ABY4" s="154"/>
      <c r="ABZ4" s="154"/>
      <c r="ACA4" s="154"/>
      <c r="ACB4" s="154"/>
      <c r="ACC4" s="154"/>
      <c r="ACD4" s="154"/>
      <c r="ACE4" s="154"/>
      <c r="ACF4" s="154"/>
      <c r="ACG4" s="154"/>
      <c r="ACH4" s="154"/>
      <c r="ACI4" s="154"/>
      <c r="ACJ4" s="154"/>
      <c r="ACK4" s="154"/>
      <c r="ACL4" s="154"/>
      <c r="ACM4" s="154"/>
      <c r="ACN4" s="154"/>
      <c r="ACO4" s="154"/>
      <c r="ACP4" s="154"/>
      <c r="ACQ4" s="154"/>
      <c r="ACR4" s="154"/>
      <c r="ACS4" s="154"/>
      <c r="ACT4" s="154"/>
      <c r="ACU4" s="154"/>
      <c r="ACV4" s="154"/>
      <c r="ACW4" s="154"/>
      <c r="ACX4" s="154"/>
      <c r="ACY4" s="154"/>
      <c r="ACZ4" s="154"/>
      <c r="ADA4" s="154"/>
      <c r="ADB4" s="154"/>
      <c r="ADC4" s="154"/>
      <c r="ADD4" s="154"/>
      <c r="ADE4" s="154"/>
      <c r="ADF4" s="154"/>
      <c r="ADG4" s="154"/>
      <c r="ADH4" s="154"/>
      <c r="ADI4" s="154"/>
      <c r="ADJ4" s="154"/>
      <c r="ADK4" s="154"/>
      <c r="ADL4" s="154"/>
      <c r="ADM4" s="154"/>
      <c r="ADN4" s="154"/>
      <c r="ADO4" s="154"/>
      <c r="ADP4" s="154"/>
      <c r="ADQ4" s="154"/>
      <c r="ADR4" s="154"/>
      <c r="ADS4" s="154"/>
      <c r="ADT4" s="154"/>
      <c r="ADU4" s="154"/>
      <c r="ADV4" s="154"/>
      <c r="ADW4" s="154"/>
      <c r="ADX4" s="154"/>
      <c r="ADY4" s="154"/>
      <c r="ADZ4" s="154"/>
      <c r="AEA4" s="154"/>
      <c r="AEB4" s="154"/>
      <c r="AEC4" s="154"/>
      <c r="AED4" s="154"/>
      <c r="AEE4" s="154"/>
      <c r="AEF4" s="154"/>
      <c r="AEG4" s="154"/>
      <c r="AEH4" s="154"/>
      <c r="AEI4" s="154"/>
      <c r="AEJ4" s="154"/>
      <c r="AEK4" s="154"/>
      <c r="AEL4" s="154"/>
      <c r="AEM4" s="154"/>
      <c r="AEN4" s="154"/>
      <c r="AEO4" s="154"/>
      <c r="AEP4" s="154"/>
      <c r="AEQ4" s="154"/>
      <c r="AER4" s="154"/>
      <c r="AES4" s="154"/>
      <c r="AET4" s="154"/>
      <c r="AEU4" s="154"/>
      <c r="AEV4" s="154"/>
      <c r="AEW4" s="154"/>
      <c r="AEX4" s="154"/>
      <c r="AEY4" s="154"/>
      <c r="AEZ4" s="154"/>
      <c r="AFA4" s="154"/>
      <c r="AFB4" s="154"/>
      <c r="AFC4" s="154"/>
      <c r="AFD4" s="154"/>
      <c r="AFE4" s="154"/>
      <c r="AFF4" s="154"/>
      <c r="AFG4" s="154"/>
      <c r="AFH4" s="154"/>
      <c r="AFI4" s="154"/>
      <c r="AFJ4" s="154"/>
      <c r="AFK4" s="154"/>
      <c r="AFL4" s="154"/>
      <c r="AFM4" s="154"/>
      <c r="AFN4" s="154"/>
      <c r="AFO4" s="154"/>
      <c r="AFP4" s="154"/>
      <c r="AFQ4" s="154"/>
      <c r="AFR4" s="154"/>
      <c r="AFS4" s="154"/>
      <c r="AFT4" s="154"/>
      <c r="AFU4" s="154"/>
      <c r="AFV4" s="154"/>
      <c r="AFW4" s="154"/>
      <c r="AFX4" s="154"/>
      <c r="AFY4" s="154"/>
      <c r="AFZ4" s="154"/>
      <c r="AGA4" s="154"/>
      <c r="AGB4" s="154"/>
      <c r="AGC4" s="154"/>
      <c r="AGD4" s="154"/>
      <c r="AGE4" s="154"/>
      <c r="AGF4" s="154"/>
      <c r="AGG4" s="154"/>
      <c r="AGH4" s="154"/>
      <c r="AGI4" s="154"/>
      <c r="AGJ4" s="154"/>
      <c r="AGK4" s="154"/>
      <c r="AGL4" s="154"/>
      <c r="AGM4" s="154"/>
      <c r="AGN4" s="154"/>
      <c r="AGO4" s="154"/>
      <c r="AGP4" s="154"/>
      <c r="AGQ4" s="154"/>
      <c r="AGR4" s="154"/>
      <c r="AGS4" s="154"/>
      <c r="AGT4" s="154"/>
      <c r="AGU4" s="154"/>
      <c r="AGV4" s="154"/>
      <c r="AGW4" s="154"/>
      <c r="AGX4" s="154"/>
      <c r="AGY4" s="154"/>
      <c r="AGZ4" s="154"/>
      <c r="AHA4" s="154"/>
      <c r="AHB4" s="154"/>
      <c r="AHC4" s="154"/>
      <c r="AHD4" s="154"/>
      <c r="AHE4" s="154"/>
      <c r="AHF4" s="154"/>
      <c r="AHG4" s="154"/>
      <c r="AHH4" s="154"/>
      <c r="AHI4" s="154"/>
      <c r="AHJ4" s="154"/>
      <c r="AHK4" s="154"/>
      <c r="AHL4" s="154"/>
      <c r="AHM4" s="154"/>
      <c r="AHN4" s="154"/>
      <c r="AHO4" s="154"/>
      <c r="AHP4" s="154"/>
      <c r="AHQ4" s="154"/>
      <c r="AHR4" s="154"/>
      <c r="AHS4" s="154"/>
      <c r="AHT4" s="154"/>
      <c r="AHU4" s="154"/>
      <c r="AHV4" s="154"/>
      <c r="AHW4" s="154"/>
      <c r="AHX4" s="154"/>
      <c r="AHY4" s="154"/>
      <c r="AHZ4" s="154"/>
      <c r="AIA4" s="154"/>
      <c r="AIB4" s="154"/>
      <c r="AIC4" s="154"/>
      <c r="AID4" s="154"/>
      <c r="AIE4" s="154"/>
      <c r="AIF4" s="154"/>
      <c r="AIG4" s="154"/>
      <c r="AIH4" s="154"/>
      <c r="AII4" s="154"/>
      <c r="AIJ4" s="154"/>
      <c r="AIK4" s="154"/>
      <c r="AIL4" s="154"/>
      <c r="AIM4" s="154"/>
      <c r="AIN4" s="154"/>
      <c r="AIO4" s="154"/>
      <c r="AIP4" s="154"/>
      <c r="AIQ4" s="154"/>
      <c r="AIR4" s="154"/>
      <c r="AIS4" s="154"/>
      <c r="AIT4" s="154"/>
      <c r="AIU4" s="154"/>
      <c r="AIV4" s="154"/>
      <c r="AIW4" s="154"/>
      <c r="AIX4" s="154"/>
      <c r="AIY4" s="154"/>
      <c r="AIZ4" s="154"/>
      <c r="AJA4" s="154"/>
      <c r="AJB4" s="154"/>
      <c r="AJC4" s="154"/>
      <c r="AJD4" s="154"/>
      <c r="AJE4" s="154"/>
      <c r="AJF4" s="154"/>
      <c r="AJG4" s="154"/>
      <c r="AJH4" s="154"/>
      <c r="AJI4" s="154"/>
      <c r="AJJ4" s="154"/>
      <c r="AJK4" s="154"/>
      <c r="AJL4" s="154"/>
      <c r="AJM4" s="154"/>
      <c r="AJN4" s="154"/>
      <c r="AJO4" s="154"/>
      <c r="AJP4" s="154"/>
      <c r="AJQ4" s="154"/>
      <c r="AJR4" s="154"/>
      <c r="AJS4" s="154"/>
      <c r="AJT4" s="154"/>
      <c r="AJU4" s="154"/>
      <c r="AJV4" s="154"/>
      <c r="AJW4" s="154"/>
      <c r="AJX4" s="154"/>
      <c r="AJY4" s="154"/>
      <c r="AJZ4" s="154"/>
      <c r="AKA4" s="154"/>
      <c r="AKB4" s="154"/>
      <c r="AKC4" s="154"/>
      <c r="AKD4" s="154"/>
      <c r="AKE4" s="154"/>
      <c r="AKF4" s="154"/>
      <c r="AKG4" s="154"/>
      <c r="AKH4" s="154"/>
      <c r="AKI4" s="154"/>
      <c r="AKJ4" s="154"/>
      <c r="AKK4" s="154"/>
      <c r="AKL4" s="154"/>
      <c r="AKM4" s="154"/>
      <c r="AKN4" s="154"/>
      <c r="AKO4" s="154"/>
      <c r="AKP4" s="154"/>
      <c r="AKQ4" s="154"/>
      <c r="AKR4" s="154"/>
      <c r="AKS4" s="154"/>
      <c r="AKT4" s="154"/>
      <c r="AKU4" s="154"/>
      <c r="AKV4" s="154"/>
      <c r="AKW4" s="154"/>
      <c r="AKX4" s="154"/>
      <c r="AKY4" s="154"/>
      <c r="AKZ4" s="154"/>
      <c r="ALA4" s="154"/>
      <c r="ALB4" s="154"/>
      <c r="ALC4" s="154"/>
      <c r="ALD4" s="154"/>
      <c r="ALE4" s="154"/>
      <c r="ALF4" s="154"/>
      <c r="ALG4" s="154"/>
      <c r="ALH4" s="154"/>
      <c r="ALI4" s="154"/>
      <c r="ALJ4" s="154"/>
      <c r="ALK4" s="154"/>
      <c r="ALL4" s="154"/>
      <c r="ALM4" s="154"/>
      <c r="ALN4" s="154"/>
      <c r="ALO4" s="154"/>
      <c r="ALP4" s="154"/>
      <c r="ALQ4" s="154"/>
      <c r="ALR4" s="154"/>
      <c r="ALS4" s="154"/>
      <c r="ALT4" s="154"/>
      <c r="ALU4" s="154"/>
      <c r="ALV4" s="154"/>
      <c r="ALW4" s="154"/>
      <c r="ALX4" s="154"/>
      <c r="ALY4" s="154"/>
      <c r="ALZ4" s="154"/>
      <c r="AMA4" s="154"/>
      <c r="AMB4" s="154"/>
      <c r="AMC4" s="154"/>
      <c r="AMD4" s="154"/>
      <c r="AME4" s="154"/>
      <c r="AMF4" s="154"/>
      <c r="AMG4" s="154"/>
      <c r="AMH4" s="154"/>
      <c r="AMI4" s="154"/>
      <c r="AMJ4" s="154"/>
      <c r="AMK4" s="154"/>
    </row>
    <row r="5" spans="1:1025" s="413" customFormat="1" ht="8.25" x14ac:dyDescent="0.15">
      <c r="A5" s="154"/>
      <c r="B5" s="172" t="s">
        <v>27</v>
      </c>
      <c r="C5" s="173">
        <f>RCL!C29</f>
        <v>155190088.60999998</v>
      </c>
      <c r="D5" s="173">
        <f>RCL!D29</f>
        <v>12268754.699999999</v>
      </c>
      <c r="E5" s="173">
        <f>RCL!E29</f>
        <v>14358486.739999998</v>
      </c>
      <c r="F5" s="174">
        <f>RCL!F29</f>
        <v>12917083.41</v>
      </c>
      <c r="G5" s="173">
        <f>RCL!G29</f>
        <v>11295069.219999999</v>
      </c>
      <c r="H5" s="174">
        <f>RCL!H29</f>
        <v>12791320.41</v>
      </c>
      <c r="I5" s="173">
        <f>RCL!I29</f>
        <v>14233897.290000001</v>
      </c>
      <c r="J5" s="173">
        <f>RCL!J29</f>
        <v>16856052.77</v>
      </c>
      <c r="K5" s="173">
        <f>RCL!K29</f>
        <v>11468799.140000001</v>
      </c>
      <c r="L5" s="173">
        <f>RCL!L29</f>
        <v>12323700.130000001</v>
      </c>
      <c r="M5" s="173">
        <f>RCL!M29</f>
        <v>11779027.590000002</v>
      </c>
      <c r="N5" s="173">
        <f>RCL!N29</f>
        <v>11813012.889999999</v>
      </c>
      <c r="O5" s="173">
        <f>RCL!O29</f>
        <v>13084884.319999998</v>
      </c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  <c r="IW5" s="154"/>
      <c r="IX5" s="154"/>
      <c r="IY5" s="154"/>
      <c r="IZ5" s="154"/>
      <c r="JA5" s="154"/>
      <c r="JB5" s="154"/>
      <c r="JC5" s="154"/>
      <c r="JD5" s="154"/>
      <c r="JE5" s="154"/>
      <c r="JF5" s="154"/>
      <c r="JG5" s="154"/>
      <c r="JH5" s="154"/>
      <c r="JI5" s="154"/>
      <c r="JJ5" s="154"/>
      <c r="JK5" s="154"/>
      <c r="JL5" s="154"/>
      <c r="JM5" s="154"/>
      <c r="JN5" s="154"/>
      <c r="JO5" s="154"/>
      <c r="JP5" s="154"/>
      <c r="JQ5" s="154"/>
      <c r="JR5" s="154"/>
      <c r="JS5" s="154"/>
      <c r="JT5" s="154"/>
      <c r="JU5" s="154"/>
      <c r="JV5" s="154"/>
      <c r="JW5" s="154"/>
      <c r="JX5" s="154"/>
      <c r="JY5" s="154"/>
      <c r="JZ5" s="154"/>
      <c r="KA5" s="154"/>
      <c r="KB5" s="154"/>
      <c r="KC5" s="154"/>
      <c r="KD5" s="154"/>
      <c r="KE5" s="154"/>
      <c r="KF5" s="154"/>
      <c r="KG5" s="154"/>
      <c r="KH5" s="154"/>
      <c r="KI5" s="154"/>
      <c r="KJ5" s="154"/>
      <c r="KK5" s="154"/>
      <c r="KL5" s="154"/>
      <c r="KM5" s="154"/>
      <c r="KN5" s="154"/>
      <c r="KO5" s="154"/>
      <c r="KP5" s="154"/>
      <c r="KQ5" s="154"/>
      <c r="KR5" s="154"/>
      <c r="KS5" s="154"/>
      <c r="KT5" s="154"/>
      <c r="KU5" s="154"/>
      <c r="KV5" s="154"/>
      <c r="KW5" s="154"/>
      <c r="KX5" s="154"/>
      <c r="KY5" s="154"/>
      <c r="KZ5" s="154"/>
      <c r="LA5" s="154"/>
      <c r="LB5" s="154"/>
      <c r="LC5" s="154"/>
      <c r="LD5" s="154"/>
      <c r="LE5" s="154"/>
      <c r="LF5" s="154"/>
      <c r="LG5" s="154"/>
      <c r="LH5" s="154"/>
      <c r="LI5" s="154"/>
      <c r="LJ5" s="154"/>
      <c r="LK5" s="154"/>
      <c r="LL5" s="154"/>
      <c r="LM5" s="154"/>
      <c r="LN5" s="154"/>
      <c r="LO5" s="154"/>
      <c r="LP5" s="154"/>
      <c r="LQ5" s="154"/>
      <c r="LR5" s="154"/>
      <c r="LS5" s="154"/>
      <c r="LT5" s="154"/>
      <c r="LU5" s="154"/>
      <c r="LV5" s="154"/>
      <c r="LW5" s="154"/>
      <c r="LX5" s="154"/>
      <c r="LY5" s="154"/>
      <c r="LZ5" s="154"/>
      <c r="MA5" s="154"/>
      <c r="MB5" s="154"/>
      <c r="MC5" s="154"/>
      <c r="MD5" s="154"/>
      <c r="ME5" s="154"/>
      <c r="MF5" s="154"/>
      <c r="MG5" s="154"/>
      <c r="MH5" s="154"/>
      <c r="MI5" s="154"/>
      <c r="MJ5" s="154"/>
      <c r="MK5" s="154"/>
      <c r="ML5" s="154"/>
      <c r="MM5" s="154"/>
      <c r="MN5" s="154"/>
      <c r="MO5" s="154"/>
      <c r="MP5" s="154"/>
      <c r="MQ5" s="154"/>
      <c r="MR5" s="154"/>
      <c r="MS5" s="154"/>
      <c r="MT5" s="154"/>
      <c r="MU5" s="154"/>
      <c r="MV5" s="154"/>
      <c r="MW5" s="154"/>
      <c r="MX5" s="154"/>
      <c r="MY5" s="154"/>
      <c r="MZ5" s="154"/>
      <c r="NA5" s="154"/>
      <c r="NB5" s="154"/>
      <c r="NC5" s="154"/>
      <c r="ND5" s="154"/>
      <c r="NE5" s="154"/>
      <c r="NF5" s="154"/>
      <c r="NG5" s="154"/>
      <c r="NH5" s="154"/>
      <c r="NI5" s="154"/>
      <c r="NJ5" s="154"/>
      <c r="NK5" s="154"/>
      <c r="NL5" s="154"/>
      <c r="NM5" s="154"/>
      <c r="NN5" s="154"/>
      <c r="NO5" s="154"/>
      <c r="NP5" s="154"/>
      <c r="NQ5" s="154"/>
      <c r="NR5" s="154"/>
      <c r="NS5" s="154"/>
      <c r="NT5" s="154"/>
      <c r="NU5" s="154"/>
      <c r="NV5" s="154"/>
      <c r="NW5" s="154"/>
      <c r="NX5" s="154"/>
      <c r="NY5" s="154"/>
      <c r="NZ5" s="154"/>
      <c r="OA5" s="154"/>
      <c r="OB5" s="154"/>
      <c r="OC5" s="154"/>
      <c r="OD5" s="154"/>
      <c r="OE5" s="154"/>
      <c r="OF5" s="154"/>
      <c r="OG5" s="154"/>
      <c r="OH5" s="154"/>
      <c r="OI5" s="154"/>
      <c r="OJ5" s="154"/>
      <c r="OK5" s="154"/>
      <c r="OL5" s="154"/>
      <c r="OM5" s="154"/>
      <c r="ON5" s="154"/>
      <c r="OO5" s="154"/>
      <c r="OP5" s="154"/>
      <c r="OQ5" s="154"/>
      <c r="OR5" s="154"/>
      <c r="OS5" s="154"/>
      <c r="OT5" s="154"/>
      <c r="OU5" s="154"/>
      <c r="OV5" s="154"/>
      <c r="OW5" s="154"/>
      <c r="OX5" s="154"/>
      <c r="OY5" s="154"/>
      <c r="OZ5" s="154"/>
      <c r="PA5" s="154"/>
      <c r="PB5" s="154"/>
      <c r="PC5" s="154"/>
      <c r="PD5" s="154"/>
      <c r="PE5" s="154"/>
      <c r="PF5" s="154"/>
      <c r="PG5" s="154"/>
      <c r="PH5" s="154"/>
      <c r="PI5" s="154"/>
      <c r="PJ5" s="154"/>
      <c r="PK5" s="154"/>
      <c r="PL5" s="154"/>
      <c r="PM5" s="154"/>
      <c r="PN5" s="154"/>
      <c r="PO5" s="154"/>
      <c r="PP5" s="154"/>
      <c r="PQ5" s="154"/>
      <c r="PR5" s="154"/>
      <c r="PS5" s="154"/>
      <c r="PT5" s="154"/>
      <c r="PU5" s="154"/>
      <c r="PV5" s="154"/>
      <c r="PW5" s="154"/>
      <c r="PX5" s="154"/>
      <c r="PY5" s="154"/>
      <c r="PZ5" s="154"/>
      <c r="QA5" s="154"/>
      <c r="QB5" s="154"/>
      <c r="QC5" s="154"/>
      <c r="QD5" s="154"/>
      <c r="QE5" s="154"/>
      <c r="QF5" s="154"/>
      <c r="QG5" s="154"/>
      <c r="QH5" s="154"/>
      <c r="QI5" s="154"/>
      <c r="QJ5" s="154"/>
      <c r="QK5" s="154"/>
      <c r="QL5" s="154"/>
      <c r="QM5" s="154"/>
      <c r="QN5" s="154"/>
      <c r="QO5" s="154"/>
      <c r="QP5" s="154"/>
      <c r="QQ5" s="154"/>
      <c r="QR5" s="154"/>
      <c r="QS5" s="154"/>
      <c r="QT5" s="154"/>
      <c r="QU5" s="154"/>
      <c r="QV5" s="154"/>
      <c r="QW5" s="154"/>
      <c r="QX5" s="154"/>
      <c r="QY5" s="154"/>
      <c r="QZ5" s="154"/>
      <c r="RA5" s="154"/>
      <c r="RB5" s="154"/>
      <c r="RC5" s="154"/>
      <c r="RD5" s="154"/>
      <c r="RE5" s="154"/>
      <c r="RF5" s="154"/>
      <c r="RG5" s="154"/>
      <c r="RH5" s="154"/>
      <c r="RI5" s="154"/>
      <c r="RJ5" s="154"/>
      <c r="RK5" s="154"/>
      <c r="RL5" s="154"/>
      <c r="RM5" s="154"/>
      <c r="RN5" s="154"/>
      <c r="RO5" s="154"/>
      <c r="RP5" s="154"/>
      <c r="RQ5" s="154"/>
      <c r="RR5" s="154"/>
      <c r="RS5" s="154"/>
      <c r="RT5" s="154"/>
      <c r="RU5" s="154"/>
      <c r="RV5" s="154"/>
      <c r="RW5" s="154"/>
      <c r="RX5" s="154"/>
      <c r="RY5" s="154"/>
      <c r="RZ5" s="154"/>
      <c r="SA5" s="154"/>
      <c r="SB5" s="154"/>
      <c r="SC5" s="154"/>
      <c r="SD5" s="154"/>
      <c r="SE5" s="154"/>
      <c r="SF5" s="154"/>
      <c r="SG5" s="154"/>
      <c r="SH5" s="154"/>
      <c r="SI5" s="154"/>
      <c r="SJ5" s="154"/>
      <c r="SK5" s="154"/>
      <c r="SL5" s="154"/>
      <c r="SM5" s="154"/>
      <c r="SN5" s="154"/>
      <c r="SO5" s="154"/>
      <c r="SP5" s="154"/>
      <c r="SQ5" s="154"/>
      <c r="SR5" s="154"/>
      <c r="SS5" s="154"/>
      <c r="ST5" s="154"/>
      <c r="SU5" s="154"/>
      <c r="SV5" s="154"/>
      <c r="SW5" s="154"/>
      <c r="SX5" s="154"/>
      <c r="SY5" s="154"/>
      <c r="SZ5" s="154"/>
      <c r="TA5" s="154"/>
      <c r="TB5" s="154"/>
      <c r="TC5" s="154"/>
      <c r="TD5" s="154"/>
      <c r="TE5" s="154"/>
      <c r="TF5" s="154"/>
      <c r="TG5" s="154"/>
      <c r="TH5" s="154"/>
      <c r="TI5" s="154"/>
      <c r="TJ5" s="154"/>
      <c r="TK5" s="154"/>
      <c r="TL5" s="154"/>
      <c r="TM5" s="154"/>
      <c r="TN5" s="154"/>
      <c r="TO5" s="154"/>
      <c r="TP5" s="154"/>
      <c r="TQ5" s="154"/>
      <c r="TR5" s="154"/>
      <c r="TS5" s="154"/>
      <c r="TT5" s="154"/>
      <c r="TU5" s="154"/>
      <c r="TV5" s="154"/>
      <c r="TW5" s="154"/>
      <c r="TX5" s="154"/>
      <c r="TY5" s="154"/>
      <c r="TZ5" s="154"/>
      <c r="UA5" s="154"/>
      <c r="UB5" s="154"/>
      <c r="UC5" s="154"/>
      <c r="UD5" s="154"/>
      <c r="UE5" s="154"/>
      <c r="UF5" s="154"/>
      <c r="UG5" s="154"/>
      <c r="UH5" s="154"/>
      <c r="UI5" s="154"/>
      <c r="UJ5" s="154"/>
      <c r="UK5" s="154"/>
      <c r="UL5" s="154"/>
      <c r="UM5" s="154"/>
      <c r="UN5" s="154"/>
      <c r="UO5" s="154"/>
      <c r="UP5" s="154"/>
      <c r="UQ5" s="154"/>
      <c r="UR5" s="154"/>
      <c r="US5" s="154"/>
      <c r="UT5" s="154"/>
      <c r="UU5" s="154"/>
      <c r="UV5" s="154"/>
      <c r="UW5" s="154"/>
      <c r="UX5" s="154"/>
      <c r="UY5" s="154"/>
      <c r="UZ5" s="154"/>
      <c r="VA5" s="154"/>
      <c r="VB5" s="154"/>
      <c r="VC5" s="154"/>
      <c r="VD5" s="154"/>
      <c r="VE5" s="154"/>
      <c r="VF5" s="154"/>
      <c r="VG5" s="154"/>
      <c r="VH5" s="154"/>
      <c r="VI5" s="154"/>
      <c r="VJ5" s="154"/>
      <c r="VK5" s="154"/>
      <c r="VL5" s="154"/>
      <c r="VM5" s="154"/>
      <c r="VN5" s="154"/>
      <c r="VO5" s="154"/>
      <c r="VP5" s="154"/>
      <c r="VQ5" s="154"/>
      <c r="VR5" s="154"/>
      <c r="VS5" s="154"/>
      <c r="VT5" s="154"/>
      <c r="VU5" s="154"/>
      <c r="VV5" s="154"/>
      <c r="VW5" s="154"/>
      <c r="VX5" s="154"/>
      <c r="VY5" s="154"/>
      <c r="VZ5" s="154"/>
      <c r="WA5" s="154"/>
      <c r="WB5" s="154"/>
      <c r="WC5" s="154"/>
      <c r="WD5" s="154"/>
      <c r="WE5" s="154"/>
      <c r="WF5" s="154"/>
      <c r="WG5" s="154"/>
      <c r="WH5" s="154"/>
      <c r="WI5" s="154"/>
      <c r="WJ5" s="154"/>
      <c r="WK5" s="154"/>
      <c r="WL5" s="154"/>
      <c r="WM5" s="154"/>
      <c r="WN5" s="154"/>
      <c r="WO5" s="154"/>
      <c r="WP5" s="154"/>
      <c r="WQ5" s="154"/>
      <c r="WR5" s="154"/>
      <c r="WS5" s="154"/>
      <c r="WT5" s="154"/>
      <c r="WU5" s="154"/>
      <c r="WV5" s="154"/>
      <c r="WW5" s="154"/>
      <c r="WX5" s="154"/>
      <c r="WY5" s="154"/>
      <c r="WZ5" s="154"/>
      <c r="XA5" s="154"/>
      <c r="XB5" s="154"/>
      <c r="XC5" s="154"/>
      <c r="XD5" s="154"/>
      <c r="XE5" s="154"/>
      <c r="XF5" s="154"/>
      <c r="XG5" s="154"/>
      <c r="XH5" s="154"/>
      <c r="XI5" s="154"/>
      <c r="XJ5" s="154"/>
      <c r="XK5" s="154"/>
      <c r="XL5" s="154"/>
      <c r="XM5" s="154"/>
      <c r="XN5" s="154"/>
      <c r="XO5" s="154"/>
      <c r="XP5" s="154"/>
      <c r="XQ5" s="154"/>
      <c r="XR5" s="154"/>
      <c r="XS5" s="154"/>
      <c r="XT5" s="154"/>
      <c r="XU5" s="154"/>
      <c r="XV5" s="154"/>
      <c r="XW5" s="154"/>
      <c r="XX5" s="154"/>
      <c r="XY5" s="154"/>
      <c r="XZ5" s="154"/>
      <c r="YA5" s="154"/>
      <c r="YB5" s="154"/>
      <c r="YC5" s="154"/>
      <c r="YD5" s="154"/>
      <c r="YE5" s="154"/>
      <c r="YF5" s="154"/>
      <c r="YG5" s="154"/>
      <c r="YH5" s="154"/>
      <c r="YI5" s="154"/>
      <c r="YJ5" s="154"/>
      <c r="YK5" s="154"/>
      <c r="YL5" s="154"/>
      <c r="YM5" s="154"/>
      <c r="YN5" s="154"/>
      <c r="YO5" s="154"/>
      <c r="YP5" s="154"/>
      <c r="YQ5" s="154"/>
      <c r="YR5" s="154"/>
      <c r="YS5" s="154"/>
      <c r="YT5" s="154"/>
      <c r="YU5" s="154"/>
      <c r="YV5" s="154"/>
      <c r="YW5" s="154"/>
      <c r="YX5" s="154"/>
      <c r="YY5" s="154"/>
      <c r="YZ5" s="154"/>
      <c r="ZA5" s="154"/>
      <c r="ZB5" s="154"/>
      <c r="ZC5" s="154"/>
      <c r="ZD5" s="154"/>
      <c r="ZE5" s="154"/>
      <c r="ZF5" s="154"/>
      <c r="ZG5" s="154"/>
      <c r="ZH5" s="154"/>
      <c r="ZI5" s="154"/>
      <c r="ZJ5" s="154"/>
      <c r="ZK5" s="154"/>
      <c r="ZL5" s="154"/>
      <c r="ZM5" s="154"/>
      <c r="ZN5" s="154"/>
      <c r="ZO5" s="154"/>
      <c r="ZP5" s="154"/>
      <c r="ZQ5" s="154"/>
      <c r="ZR5" s="154"/>
      <c r="ZS5" s="154"/>
      <c r="ZT5" s="154"/>
      <c r="ZU5" s="154"/>
      <c r="ZV5" s="154"/>
      <c r="ZW5" s="154"/>
      <c r="ZX5" s="154"/>
      <c r="ZY5" s="154"/>
      <c r="ZZ5" s="154"/>
      <c r="AAA5" s="154"/>
      <c r="AAB5" s="154"/>
      <c r="AAC5" s="154"/>
      <c r="AAD5" s="154"/>
      <c r="AAE5" s="154"/>
      <c r="AAF5" s="154"/>
      <c r="AAG5" s="154"/>
      <c r="AAH5" s="154"/>
      <c r="AAI5" s="154"/>
      <c r="AAJ5" s="154"/>
      <c r="AAK5" s="154"/>
      <c r="AAL5" s="154"/>
      <c r="AAM5" s="154"/>
      <c r="AAN5" s="154"/>
      <c r="AAO5" s="154"/>
      <c r="AAP5" s="154"/>
      <c r="AAQ5" s="154"/>
      <c r="AAR5" s="154"/>
      <c r="AAS5" s="154"/>
      <c r="AAT5" s="154"/>
      <c r="AAU5" s="154"/>
      <c r="AAV5" s="154"/>
      <c r="AAW5" s="154"/>
      <c r="AAX5" s="154"/>
      <c r="AAY5" s="154"/>
      <c r="AAZ5" s="154"/>
      <c r="ABA5" s="154"/>
      <c r="ABB5" s="154"/>
      <c r="ABC5" s="154"/>
      <c r="ABD5" s="154"/>
      <c r="ABE5" s="154"/>
      <c r="ABF5" s="154"/>
      <c r="ABG5" s="154"/>
      <c r="ABH5" s="154"/>
      <c r="ABI5" s="154"/>
      <c r="ABJ5" s="154"/>
      <c r="ABK5" s="154"/>
      <c r="ABL5" s="154"/>
      <c r="ABM5" s="154"/>
      <c r="ABN5" s="154"/>
      <c r="ABO5" s="154"/>
      <c r="ABP5" s="154"/>
      <c r="ABQ5" s="154"/>
      <c r="ABR5" s="154"/>
      <c r="ABS5" s="154"/>
      <c r="ABT5" s="154"/>
      <c r="ABU5" s="154"/>
      <c r="ABV5" s="154"/>
      <c r="ABW5" s="154"/>
      <c r="ABX5" s="154"/>
      <c r="ABY5" s="154"/>
      <c r="ABZ5" s="154"/>
      <c r="ACA5" s="154"/>
      <c r="ACB5" s="154"/>
      <c r="ACC5" s="154"/>
      <c r="ACD5" s="154"/>
      <c r="ACE5" s="154"/>
      <c r="ACF5" s="154"/>
      <c r="ACG5" s="154"/>
      <c r="ACH5" s="154"/>
      <c r="ACI5" s="154"/>
      <c r="ACJ5" s="154"/>
      <c r="ACK5" s="154"/>
      <c r="ACL5" s="154"/>
      <c r="ACM5" s="154"/>
      <c r="ACN5" s="154"/>
      <c r="ACO5" s="154"/>
      <c r="ACP5" s="154"/>
      <c r="ACQ5" s="154"/>
      <c r="ACR5" s="154"/>
      <c r="ACS5" s="154"/>
      <c r="ACT5" s="154"/>
      <c r="ACU5" s="154"/>
      <c r="ACV5" s="154"/>
      <c r="ACW5" s="154"/>
      <c r="ACX5" s="154"/>
      <c r="ACY5" s="154"/>
      <c r="ACZ5" s="154"/>
      <c r="ADA5" s="154"/>
      <c r="ADB5" s="154"/>
      <c r="ADC5" s="154"/>
      <c r="ADD5" s="154"/>
      <c r="ADE5" s="154"/>
      <c r="ADF5" s="154"/>
      <c r="ADG5" s="154"/>
      <c r="ADH5" s="154"/>
      <c r="ADI5" s="154"/>
      <c r="ADJ5" s="154"/>
      <c r="ADK5" s="154"/>
      <c r="ADL5" s="154"/>
      <c r="ADM5" s="154"/>
      <c r="ADN5" s="154"/>
      <c r="ADO5" s="154"/>
      <c r="ADP5" s="154"/>
      <c r="ADQ5" s="154"/>
      <c r="ADR5" s="154"/>
      <c r="ADS5" s="154"/>
      <c r="ADT5" s="154"/>
      <c r="ADU5" s="154"/>
      <c r="ADV5" s="154"/>
      <c r="ADW5" s="154"/>
      <c r="ADX5" s="154"/>
      <c r="ADY5" s="154"/>
      <c r="ADZ5" s="154"/>
      <c r="AEA5" s="154"/>
      <c r="AEB5" s="154"/>
      <c r="AEC5" s="154"/>
      <c r="AED5" s="154"/>
      <c r="AEE5" s="154"/>
      <c r="AEF5" s="154"/>
      <c r="AEG5" s="154"/>
      <c r="AEH5" s="154"/>
      <c r="AEI5" s="154"/>
      <c r="AEJ5" s="154"/>
      <c r="AEK5" s="154"/>
      <c r="AEL5" s="154"/>
      <c r="AEM5" s="154"/>
      <c r="AEN5" s="154"/>
      <c r="AEO5" s="154"/>
      <c r="AEP5" s="154"/>
      <c r="AEQ5" s="154"/>
      <c r="AER5" s="154"/>
      <c r="AES5" s="154"/>
      <c r="AET5" s="154"/>
      <c r="AEU5" s="154"/>
      <c r="AEV5" s="154"/>
      <c r="AEW5" s="154"/>
      <c r="AEX5" s="154"/>
      <c r="AEY5" s="154"/>
      <c r="AEZ5" s="154"/>
      <c r="AFA5" s="154"/>
      <c r="AFB5" s="154"/>
      <c r="AFC5" s="154"/>
      <c r="AFD5" s="154"/>
      <c r="AFE5" s="154"/>
      <c r="AFF5" s="154"/>
      <c r="AFG5" s="154"/>
      <c r="AFH5" s="154"/>
      <c r="AFI5" s="154"/>
      <c r="AFJ5" s="154"/>
      <c r="AFK5" s="154"/>
      <c r="AFL5" s="154"/>
      <c r="AFM5" s="154"/>
      <c r="AFN5" s="154"/>
      <c r="AFO5" s="154"/>
      <c r="AFP5" s="154"/>
      <c r="AFQ5" s="154"/>
      <c r="AFR5" s="154"/>
      <c r="AFS5" s="154"/>
      <c r="AFT5" s="154"/>
      <c r="AFU5" s="154"/>
      <c r="AFV5" s="154"/>
      <c r="AFW5" s="154"/>
      <c r="AFX5" s="154"/>
      <c r="AFY5" s="154"/>
      <c r="AFZ5" s="154"/>
      <c r="AGA5" s="154"/>
      <c r="AGB5" s="154"/>
      <c r="AGC5" s="154"/>
      <c r="AGD5" s="154"/>
      <c r="AGE5" s="154"/>
      <c r="AGF5" s="154"/>
      <c r="AGG5" s="154"/>
      <c r="AGH5" s="154"/>
      <c r="AGI5" s="154"/>
      <c r="AGJ5" s="154"/>
      <c r="AGK5" s="154"/>
      <c r="AGL5" s="154"/>
      <c r="AGM5" s="154"/>
      <c r="AGN5" s="154"/>
      <c r="AGO5" s="154"/>
      <c r="AGP5" s="154"/>
      <c r="AGQ5" s="154"/>
      <c r="AGR5" s="154"/>
      <c r="AGS5" s="154"/>
      <c r="AGT5" s="154"/>
      <c r="AGU5" s="154"/>
      <c r="AGV5" s="154"/>
      <c r="AGW5" s="154"/>
      <c r="AGX5" s="154"/>
      <c r="AGY5" s="154"/>
      <c r="AGZ5" s="154"/>
      <c r="AHA5" s="154"/>
      <c r="AHB5" s="154"/>
      <c r="AHC5" s="154"/>
      <c r="AHD5" s="154"/>
      <c r="AHE5" s="154"/>
      <c r="AHF5" s="154"/>
      <c r="AHG5" s="154"/>
      <c r="AHH5" s="154"/>
      <c r="AHI5" s="154"/>
      <c r="AHJ5" s="154"/>
      <c r="AHK5" s="154"/>
      <c r="AHL5" s="154"/>
      <c r="AHM5" s="154"/>
      <c r="AHN5" s="154"/>
      <c r="AHO5" s="154"/>
      <c r="AHP5" s="154"/>
      <c r="AHQ5" s="154"/>
      <c r="AHR5" s="154"/>
      <c r="AHS5" s="154"/>
      <c r="AHT5" s="154"/>
      <c r="AHU5" s="154"/>
      <c r="AHV5" s="154"/>
      <c r="AHW5" s="154"/>
      <c r="AHX5" s="154"/>
      <c r="AHY5" s="154"/>
      <c r="AHZ5" s="154"/>
      <c r="AIA5" s="154"/>
      <c r="AIB5" s="154"/>
      <c r="AIC5" s="154"/>
      <c r="AID5" s="154"/>
      <c r="AIE5" s="154"/>
      <c r="AIF5" s="154"/>
      <c r="AIG5" s="154"/>
      <c r="AIH5" s="154"/>
      <c r="AII5" s="154"/>
      <c r="AIJ5" s="154"/>
      <c r="AIK5" s="154"/>
      <c r="AIL5" s="154"/>
      <c r="AIM5" s="154"/>
      <c r="AIN5" s="154"/>
      <c r="AIO5" s="154"/>
      <c r="AIP5" s="154"/>
      <c r="AIQ5" s="154"/>
      <c r="AIR5" s="154"/>
      <c r="AIS5" s="154"/>
      <c r="AIT5" s="154"/>
      <c r="AIU5" s="154"/>
      <c r="AIV5" s="154"/>
      <c r="AIW5" s="154"/>
      <c r="AIX5" s="154"/>
      <c r="AIY5" s="154"/>
      <c r="AIZ5" s="154"/>
      <c r="AJA5" s="154"/>
      <c r="AJB5" s="154"/>
      <c r="AJC5" s="154"/>
      <c r="AJD5" s="154"/>
      <c r="AJE5" s="154"/>
      <c r="AJF5" s="154"/>
      <c r="AJG5" s="154"/>
      <c r="AJH5" s="154"/>
      <c r="AJI5" s="154"/>
      <c r="AJJ5" s="154"/>
      <c r="AJK5" s="154"/>
      <c r="AJL5" s="154"/>
      <c r="AJM5" s="154"/>
      <c r="AJN5" s="154"/>
      <c r="AJO5" s="154"/>
      <c r="AJP5" s="154"/>
      <c r="AJQ5" s="154"/>
      <c r="AJR5" s="154"/>
      <c r="AJS5" s="154"/>
      <c r="AJT5" s="154"/>
      <c r="AJU5" s="154"/>
      <c r="AJV5" s="154"/>
      <c r="AJW5" s="154"/>
      <c r="AJX5" s="154"/>
      <c r="AJY5" s="154"/>
      <c r="AJZ5" s="154"/>
      <c r="AKA5" s="154"/>
      <c r="AKB5" s="154"/>
      <c r="AKC5" s="154"/>
      <c r="AKD5" s="154"/>
      <c r="AKE5" s="154"/>
      <c r="AKF5" s="154"/>
      <c r="AKG5" s="154"/>
      <c r="AKH5" s="154"/>
      <c r="AKI5" s="154"/>
      <c r="AKJ5" s="154"/>
      <c r="AKK5" s="154"/>
      <c r="AKL5" s="154"/>
      <c r="AKM5" s="154"/>
      <c r="AKN5" s="154"/>
      <c r="AKO5" s="154"/>
      <c r="AKP5" s="154"/>
      <c r="AKQ5" s="154"/>
      <c r="AKR5" s="154"/>
      <c r="AKS5" s="154"/>
      <c r="AKT5" s="154"/>
      <c r="AKU5" s="154"/>
      <c r="AKV5" s="154"/>
      <c r="AKW5" s="154"/>
      <c r="AKX5" s="154"/>
      <c r="AKY5" s="154"/>
      <c r="AKZ5" s="154"/>
      <c r="ALA5" s="154"/>
      <c r="ALB5" s="154"/>
      <c r="ALC5" s="154"/>
      <c r="ALD5" s="154"/>
      <c r="ALE5" s="154"/>
      <c r="ALF5" s="154"/>
      <c r="ALG5" s="154"/>
      <c r="ALH5" s="154"/>
      <c r="ALI5" s="154"/>
      <c r="ALJ5" s="154"/>
      <c r="ALK5" s="154"/>
      <c r="ALL5" s="154"/>
      <c r="ALM5" s="154"/>
      <c r="ALN5" s="154"/>
      <c r="ALO5" s="154"/>
      <c r="ALP5" s="154"/>
      <c r="ALQ5" s="154"/>
      <c r="ALR5" s="154"/>
      <c r="ALS5" s="154"/>
      <c r="ALT5" s="154"/>
      <c r="ALU5" s="154"/>
      <c r="ALV5" s="154"/>
      <c r="ALW5" s="154"/>
      <c r="ALX5" s="154"/>
      <c r="ALY5" s="154"/>
      <c r="ALZ5" s="154"/>
      <c r="AMA5" s="154"/>
      <c r="AMB5" s="154"/>
      <c r="AMC5" s="154"/>
      <c r="AMD5" s="154"/>
      <c r="AME5" s="154"/>
      <c r="AMF5" s="154"/>
      <c r="AMG5" s="154"/>
      <c r="AMH5" s="154"/>
      <c r="AMI5" s="154"/>
      <c r="AMJ5" s="154"/>
      <c r="AMK5" s="154"/>
    </row>
    <row r="6" spans="1:1025" s="413" customFormat="1" ht="8.25" x14ac:dyDescent="0.15">
      <c r="A6" s="154"/>
      <c r="B6" s="175" t="s">
        <v>569</v>
      </c>
      <c r="C6" s="176">
        <f>C4/C5</f>
        <v>0.49072102288298325</v>
      </c>
      <c r="D6" s="177">
        <f t="shared" ref="D6:N6" si="0">D4/D5</f>
        <v>0.5309058810997338</v>
      </c>
      <c r="E6" s="177">
        <f t="shared" si="0"/>
        <v>0.46447004526049379</v>
      </c>
      <c r="F6" s="177">
        <f t="shared" si="0"/>
        <v>0.4973156609817076</v>
      </c>
      <c r="G6" s="177">
        <f t="shared" si="0"/>
        <v>0.58983417792635728</v>
      </c>
      <c r="H6" s="177">
        <f t="shared" si="0"/>
        <v>0.49026147786098651</v>
      </c>
      <c r="I6" s="177">
        <f t="shared" si="0"/>
        <v>0.42300236929698953</v>
      </c>
      <c r="J6" s="177">
        <f t="shared" si="0"/>
        <v>0.57418980125796093</v>
      </c>
      <c r="K6" s="177">
        <f t="shared" si="0"/>
        <v>0.53565112755126687</v>
      </c>
      <c r="L6" s="177">
        <f t="shared" si="0"/>
        <v>0.49170191980320443</v>
      </c>
      <c r="M6" s="177">
        <f t="shared" si="0"/>
        <v>0.47895030357085688</v>
      </c>
      <c r="N6" s="177">
        <f t="shared" si="0"/>
        <v>0.29740797870237484</v>
      </c>
      <c r="O6" s="177">
        <f>O4/O5</f>
        <v>0.50118589248636181</v>
      </c>
      <c r="P6" s="154"/>
      <c r="Q6" s="178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  <c r="IX6" s="154"/>
      <c r="IY6" s="154"/>
      <c r="IZ6" s="154"/>
      <c r="JA6" s="154"/>
      <c r="JB6" s="154"/>
      <c r="JC6" s="154"/>
      <c r="JD6" s="154"/>
      <c r="JE6" s="154"/>
      <c r="JF6" s="154"/>
      <c r="JG6" s="154"/>
      <c r="JH6" s="154"/>
      <c r="JI6" s="154"/>
      <c r="JJ6" s="154"/>
      <c r="JK6" s="154"/>
      <c r="JL6" s="154"/>
      <c r="JM6" s="154"/>
      <c r="JN6" s="154"/>
      <c r="JO6" s="154"/>
      <c r="JP6" s="154"/>
      <c r="JQ6" s="154"/>
      <c r="JR6" s="154"/>
      <c r="JS6" s="154"/>
      <c r="JT6" s="154"/>
      <c r="JU6" s="154"/>
      <c r="JV6" s="154"/>
      <c r="JW6" s="154"/>
      <c r="JX6" s="154"/>
      <c r="JY6" s="154"/>
      <c r="JZ6" s="154"/>
      <c r="KA6" s="154"/>
      <c r="KB6" s="154"/>
      <c r="KC6" s="154"/>
      <c r="KD6" s="154"/>
      <c r="KE6" s="154"/>
      <c r="KF6" s="154"/>
      <c r="KG6" s="154"/>
      <c r="KH6" s="154"/>
      <c r="KI6" s="154"/>
      <c r="KJ6" s="154"/>
      <c r="KK6" s="154"/>
      <c r="KL6" s="154"/>
      <c r="KM6" s="154"/>
      <c r="KN6" s="154"/>
      <c r="KO6" s="154"/>
      <c r="KP6" s="154"/>
      <c r="KQ6" s="154"/>
      <c r="KR6" s="154"/>
      <c r="KS6" s="154"/>
      <c r="KT6" s="154"/>
      <c r="KU6" s="154"/>
      <c r="KV6" s="154"/>
      <c r="KW6" s="154"/>
      <c r="KX6" s="154"/>
      <c r="KY6" s="154"/>
      <c r="KZ6" s="154"/>
      <c r="LA6" s="154"/>
      <c r="LB6" s="154"/>
      <c r="LC6" s="154"/>
      <c r="LD6" s="154"/>
      <c r="LE6" s="154"/>
      <c r="LF6" s="154"/>
      <c r="LG6" s="154"/>
      <c r="LH6" s="154"/>
      <c r="LI6" s="154"/>
      <c r="LJ6" s="154"/>
      <c r="LK6" s="154"/>
      <c r="LL6" s="154"/>
      <c r="LM6" s="154"/>
      <c r="LN6" s="154"/>
      <c r="LO6" s="154"/>
      <c r="LP6" s="154"/>
      <c r="LQ6" s="154"/>
      <c r="LR6" s="154"/>
      <c r="LS6" s="154"/>
      <c r="LT6" s="154"/>
      <c r="LU6" s="154"/>
      <c r="LV6" s="154"/>
      <c r="LW6" s="154"/>
      <c r="LX6" s="154"/>
      <c r="LY6" s="154"/>
      <c r="LZ6" s="154"/>
      <c r="MA6" s="154"/>
      <c r="MB6" s="154"/>
      <c r="MC6" s="154"/>
      <c r="MD6" s="154"/>
      <c r="ME6" s="154"/>
      <c r="MF6" s="154"/>
      <c r="MG6" s="154"/>
      <c r="MH6" s="154"/>
      <c r="MI6" s="154"/>
      <c r="MJ6" s="154"/>
      <c r="MK6" s="154"/>
      <c r="ML6" s="154"/>
      <c r="MM6" s="154"/>
      <c r="MN6" s="154"/>
      <c r="MO6" s="154"/>
      <c r="MP6" s="154"/>
      <c r="MQ6" s="154"/>
      <c r="MR6" s="154"/>
      <c r="MS6" s="154"/>
      <c r="MT6" s="154"/>
      <c r="MU6" s="154"/>
      <c r="MV6" s="154"/>
      <c r="MW6" s="154"/>
      <c r="MX6" s="154"/>
      <c r="MY6" s="154"/>
      <c r="MZ6" s="154"/>
      <c r="NA6" s="154"/>
      <c r="NB6" s="154"/>
      <c r="NC6" s="154"/>
      <c r="ND6" s="154"/>
      <c r="NE6" s="154"/>
      <c r="NF6" s="154"/>
      <c r="NG6" s="154"/>
      <c r="NH6" s="154"/>
      <c r="NI6" s="154"/>
      <c r="NJ6" s="154"/>
      <c r="NK6" s="154"/>
      <c r="NL6" s="154"/>
      <c r="NM6" s="154"/>
      <c r="NN6" s="154"/>
      <c r="NO6" s="154"/>
      <c r="NP6" s="154"/>
      <c r="NQ6" s="154"/>
      <c r="NR6" s="154"/>
      <c r="NS6" s="154"/>
      <c r="NT6" s="154"/>
      <c r="NU6" s="154"/>
      <c r="NV6" s="154"/>
      <c r="NW6" s="154"/>
      <c r="NX6" s="154"/>
      <c r="NY6" s="154"/>
      <c r="NZ6" s="154"/>
      <c r="OA6" s="154"/>
      <c r="OB6" s="154"/>
      <c r="OC6" s="154"/>
      <c r="OD6" s="154"/>
      <c r="OE6" s="154"/>
      <c r="OF6" s="154"/>
      <c r="OG6" s="154"/>
      <c r="OH6" s="154"/>
      <c r="OI6" s="154"/>
      <c r="OJ6" s="154"/>
      <c r="OK6" s="154"/>
      <c r="OL6" s="154"/>
      <c r="OM6" s="154"/>
      <c r="ON6" s="154"/>
      <c r="OO6" s="154"/>
      <c r="OP6" s="154"/>
      <c r="OQ6" s="154"/>
      <c r="OR6" s="154"/>
      <c r="OS6" s="154"/>
      <c r="OT6" s="154"/>
      <c r="OU6" s="154"/>
      <c r="OV6" s="154"/>
      <c r="OW6" s="154"/>
      <c r="OX6" s="154"/>
      <c r="OY6" s="154"/>
      <c r="OZ6" s="154"/>
      <c r="PA6" s="154"/>
      <c r="PB6" s="154"/>
      <c r="PC6" s="154"/>
      <c r="PD6" s="154"/>
      <c r="PE6" s="154"/>
      <c r="PF6" s="154"/>
      <c r="PG6" s="154"/>
      <c r="PH6" s="154"/>
      <c r="PI6" s="154"/>
      <c r="PJ6" s="154"/>
      <c r="PK6" s="154"/>
      <c r="PL6" s="154"/>
      <c r="PM6" s="154"/>
      <c r="PN6" s="154"/>
      <c r="PO6" s="154"/>
      <c r="PP6" s="154"/>
      <c r="PQ6" s="154"/>
      <c r="PR6" s="154"/>
      <c r="PS6" s="154"/>
      <c r="PT6" s="154"/>
      <c r="PU6" s="154"/>
      <c r="PV6" s="154"/>
      <c r="PW6" s="154"/>
      <c r="PX6" s="154"/>
      <c r="PY6" s="154"/>
      <c r="PZ6" s="154"/>
      <c r="QA6" s="154"/>
      <c r="QB6" s="154"/>
      <c r="QC6" s="154"/>
      <c r="QD6" s="154"/>
      <c r="QE6" s="154"/>
      <c r="QF6" s="154"/>
      <c r="QG6" s="154"/>
      <c r="QH6" s="154"/>
      <c r="QI6" s="154"/>
      <c r="QJ6" s="154"/>
      <c r="QK6" s="154"/>
      <c r="QL6" s="154"/>
      <c r="QM6" s="154"/>
      <c r="QN6" s="154"/>
      <c r="QO6" s="154"/>
      <c r="QP6" s="154"/>
      <c r="QQ6" s="154"/>
      <c r="QR6" s="154"/>
      <c r="QS6" s="154"/>
      <c r="QT6" s="154"/>
      <c r="QU6" s="154"/>
      <c r="QV6" s="154"/>
      <c r="QW6" s="154"/>
      <c r="QX6" s="154"/>
      <c r="QY6" s="154"/>
      <c r="QZ6" s="154"/>
      <c r="RA6" s="154"/>
      <c r="RB6" s="154"/>
      <c r="RC6" s="154"/>
      <c r="RD6" s="154"/>
      <c r="RE6" s="154"/>
      <c r="RF6" s="154"/>
      <c r="RG6" s="154"/>
      <c r="RH6" s="154"/>
      <c r="RI6" s="154"/>
      <c r="RJ6" s="154"/>
      <c r="RK6" s="154"/>
      <c r="RL6" s="154"/>
      <c r="RM6" s="154"/>
      <c r="RN6" s="154"/>
      <c r="RO6" s="154"/>
      <c r="RP6" s="154"/>
      <c r="RQ6" s="154"/>
      <c r="RR6" s="154"/>
      <c r="RS6" s="154"/>
      <c r="RT6" s="154"/>
      <c r="RU6" s="154"/>
      <c r="RV6" s="154"/>
      <c r="RW6" s="154"/>
      <c r="RX6" s="154"/>
      <c r="RY6" s="154"/>
      <c r="RZ6" s="154"/>
      <c r="SA6" s="154"/>
      <c r="SB6" s="154"/>
      <c r="SC6" s="154"/>
      <c r="SD6" s="154"/>
      <c r="SE6" s="154"/>
      <c r="SF6" s="154"/>
      <c r="SG6" s="154"/>
      <c r="SH6" s="154"/>
      <c r="SI6" s="154"/>
      <c r="SJ6" s="154"/>
      <c r="SK6" s="154"/>
      <c r="SL6" s="154"/>
      <c r="SM6" s="154"/>
      <c r="SN6" s="154"/>
      <c r="SO6" s="154"/>
      <c r="SP6" s="154"/>
      <c r="SQ6" s="154"/>
      <c r="SR6" s="154"/>
      <c r="SS6" s="154"/>
      <c r="ST6" s="154"/>
      <c r="SU6" s="154"/>
      <c r="SV6" s="154"/>
      <c r="SW6" s="154"/>
      <c r="SX6" s="154"/>
      <c r="SY6" s="154"/>
      <c r="SZ6" s="154"/>
      <c r="TA6" s="154"/>
      <c r="TB6" s="154"/>
      <c r="TC6" s="154"/>
      <c r="TD6" s="154"/>
      <c r="TE6" s="154"/>
      <c r="TF6" s="154"/>
      <c r="TG6" s="154"/>
      <c r="TH6" s="154"/>
      <c r="TI6" s="154"/>
      <c r="TJ6" s="154"/>
      <c r="TK6" s="154"/>
      <c r="TL6" s="154"/>
      <c r="TM6" s="154"/>
      <c r="TN6" s="154"/>
      <c r="TO6" s="154"/>
      <c r="TP6" s="154"/>
      <c r="TQ6" s="154"/>
      <c r="TR6" s="154"/>
      <c r="TS6" s="154"/>
      <c r="TT6" s="154"/>
      <c r="TU6" s="154"/>
      <c r="TV6" s="154"/>
      <c r="TW6" s="154"/>
      <c r="TX6" s="154"/>
      <c r="TY6" s="154"/>
      <c r="TZ6" s="154"/>
      <c r="UA6" s="154"/>
      <c r="UB6" s="154"/>
      <c r="UC6" s="154"/>
      <c r="UD6" s="154"/>
      <c r="UE6" s="154"/>
      <c r="UF6" s="154"/>
      <c r="UG6" s="154"/>
      <c r="UH6" s="154"/>
      <c r="UI6" s="154"/>
      <c r="UJ6" s="154"/>
      <c r="UK6" s="154"/>
      <c r="UL6" s="154"/>
      <c r="UM6" s="154"/>
      <c r="UN6" s="154"/>
      <c r="UO6" s="154"/>
      <c r="UP6" s="154"/>
      <c r="UQ6" s="154"/>
      <c r="UR6" s="154"/>
      <c r="US6" s="154"/>
      <c r="UT6" s="154"/>
      <c r="UU6" s="154"/>
      <c r="UV6" s="154"/>
      <c r="UW6" s="154"/>
      <c r="UX6" s="154"/>
      <c r="UY6" s="154"/>
      <c r="UZ6" s="154"/>
      <c r="VA6" s="154"/>
      <c r="VB6" s="154"/>
      <c r="VC6" s="154"/>
      <c r="VD6" s="154"/>
      <c r="VE6" s="154"/>
      <c r="VF6" s="154"/>
      <c r="VG6" s="154"/>
      <c r="VH6" s="154"/>
      <c r="VI6" s="154"/>
      <c r="VJ6" s="154"/>
      <c r="VK6" s="154"/>
      <c r="VL6" s="154"/>
      <c r="VM6" s="154"/>
      <c r="VN6" s="154"/>
      <c r="VO6" s="154"/>
      <c r="VP6" s="154"/>
      <c r="VQ6" s="154"/>
      <c r="VR6" s="154"/>
      <c r="VS6" s="154"/>
      <c r="VT6" s="154"/>
      <c r="VU6" s="154"/>
      <c r="VV6" s="154"/>
      <c r="VW6" s="154"/>
      <c r="VX6" s="154"/>
      <c r="VY6" s="154"/>
      <c r="VZ6" s="154"/>
      <c r="WA6" s="154"/>
      <c r="WB6" s="154"/>
      <c r="WC6" s="154"/>
      <c r="WD6" s="154"/>
      <c r="WE6" s="154"/>
      <c r="WF6" s="154"/>
      <c r="WG6" s="154"/>
      <c r="WH6" s="154"/>
      <c r="WI6" s="154"/>
      <c r="WJ6" s="154"/>
      <c r="WK6" s="154"/>
      <c r="WL6" s="154"/>
      <c r="WM6" s="154"/>
      <c r="WN6" s="154"/>
      <c r="WO6" s="154"/>
      <c r="WP6" s="154"/>
      <c r="WQ6" s="154"/>
      <c r="WR6" s="154"/>
      <c r="WS6" s="154"/>
      <c r="WT6" s="154"/>
      <c r="WU6" s="154"/>
      <c r="WV6" s="154"/>
      <c r="WW6" s="154"/>
      <c r="WX6" s="154"/>
      <c r="WY6" s="154"/>
      <c r="WZ6" s="154"/>
      <c r="XA6" s="154"/>
      <c r="XB6" s="154"/>
      <c r="XC6" s="154"/>
      <c r="XD6" s="154"/>
      <c r="XE6" s="154"/>
      <c r="XF6" s="154"/>
      <c r="XG6" s="154"/>
      <c r="XH6" s="154"/>
      <c r="XI6" s="154"/>
      <c r="XJ6" s="154"/>
      <c r="XK6" s="154"/>
      <c r="XL6" s="154"/>
      <c r="XM6" s="154"/>
      <c r="XN6" s="154"/>
      <c r="XO6" s="154"/>
      <c r="XP6" s="154"/>
      <c r="XQ6" s="154"/>
      <c r="XR6" s="154"/>
      <c r="XS6" s="154"/>
      <c r="XT6" s="154"/>
      <c r="XU6" s="154"/>
      <c r="XV6" s="154"/>
      <c r="XW6" s="154"/>
      <c r="XX6" s="154"/>
      <c r="XY6" s="154"/>
      <c r="XZ6" s="154"/>
      <c r="YA6" s="154"/>
      <c r="YB6" s="154"/>
      <c r="YC6" s="154"/>
      <c r="YD6" s="154"/>
      <c r="YE6" s="154"/>
      <c r="YF6" s="154"/>
      <c r="YG6" s="154"/>
      <c r="YH6" s="154"/>
      <c r="YI6" s="154"/>
      <c r="YJ6" s="154"/>
      <c r="YK6" s="154"/>
      <c r="YL6" s="154"/>
      <c r="YM6" s="154"/>
      <c r="YN6" s="154"/>
      <c r="YO6" s="154"/>
      <c r="YP6" s="154"/>
      <c r="YQ6" s="154"/>
      <c r="YR6" s="154"/>
      <c r="YS6" s="154"/>
      <c r="YT6" s="154"/>
      <c r="YU6" s="154"/>
      <c r="YV6" s="154"/>
      <c r="YW6" s="154"/>
      <c r="YX6" s="154"/>
      <c r="YY6" s="154"/>
      <c r="YZ6" s="154"/>
      <c r="ZA6" s="154"/>
      <c r="ZB6" s="154"/>
      <c r="ZC6" s="154"/>
      <c r="ZD6" s="154"/>
      <c r="ZE6" s="154"/>
      <c r="ZF6" s="154"/>
      <c r="ZG6" s="154"/>
      <c r="ZH6" s="154"/>
      <c r="ZI6" s="154"/>
      <c r="ZJ6" s="154"/>
      <c r="ZK6" s="154"/>
      <c r="ZL6" s="154"/>
      <c r="ZM6" s="154"/>
      <c r="ZN6" s="154"/>
      <c r="ZO6" s="154"/>
      <c r="ZP6" s="154"/>
      <c r="ZQ6" s="154"/>
      <c r="ZR6" s="154"/>
      <c r="ZS6" s="154"/>
      <c r="ZT6" s="154"/>
      <c r="ZU6" s="154"/>
      <c r="ZV6" s="154"/>
      <c r="ZW6" s="154"/>
      <c r="ZX6" s="154"/>
      <c r="ZY6" s="154"/>
      <c r="ZZ6" s="154"/>
      <c r="AAA6" s="154"/>
      <c r="AAB6" s="154"/>
      <c r="AAC6" s="154"/>
      <c r="AAD6" s="154"/>
      <c r="AAE6" s="154"/>
      <c r="AAF6" s="154"/>
      <c r="AAG6" s="154"/>
      <c r="AAH6" s="154"/>
      <c r="AAI6" s="154"/>
      <c r="AAJ6" s="154"/>
      <c r="AAK6" s="154"/>
      <c r="AAL6" s="154"/>
      <c r="AAM6" s="154"/>
      <c r="AAN6" s="154"/>
      <c r="AAO6" s="154"/>
      <c r="AAP6" s="154"/>
      <c r="AAQ6" s="154"/>
      <c r="AAR6" s="154"/>
      <c r="AAS6" s="154"/>
      <c r="AAT6" s="154"/>
      <c r="AAU6" s="154"/>
      <c r="AAV6" s="154"/>
      <c r="AAW6" s="154"/>
      <c r="AAX6" s="154"/>
      <c r="AAY6" s="154"/>
      <c r="AAZ6" s="154"/>
      <c r="ABA6" s="154"/>
      <c r="ABB6" s="154"/>
      <c r="ABC6" s="154"/>
      <c r="ABD6" s="154"/>
      <c r="ABE6" s="154"/>
      <c r="ABF6" s="154"/>
      <c r="ABG6" s="154"/>
      <c r="ABH6" s="154"/>
      <c r="ABI6" s="154"/>
      <c r="ABJ6" s="154"/>
      <c r="ABK6" s="154"/>
      <c r="ABL6" s="154"/>
      <c r="ABM6" s="154"/>
      <c r="ABN6" s="154"/>
      <c r="ABO6" s="154"/>
      <c r="ABP6" s="154"/>
      <c r="ABQ6" s="154"/>
      <c r="ABR6" s="154"/>
      <c r="ABS6" s="154"/>
      <c r="ABT6" s="154"/>
      <c r="ABU6" s="154"/>
      <c r="ABV6" s="154"/>
      <c r="ABW6" s="154"/>
      <c r="ABX6" s="154"/>
      <c r="ABY6" s="154"/>
      <c r="ABZ6" s="154"/>
      <c r="ACA6" s="154"/>
      <c r="ACB6" s="154"/>
      <c r="ACC6" s="154"/>
      <c r="ACD6" s="154"/>
      <c r="ACE6" s="154"/>
      <c r="ACF6" s="154"/>
      <c r="ACG6" s="154"/>
      <c r="ACH6" s="154"/>
      <c r="ACI6" s="154"/>
      <c r="ACJ6" s="154"/>
      <c r="ACK6" s="154"/>
      <c r="ACL6" s="154"/>
      <c r="ACM6" s="154"/>
      <c r="ACN6" s="154"/>
      <c r="ACO6" s="154"/>
      <c r="ACP6" s="154"/>
      <c r="ACQ6" s="154"/>
      <c r="ACR6" s="154"/>
      <c r="ACS6" s="154"/>
      <c r="ACT6" s="154"/>
      <c r="ACU6" s="154"/>
      <c r="ACV6" s="154"/>
      <c r="ACW6" s="154"/>
      <c r="ACX6" s="154"/>
      <c r="ACY6" s="154"/>
      <c r="ACZ6" s="154"/>
      <c r="ADA6" s="154"/>
      <c r="ADB6" s="154"/>
      <c r="ADC6" s="154"/>
      <c r="ADD6" s="154"/>
      <c r="ADE6" s="154"/>
      <c r="ADF6" s="154"/>
      <c r="ADG6" s="154"/>
      <c r="ADH6" s="154"/>
      <c r="ADI6" s="154"/>
      <c r="ADJ6" s="154"/>
      <c r="ADK6" s="154"/>
      <c r="ADL6" s="154"/>
      <c r="ADM6" s="154"/>
      <c r="ADN6" s="154"/>
      <c r="ADO6" s="154"/>
      <c r="ADP6" s="154"/>
      <c r="ADQ6" s="154"/>
      <c r="ADR6" s="154"/>
      <c r="ADS6" s="154"/>
      <c r="ADT6" s="154"/>
      <c r="ADU6" s="154"/>
      <c r="ADV6" s="154"/>
      <c r="ADW6" s="154"/>
      <c r="ADX6" s="154"/>
      <c r="ADY6" s="154"/>
      <c r="ADZ6" s="154"/>
      <c r="AEA6" s="154"/>
      <c r="AEB6" s="154"/>
      <c r="AEC6" s="154"/>
      <c r="AED6" s="154"/>
      <c r="AEE6" s="154"/>
      <c r="AEF6" s="154"/>
      <c r="AEG6" s="154"/>
      <c r="AEH6" s="154"/>
      <c r="AEI6" s="154"/>
      <c r="AEJ6" s="154"/>
      <c r="AEK6" s="154"/>
      <c r="AEL6" s="154"/>
      <c r="AEM6" s="154"/>
      <c r="AEN6" s="154"/>
      <c r="AEO6" s="154"/>
      <c r="AEP6" s="154"/>
      <c r="AEQ6" s="154"/>
      <c r="AER6" s="154"/>
      <c r="AES6" s="154"/>
      <c r="AET6" s="154"/>
      <c r="AEU6" s="154"/>
      <c r="AEV6" s="154"/>
      <c r="AEW6" s="154"/>
      <c r="AEX6" s="154"/>
      <c r="AEY6" s="154"/>
      <c r="AEZ6" s="154"/>
      <c r="AFA6" s="154"/>
      <c r="AFB6" s="154"/>
      <c r="AFC6" s="154"/>
      <c r="AFD6" s="154"/>
      <c r="AFE6" s="154"/>
      <c r="AFF6" s="154"/>
      <c r="AFG6" s="154"/>
      <c r="AFH6" s="154"/>
      <c r="AFI6" s="154"/>
      <c r="AFJ6" s="154"/>
      <c r="AFK6" s="154"/>
      <c r="AFL6" s="154"/>
      <c r="AFM6" s="154"/>
      <c r="AFN6" s="154"/>
      <c r="AFO6" s="154"/>
      <c r="AFP6" s="154"/>
      <c r="AFQ6" s="154"/>
      <c r="AFR6" s="154"/>
      <c r="AFS6" s="154"/>
      <c r="AFT6" s="154"/>
      <c r="AFU6" s="154"/>
      <c r="AFV6" s="154"/>
      <c r="AFW6" s="154"/>
      <c r="AFX6" s="154"/>
      <c r="AFY6" s="154"/>
      <c r="AFZ6" s="154"/>
      <c r="AGA6" s="154"/>
      <c r="AGB6" s="154"/>
      <c r="AGC6" s="154"/>
      <c r="AGD6" s="154"/>
      <c r="AGE6" s="154"/>
      <c r="AGF6" s="154"/>
      <c r="AGG6" s="154"/>
      <c r="AGH6" s="154"/>
      <c r="AGI6" s="154"/>
      <c r="AGJ6" s="154"/>
      <c r="AGK6" s="154"/>
      <c r="AGL6" s="154"/>
      <c r="AGM6" s="154"/>
      <c r="AGN6" s="154"/>
      <c r="AGO6" s="154"/>
      <c r="AGP6" s="154"/>
      <c r="AGQ6" s="154"/>
      <c r="AGR6" s="154"/>
      <c r="AGS6" s="154"/>
      <c r="AGT6" s="154"/>
      <c r="AGU6" s="154"/>
      <c r="AGV6" s="154"/>
      <c r="AGW6" s="154"/>
      <c r="AGX6" s="154"/>
      <c r="AGY6" s="154"/>
      <c r="AGZ6" s="154"/>
      <c r="AHA6" s="154"/>
      <c r="AHB6" s="154"/>
      <c r="AHC6" s="154"/>
      <c r="AHD6" s="154"/>
      <c r="AHE6" s="154"/>
      <c r="AHF6" s="154"/>
      <c r="AHG6" s="154"/>
      <c r="AHH6" s="154"/>
      <c r="AHI6" s="154"/>
      <c r="AHJ6" s="154"/>
      <c r="AHK6" s="154"/>
      <c r="AHL6" s="154"/>
      <c r="AHM6" s="154"/>
      <c r="AHN6" s="154"/>
      <c r="AHO6" s="154"/>
      <c r="AHP6" s="154"/>
      <c r="AHQ6" s="154"/>
      <c r="AHR6" s="154"/>
      <c r="AHS6" s="154"/>
      <c r="AHT6" s="154"/>
      <c r="AHU6" s="154"/>
      <c r="AHV6" s="154"/>
      <c r="AHW6" s="154"/>
      <c r="AHX6" s="154"/>
      <c r="AHY6" s="154"/>
      <c r="AHZ6" s="154"/>
      <c r="AIA6" s="154"/>
      <c r="AIB6" s="154"/>
      <c r="AIC6" s="154"/>
      <c r="AID6" s="154"/>
      <c r="AIE6" s="154"/>
      <c r="AIF6" s="154"/>
      <c r="AIG6" s="154"/>
      <c r="AIH6" s="154"/>
      <c r="AII6" s="154"/>
      <c r="AIJ6" s="154"/>
      <c r="AIK6" s="154"/>
      <c r="AIL6" s="154"/>
      <c r="AIM6" s="154"/>
      <c r="AIN6" s="154"/>
      <c r="AIO6" s="154"/>
      <c r="AIP6" s="154"/>
      <c r="AIQ6" s="154"/>
      <c r="AIR6" s="154"/>
      <c r="AIS6" s="154"/>
      <c r="AIT6" s="154"/>
      <c r="AIU6" s="154"/>
      <c r="AIV6" s="154"/>
      <c r="AIW6" s="154"/>
      <c r="AIX6" s="154"/>
      <c r="AIY6" s="154"/>
      <c r="AIZ6" s="154"/>
      <c r="AJA6" s="154"/>
      <c r="AJB6" s="154"/>
      <c r="AJC6" s="154"/>
      <c r="AJD6" s="154"/>
      <c r="AJE6" s="154"/>
      <c r="AJF6" s="154"/>
      <c r="AJG6" s="154"/>
      <c r="AJH6" s="154"/>
      <c r="AJI6" s="154"/>
      <c r="AJJ6" s="154"/>
      <c r="AJK6" s="154"/>
      <c r="AJL6" s="154"/>
      <c r="AJM6" s="154"/>
      <c r="AJN6" s="154"/>
      <c r="AJO6" s="154"/>
      <c r="AJP6" s="154"/>
      <c r="AJQ6" s="154"/>
      <c r="AJR6" s="154"/>
      <c r="AJS6" s="154"/>
      <c r="AJT6" s="154"/>
      <c r="AJU6" s="154"/>
      <c r="AJV6" s="154"/>
      <c r="AJW6" s="154"/>
      <c r="AJX6" s="154"/>
      <c r="AJY6" s="154"/>
      <c r="AJZ6" s="154"/>
      <c r="AKA6" s="154"/>
      <c r="AKB6" s="154"/>
      <c r="AKC6" s="154"/>
      <c r="AKD6" s="154"/>
      <c r="AKE6" s="154"/>
      <c r="AKF6" s="154"/>
      <c r="AKG6" s="154"/>
      <c r="AKH6" s="154"/>
      <c r="AKI6" s="154"/>
      <c r="AKJ6" s="154"/>
      <c r="AKK6" s="154"/>
      <c r="AKL6" s="154"/>
      <c r="AKM6" s="154"/>
      <c r="AKN6" s="154"/>
      <c r="AKO6" s="154"/>
      <c r="AKP6" s="154"/>
      <c r="AKQ6" s="154"/>
      <c r="AKR6" s="154"/>
      <c r="AKS6" s="154"/>
      <c r="AKT6" s="154"/>
      <c r="AKU6" s="154"/>
      <c r="AKV6" s="154"/>
      <c r="AKW6" s="154"/>
      <c r="AKX6" s="154"/>
      <c r="AKY6" s="154"/>
      <c r="AKZ6" s="154"/>
      <c r="ALA6" s="154"/>
      <c r="ALB6" s="154"/>
      <c r="ALC6" s="154"/>
      <c r="ALD6" s="154"/>
      <c r="ALE6" s="154"/>
      <c r="ALF6" s="154"/>
      <c r="ALG6" s="154"/>
      <c r="ALH6" s="154"/>
      <c r="ALI6" s="154"/>
      <c r="ALJ6" s="154"/>
      <c r="ALK6" s="154"/>
      <c r="ALL6" s="154"/>
      <c r="ALM6" s="154"/>
      <c r="ALN6" s="154"/>
      <c r="ALO6" s="154"/>
      <c r="ALP6" s="154"/>
      <c r="ALQ6" s="154"/>
      <c r="ALR6" s="154"/>
      <c r="ALS6" s="154"/>
      <c r="ALT6" s="154"/>
      <c r="ALU6" s="154"/>
      <c r="ALV6" s="154"/>
      <c r="ALW6" s="154"/>
      <c r="ALX6" s="154"/>
      <c r="ALY6" s="154"/>
      <c r="ALZ6" s="154"/>
      <c r="AMA6" s="154"/>
      <c r="AMB6" s="154"/>
      <c r="AMC6" s="154"/>
      <c r="AMD6" s="154"/>
      <c r="AME6" s="154"/>
      <c r="AMF6" s="154"/>
      <c r="AMG6" s="154"/>
      <c r="AMH6" s="154"/>
      <c r="AMI6" s="154"/>
      <c r="AMJ6" s="154"/>
      <c r="AMK6" s="154"/>
    </row>
    <row r="7" spans="1:1025" s="413" customFormat="1" ht="8.25" x14ac:dyDescent="0.15">
      <c r="A7" s="154"/>
      <c r="B7" s="172" t="s">
        <v>570</v>
      </c>
      <c r="C7" s="177">
        <v>0.54</v>
      </c>
      <c r="D7" s="177">
        <v>0.54</v>
      </c>
      <c r="E7" s="177">
        <v>0.54</v>
      </c>
      <c r="F7" s="177">
        <v>0.54</v>
      </c>
      <c r="G7" s="177">
        <v>0.54</v>
      </c>
      <c r="H7" s="177">
        <v>0.54</v>
      </c>
      <c r="I7" s="177">
        <v>0.54</v>
      </c>
      <c r="J7" s="177">
        <v>0.54</v>
      </c>
      <c r="K7" s="177">
        <v>0.54</v>
      </c>
      <c r="L7" s="177">
        <v>0.54</v>
      </c>
      <c r="M7" s="177">
        <v>0.54</v>
      </c>
      <c r="N7" s="177">
        <v>0.54</v>
      </c>
      <c r="O7" s="177">
        <v>0.54</v>
      </c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  <c r="IX7" s="154"/>
      <c r="IY7" s="154"/>
      <c r="IZ7" s="154"/>
      <c r="JA7" s="154"/>
      <c r="JB7" s="154"/>
      <c r="JC7" s="154"/>
      <c r="JD7" s="154"/>
      <c r="JE7" s="154"/>
      <c r="JF7" s="154"/>
      <c r="JG7" s="154"/>
      <c r="JH7" s="154"/>
      <c r="JI7" s="154"/>
      <c r="JJ7" s="154"/>
      <c r="JK7" s="154"/>
      <c r="JL7" s="154"/>
      <c r="JM7" s="154"/>
      <c r="JN7" s="154"/>
      <c r="JO7" s="154"/>
      <c r="JP7" s="154"/>
      <c r="JQ7" s="154"/>
      <c r="JR7" s="154"/>
      <c r="JS7" s="154"/>
      <c r="JT7" s="154"/>
      <c r="JU7" s="154"/>
      <c r="JV7" s="154"/>
      <c r="JW7" s="154"/>
      <c r="JX7" s="154"/>
      <c r="JY7" s="154"/>
      <c r="JZ7" s="154"/>
      <c r="KA7" s="154"/>
      <c r="KB7" s="154"/>
      <c r="KC7" s="154"/>
      <c r="KD7" s="154"/>
      <c r="KE7" s="154"/>
      <c r="KF7" s="154"/>
      <c r="KG7" s="154"/>
      <c r="KH7" s="154"/>
      <c r="KI7" s="154"/>
      <c r="KJ7" s="154"/>
      <c r="KK7" s="154"/>
      <c r="KL7" s="154"/>
      <c r="KM7" s="154"/>
      <c r="KN7" s="154"/>
      <c r="KO7" s="154"/>
      <c r="KP7" s="154"/>
      <c r="KQ7" s="154"/>
      <c r="KR7" s="154"/>
      <c r="KS7" s="154"/>
      <c r="KT7" s="154"/>
      <c r="KU7" s="154"/>
      <c r="KV7" s="154"/>
      <c r="KW7" s="154"/>
      <c r="KX7" s="154"/>
      <c r="KY7" s="154"/>
      <c r="KZ7" s="154"/>
      <c r="LA7" s="154"/>
      <c r="LB7" s="154"/>
      <c r="LC7" s="154"/>
      <c r="LD7" s="154"/>
      <c r="LE7" s="154"/>
      <c r="LF7" s="154"/>
      <c r="LG7" s="154"/>
      <c r="LH7" s="154"/>
      <c r="LI7" s="154"/>
      <c r="LJ7" s="154"/>
      <c r="LK7" s="154"/>
      <c r="LL7" s="154"/>
      <c r="LM7" s="154"/>
      <c r="LN7" s="154"/>
      <c r="LO7" s="154"/>
      <c r="LP7" s="154"/>
      <c r="LQ7" s="154"/>
      <c r="LR7" s="154"/>
      <c r="LS7" s="154"/>
      <c r="LT7" s="154"/>
      <c r="LU7" s="154"/>
      <c r="LV7" s="154"/>
      <c r="LW7" s="154"/>
      <c r="LX7" s="154"/>
      <c r="LY7" s="154"/>
      <c r="LZ7" s="154"/>
      <c r="MA7" s="154"/>
      <c r="MB7" s="154"/>
      <c r="MC7" s="154"/>
      <c r="MD7" s="154"/>
      <c r="ME7" s="154"/>
      <c r="MF7" s="154"/>
      <c r="MG7" s="154"/>
      <c r="MH7" s="154"/>
      <c r="MI7" s="154"/>
      <c r="MJ7" s="154"/>
      <c r="MK7" s="154"/>
      <c r="ML7" s="154"/>
      <c r="MM7" s="154"/>
      <c r="MN7" s="154"/>
      <c r="MO7" s="154"/>
      <c r="MP7" s="154"/>
      <c r="MQ7" s="154"/>
      <c r="MR7" s="154"/>
      <c r="MS7" s="154"/>
      <c r="MT7" s="154"/>
      <c r="MU7" s="154"/>
      <c r="MV7" s="154"/>
      <c r="MW7" s="154"/>
      <c r="MX7" s="154"/>
      <c r="MY7" s="154"/>
      <c r="MZ7" s="154"/>
      <c r="NA7" s="154"/>
      <c r="NB7" s="154"/>
      <c r="NC7" s="154"/>
      <c r="ND7" s="154"/>
      <c r="NE7" s="154"/>
      <c r="NF7" s="154"/>
      <c r="NG7" s="154"/>
      <c r="NH7" s="154"/>
      <c r="NI7" s="154"/>
      <c r="NJ7" s="154"/>
      <c r="NK7" s="154"/>
      <c r="NL7" s="154"/>
      <c r="NM7" s="154"/>
      <c r="NN7" s="154"/>
      <c r="NO7" s="154"/>
      <c r="NP7" s="154"/>
      <c r="NQ7" s="154"/>
      <c r="NR7" s="154"/>
      <c r="NS7" s="154"/>
      <c r="NT7" s="154"/>
      <c r="NU7" s="154"/>
      <c r="NV7" s="154"/>
      <c r="NW7" s="154"/>
      <c r="NX7" s="154"/>
      <c r="NY7" s="154"/>
      <c r="NZ7" s="154"/>
      <c r="OA7" s="154"/>
      <c r="OB7" s="154"/>
      <c r="OC7" s="154"/>
      <c r="OD7" s="154"/>
      <c r="OE7" s="154"/>
      <c r="OF7" s="154"/>
      <c r="OG7" s="154"/>
      <c r="OH7" s="154"/>
      <c r="OI7" s="154"/>
      <c r="OJ7" s="154"/>
      <c r="OK7" s="154"/>
      <c r="OL7" s="154"/>
      <c r="OM7" s="154"/>
      <c r="ON7" s="154"/>
      <c r="OO7" s="154"/>
      <c r="OP7" s="154"/>
      <c r="OQ7" s="154"/>
      <c r="OR7" s="154"/>
      <c r="OS7" s="154"/>
      <c r="OT7" s="154"/>
      <c r="OU7" s="154"/>
      <c r="OV7" s="154"/>
      <c r="OW7" s="154"/>
      <c r="OX7" s="154"/>
      <c r="OY7" s="154"/>
      <c r="OZ7" s="154"/>
      <c r="PA7" s="154"/>
      <c r="PB7" s="154"/>
      <c r="PC7" s="154"/>
      <c r="PD7" s="154"/>
      <c r="PE7" s="154"/>
      <c r="PF7" s="154"/>
      <c r="PG7" s="154"/>
      <c r="PH7" s="154"/>
      <c r="PI7" s="154"/>
      <c r="PJ7" s="154"/>
      <c r="PK7" s="154"/>
      <c r="PL7" s="154"/>
      <c r="PM7" s="154"/>
      <c r="PN7" s="154"/>
      <c r="PO7" s="154"/>
      <c r="PP7" s="154"/>
      <c r="PQ7" s="154"/>
      <c r="PR7" s="154"/>
      <c r="PS7" s="154"/>
      <c r="PT7" s="154"/>
      <c r="PU7" s="154"/>
      <c r="PV7" s="154"/>
      <c r="PW7" s="154"/>
      <c r="PX7" s="154"/>
      <c r="PY7" s="154"/>
      <c r="PZ7" s="154"/>
      <c r="QA7" s="154"/>
      <c r="QB7" s="154"/>
      <c r="QC7" s="154"/>
      <c r="QD7" s="154"/>
      <c r="QE7" s="154"/>
      <c r="QF7" s="154"/>
      <c r="QG7" s="154"/>
      <c r="QH7" s="154"/>
      <c r="QI7" s="154"/>
      <c r="QJ7" s="154"/>
      <c r="QK7" s="154"/>
      <c r="QL7" s="154"/>
      <c r="QM7" s="154"/>
      <c r="QN7" s="154"/>
      <c r="QO7" s="154"/>
      <c r="QP7" s="154"/>
      <c r="QQ7" s="154"/>
      <c r="QR7" s="154"/>
      <c r="QS7" s="154"/>
      <c r="QT7" s="154"/>
      <c r="QU7" s="154"/>
      <c r="QV7" s="154"/>
      <c r="QW7" s="154"/>
      <c r="QX7" s="154"/>
      <c r="QY7" s="154"/>
      <c r="QZ7" s="154"/>
      <c r="RA7" s="154"/>
      <c r="RB7" s="154"/>
      <c r="RC7" s="154"/>
      <c r="RD7" s="154"/>
      <c r="RE7" s="154"/>
      <c r="RF7" s="154"/>
      <c r="RG7" s="154"/>
      <c r="RH7" s="154"/>
      <c r="RI7" s="154"/>
      <c r="RJ7" s="154"/>
      <c r="RK7" s="154"/>
      <c r="RL7" s="154"/>
      <c r="RM7" s="154"/>
      <c r="RN7" s="154"/>
      <c r="RO7" s="154"/>
      <c r="RP7" s="154"/>
      <c r="RQ7" s="154"/>
      <c r="RR7" s="154"/>
      <c r="RS7" s="154"/>
      <c r="RT7" s="154"/>
      <c r="RU7" s="154"/>
      <c r="RV7" s="154"/>
      <c r="RW7" s="154"/>
      <c r="RX7" s="154"/>
      <c r="RY7" s="154"/>
      <c r="RZ7" s="154"/>
      <c r="SA7" s="154"/>
      <c r="SB7" s="154"/>
      <c r="SC7" s="154"/>
      <c r="SD7" s="154"/>
      <c r="SE7" s="154"/>
      <c r="SF7" s="154"/>
      <c r="SG7" s="154"/>
      <c r="SH7" s="154"/>
      <c r="SI7" s="154"/>
      <c r="SJ7" s="154"/>
      <c r="SK7" s="154"/>
      <c r="SL7" s="154"/>
      <c r="SM7" s="154"/>
      <c r="SN7" s="154"/>
      <c r="SO7" s="154"/>
      <c r="SP7" s="154"/>
      <c r="SQ7" s="154"/>
      <c r="SR7" s="154"/>
      <c r="SS7" s="154"/>
      <c r="ST7" s="154"/>
      <c r="SU7" s="154"/>
      <c r="SV7" s="154"/>
      <c r="SW7" s="154"/>
      <c r="SX7" s="154"/>
      <c r="SY7" s="154"/>
      <c r="SZ7" s="154"/>
      <c r="TA7" s="154"/>
      <c r="TB7" s="154"/>
      <c r="TC7" s="154"/>
      <c r="TD7" s="154"/>
      <c r="TE7" s="154"/>
      <c r="TF7" s="154"/>
      <c r="TG7" s="154"/>
      <c r="TH7" s="154"/>
      <c r="TI7" s="154"/>
      <c r="TJ7" s="154"/>
      <c r="TK7" s="154"/>
      <c r="TL7" s="154"/>
      <c r="TM7" s="154"/>
      <c r="TN7" s="154"/>
      <c r="TO7" s="154"/>
      <c r="TP7" s="154"/>
      <c r="TQ7" s="154"/>
      <c r="TR7" s="154"/>
      <c r="TS7" s="154"/>
      <c r="TT7" s="154"/>
      <c r="TU7" s="154"/>
      <c r="TV7" s="154"/>
      <c r="TW7" s="154"/>
      <c r="TX7" s="154"/>
      <c r="TY7" s="154"/>
      <c r="TZ7" s="154"/>
      <c r="UA7" s="154"/>
      <c r="UB7" s="154"/>
      <c r="UC7" s="154"/>
      <c r="UD7" s="154"/>
      <c r="UE7" s="154"/>
      <c r="UF7" s="154"/>
      <c r="UG7" s="154"/>
      <c r="UH7" s="154"/>
      <c r="UI7" s="154"/>
      <c r="UJ7" s="154"/>
      <c r="UK7" s="154"/>
      <c r="UL7" s="154"/>
      <c r="UM7" s="154"/>
      <c r="UN7" s="154"/>
      <c r="UO7" s="154"/>
      <c r="UP7" s="154"/>
      <c r="UQ7" s="154"/>
      <c r="UR7" s="154"/>
      <c r="US7" s="154"/>
      <c r="UT7" s="154"/>
      <c r="UU7" s="154"/>
      <c r="UV7" s="154"/>
      <c r="UW7" s="154"/>
      <c r="UX7" s="154"/>
      <c r="UY7" s="154"/>
      <c r="UZ7" s="154"/>
      <c r="VA7" s="154"/>
      <c r="VB7" s="154"/>
      <c r="VC7" s="154"/>
      <c r="VD7" s="154"/>
      <c r="VE7" s="154"/>
      <c r="VF7" s="154"/>
      <c r="VG7" s="154"/>
      <c r="VH7" s="154"/>
      <c r="VI7" s="154"/>
      <c r="VJ7" s="154"/>
      <c r="VK7" s="154"/>
      <c r="VL7" s="154"/>
      <c r="VM7" s="154"/>
      <c r="VN7" s="154"/>
      <c r="VO7" s="154"/>
      <c r="VP7" s="154"/>
      <c r="VQ7" s="154"/>
      <c r="VR7" s="154"/>
      <c r="VS7" s="154"/>
      <c r="VT7" s="154"/>
      <c r="VU7" s="154"/>
      <c r="VV7" s="154"/>
      <c r="VW7" s="154"/>
      <c r="VX7" s="154"/>
      <c r="VY7" s="154"/>
      <c r="VZ7" s="154"/>
      <c r="WA7" s="154"/>
      <c r="WB7" s="154"/>
      <c r="WC7" s="154"/>
      <c r="WD7" s="154"/>
      <c r="WE7" s="154"/>
      <c r="WF7" s="154"/>
      <c r="WG7" s="154"/>
      <c r="WH7" s="154"/>
      <c r="WI7" s="154"/>
      <c r="WJ7" s="154"/>
      <c r="WK7" s="154"/>
      <c r="WL7" s="154"/>
      <c r="WM7" s="154"/>
      <c r="WN7" s="154"/>
      <c r="WO7" s="154"/>
      <c r="WP7" s="154"/>
      <c r="WQ7" s="154"/>
      <c r="WR7" s="154"/>
      <c r="WS7" s="154"/>
      <c r="WT7" s="154"/>
      <c r="WU7" s="154"/>
      <c r="WV7" s="154"/>
      <c r="WW7" s="154"/>
      <c r="WX7" s="154"/>
      <c r="WY7" s="154"/>
      <c r="WZ7" s="154"/>
      <c r="XA7" s="154"/>
      <c r="XB7" s="154"/>
      <c r="XC7" s="154"/>
      <c r="XD7" s="154"/>
      <c r="XE7" s="154"/>
      <c r="XF7" s="154"/>
      <c r="XG7" s="154"/>
      <c r="XH7" s="154"/>
      <c r="XI7" s="154"/>
      <c r="XJ7" s="154"/>
      <c r="XK7" s="154"/>
      <c r="XL7" s="154"/>
      <c r="XM7" s="154"/>
      <c r="XN7" s="154"/>
      <c r="XO7" s="154"/>
      <c r="XP7" s="154"/>
      <c r="XQ7" s="154"/>
      <c r="XR7" s="154"/>
      <c r="XS7" s="154"/>
      <c r="XT7" s="154"/>
      <c r="XU7" s="154"/>
      <c r="XV7" s="154"/>
      <c r="XW7" s="154"/>
      <c r="XX7" s="154"/>
      <c r="XY7" s="154"/>
      <c r="XZ7" s="154"/>
      <c r="YA7" s="154"/>
      <c r="YB7" s="154"/>
      <c r="YC7" s="154"/>
      <c r="YD7" s="154"/>
      <c r="YE7" s="154"/>
      <c r="YF7" s="154"/>
      <c r="YG7" s="154"/>
      <c r="YH7" s="154"/>
      <c r="YI7" s="154"/>
      <c r="YJ7" s="154"/>
      <c r="YK7" s="154"/>
      <c r="YL7" s="154"/>
      <c r="YM7" s="154"/>
      <c r="YN7" s="154"/>
      <c r="YO7" s="154"/>
      <c r="YP7" s="154"/>
      <c r="YQ7" s="154"/>
      <c r="YR7" s="154"/>
      <c r="YS7" s="154"/>
      <c r="YT7" s="154"/>
      <c r="YU7" s="154"/>
      <c r="YV7" s="154"/>
      <c r="YW7" s="154"/>
      <c r="YX7" s="154"/>
      <c r="YY7" s="154"/>
      <c r="YZ7" s="154"/>
      <c r="ZA7" s="154"/>
      <c r="ZB7" s="154"/>
      <c r="ZC7" s="154"/>
      <c r="ZD7" s="154"/>
      <c r="ZE7" s="154"/>
      <c r="ZF7" s="154"/>
      <c r="ZG7" s="154"/>
      <c r="ZH7" s="154"/>
      <c r="ZI7" s="154"/>
      <c r="ZJ7" s="154"/>
      <c r="ZK7" s="154"/>
      <c r="ZL7" s="154"/>
      <c r="ZM7" s="154"/>
      <c r="ZN7" s="154"/>
      <c r="ZO7" s="154"/>
      <c r="ZP7" s="154"/>
      <c r="ZQ7" s="154"/>
      <c r="ZR7" s="154"/>
      <c r="ZS7" s="154"/>
      <c r="ZT7" s="154"/>
      <c r="ZU7" s="154"/>
      <c r="ZV7" s="154"/>
      <c r="ZW7" s="154"/>
      <c r="ZX7" s="154"/>
      <c r="ZY7" s="154"/>
      <c r="ZZ7" s="154"/>
      <c r="AAA7" s="154"/>
      <c r="AAB7" s="154"/>
      <c r="AAC7" s="154"/>
      <c r="AAD7" s="154"/>
      <c r="AAE7" s="154"/>
      <c r="AAF7" s="154"/>
      <c r="AAG7" s="154"/>
      <c r="AAH7" s="154"/>
      <c r="AAI7" s="154"/>
      <c r="AAJ7" s="154"/>
      <c r="AAK7" s="154"/>
      <c r="AAL7" s="154"/>
      <c r="AAM7" s="154"/>
      <c r="AAN7" s="154"/>
      <c r="AAO7" s="154"/>
      <c r="AAP7" s="154"/>
      <c r="AAQ7" s="154"/>
      <c r="AAR7" s="154"/>
      <c r="AAS7" s="154"/>
      <c r="AAT7" s="154"/>
      <c r="AAU7" s="154"/>
      <c r="AAV7" s="154"/>
      <c r="AAW7" s="154"/>
      <c r="AAX7" s="154"/>
      <c r="AAY7" s="154"/>
      <c r="AAZ7" s="154"/>
      <c r="ABA7" s="154"/>
      <c r="ABB7" s="154"/>
      <c r="ABC7" s="154"/>
      <c r="ABD7" s="154"/>
      <c r="ABE7" s="154"/>
      <c r="ABF7" s="154"/>
      <c r="ABG7" s="154"/>
      <c r="ABH7" s="154"/>
      <c r="ABI7" s="154"/>
      <c r="ABJ7" s="154"/>
      <c r="ABK7" s="154"/>
      <c r="ABL7" s="154"/>
      <c r="ABM7" s="154"/>
      <c r="ABN7" s="154"/>
      <c r="ABO7" s="154"/>
      <c r="ABP7" s="154"/>
      <c r="ABQ7" s="154"/>
      <c r="ABR7" s="154"/>
      <c r="ABS7" s="154"/>
      <c r="ABT7" s="154"/>
      <c r="ABU7" s="154"/>
      <c r="ABV7" s="154"/>
      <c r="ABW7" s="154"/>
      <c r="ABX7" s="154"/>
      <c r="ABY7" s="154"/>
      <c r="ABZ7" s="154"/>
      <c r="ACA7" s="154"/>
      <c r="ACB7" s="154"/>
      <c r="ACC7" s="154"/>
      <c r="ACD7" s="154"/>
      <c r="ACE7" s="154"/>
      <c r="ACF7" s="154"/>
      <c r="ACG7" s="154"/>
      <c r="ACH7" s="154"/>
      <c r="ACI7" s="154"/>
      <c r="ACJ7" s="154"/>
      <c r="ACK7" s="154"/>
      <c r="ACL7" s="154"/>
      <c r="ACM7" s="154"/>
      <c r="ACN7" s="154"/>
      <c r="ACO7" s="154"/>
      <c r="ACP7" s="154"/>
      <c r="ACQ7" s="154"/>
      <c r="ACR7" s="154"/>
      <c r="ACS7" s="154"/>
      <c r="ACT7" s="154"/>
      <c r="ACU7" s="154"/>
      <c r="ACV7" s="154"/>
      <c r="ACW7" s="154"/>
      <c r="ACX7" s="154"/>
      <c r="ACY7" s="154"/>
      <c r="ACZ7" s="154"/>
      <c r="ADA7" s="154"/>
      <c r="ADB7" s="154"/>
      <c r="ADC7" s="154"/>
      <c r="ADD7" s="154"/>
      <c r="ADE7" s="154"/>
      <c r="ADF7" s="154"/>
      <c r="ADG7" s="154"/>
      <c r="ADH7" s="154"/>
      <c r="ADI7" s="154"/>
      <c r="ADJ7" s="154"/>
      <c r="ADK7" s="154"/>
      <c r="ADL7" s="154"/>
      <c r="ADM7" s="154"/>
      <c r="ADN7" s="154"/>
      <c r="ADO7" s="154"/>
      <c r="ADP7" s="154"/>
      <c r="ADQ7" s="154"/>
      <c r="ADR7" s="154"/>
      <c r="ADS7" s="154"/>
      <c r="ADT7" s="154"/>
      <c r="ADU7" s="154"/>
      <c r="ADV7" s="154"/>
      <c r="ADW7" s="154"/>
      <c r="ADX7" s="154"/>
      <c r="ADY7" s="154"/>
      <c r="ADZ7" s="154"/>
      <c r="AEA7" s="154"/>
      <c r="AEB7" s="154"/>
      <c r="AEC7" s="154"/>
      <c r="AED7" s="154"/>
      <c r="AEE7" s="154"/>
      <c r="AEF7" s="154"/>
      <c r="AEG7" s="154"/>
      <c r="AEH7" s="154"/>
      <c r="AEI7" s="154"/>
      <c r="AEJ7" s="154"/>
      <c r="AEK7" s="154"/>
      <c r="AEL7" s="154"/>
      <c r="AEM7" s="154"/>
      <c r="AEN7" s="154"/>
      <c r="AEO7" s="154"/>
      <c r="AEP7" s="154"/>
      <c r="AEQ7" s="154"/>
      <c r="AER7" s="154"/>
      <c r="AES7" s="154"/>
      <c r="AET7" s="154"/>
      <c r="AEU7" s="154"/>
      <c r="AEV7" s="154"/>
      <c r="AEW7" s="154"/>
      <c r="AEX7" s="154"/>
      <c r="AEY7" s="154"/>
      <c r="AEZ7" s="154"/>
      <c r="AFA7" s="154"/>
      <c r="AFB7" s="154"/>
      <c r="AFC7" s="154"/>
      <c r="AFD7" s="154"/>
      <c r="AFE7" s="154"/>
      <c r="AFF7" s="154"/>
      <c r="AFG7" s="154"/>
      <c r="AFH7" s="154"/>
      <c r="AFI7" s="154"/>
      <c r="AFJ7" s="154"/>
      <c r="AFK7" s="154"/>
      <c r="AFL7" s="154"/>
      <c r="AFM7" s="154"/>
      <c r="AFN7" s="154"/>
      <c r="AFO7" s="154"/>
      <c r="AFP7" s="154"/>
      <c r="AFQ7" s="154"/>
      <c r="AFR7" s="154"/>
      <c r="AFS7" s="154"/>
      <c r="AFT7" s="154"/>
      <c r="AFU7" s="154"/>
      <c r="AFV7" s="154"/>
      <c r="AFW7" s="154"/>
      <c r="AFX7" s="154"/>
      <c r="AFY7" s="154"/>
      <c r="AFZ7" s="154"/>
      <c r="AGA7" s="154"/>
      <c r="AGB7" s="154"/>
      <c r="AGC7" s="154"/>
      <c r="AGD7" s="154"/>
      <c r="AGE7" s="154"/>
      <c r="AGF7" s="154"/>
      <c r="AGG7" s="154"/>
      <c r="AGH7" s="154"/>
      <c r="AGI7" s="154"/>
      <c r="AGJ7" s="154"/>
      <c r="AGK7" s="154"/>
      <c r="AGL7" s="154"/>
      <c r="AGM7" s="154"/>
      <c r="AGN7" s="154"/>
      <c r="AGO7" s="154"/>
      <c r="AGP7" s="154"/>
      <c r="AGQ7" s="154"/>
      <c r="AGR7" s="154"/>
      <c r="AGS7" s="154"/>
      <c r="AGT7" s="154"/>
      <c r="AGU7" s="154"/>
      <c r="AGV7" s="154"/>
      <c r="AGW7" s="154"/>
      <c r="AGX7" s="154"/>
      <c r="AGY7" s="154"/>
      <c r="AGZ7" s="154"/>
      <c r="AHA7" s="154"/>
      <c r="AHB7" s="154"/>
      <c r="AHC7" s="154"/>
      <c r="AHD7" s="154"/>
      <c r="AHE7" s="154"/>
      <c r="AHF7" s="154"/>
      <c r="AHG7" s="154"/>
      <c r="AHH7" s="154"/>
      <c r="AHI7" s="154"/>
      <c r="AHJ7" s="154"/>
      <c r="AHK7" s="154"/>
      <c r="AHL7" s="154"/>
      <c r="AHM7" s="154"/>
      <c r="AHN7" s="154"/>
      <c r="AHO7" s="154"/>
      <c r="AHP7" s="154"/>
      <c r="AHQ7" s="154"/>
      <c r="AHR7" s="154"/>
      <c r="AHS7" s="154"/>
      <c r="AHT7" s="154"/>
      <c r="AHU7" s="154"/>
      <c r="AHV7" s="154"/>
      <c r="AHW7" s="154"/>
      <c r="AHX7" s="154"/>
      <c r="AHY7" s="154"/>
      <c r="AHZ7" s="154"/>
      <c r="AIA7" s="154"/>
      <c r="AIB7" s="154"/>
      <c r="AIC7" s="154"/>
      <c r="AID7" s="154"/>
      <c r="AIE7" s="154"/>
      <c r="AIF7" s="154"/>
      <c r="AIG7" s="154"/>
      <c r="AIH7" s="154"/>
      <c r="AII7" s="154"/>
      <c r="AIJ7" s="154"/>
      <c r="AIK7" s="154"/>
      <c r="AIL7" s="154"/>
      <c r="AIM7" s="154"/>
      <c r="AIN7" s="154"/>
      <c r="AIO7" s="154"/>
      <c r="AIP7" s="154"/>
      <c r="AIQ7" s="154"/>
      <c r="AIR7" s="154"/>
      <c r="AIS7" s="154"/>
      <c r="AIT7" s="154"/>
      <c r="AIU7" s="154"/>
      <c r="AIV7" s="154"/>
      <c r="AIW7" s="154"/>
      <c r="AIX7" s="154"/>
      <c r="AIY7" s="154"/>
      <c r="AIZ7" s="154"/>
      <c r="AJA7" s="154"/>
      <c r="AJB7" s="154"/>
      <c r="AJC7" s="154"/>
      <c r="AJD7" s="154"/>
      <c r="AJE7" s="154"/>
      <c r="AJF7" s="154"/>
      <c r="AJG7" s="154"/>
      <c r="AJH7" s="154"/>
      <c r="AJI7" s="154"/>
      <c r="AJJ7" s="154"/>
      <c r="AJK7" s="154"/>
      <c r="AJL7" s="154"/>
      <c r="AJM7" s="154"/>
      <c r="AJN7" s="154"/>
      <c r="AJO7" s="154"/>
      <c r="AJP7" s="154"/>
      <c r="AJQ7" s="154"/>
      <c r="AJR7" s="154"/>
      <c r="AJS7" s="154"/>
      <c r="AJT7" s="154"/>
      <c r="AJU7" s="154"/>
      <c r="AJV7" s="154"/>
      <c r="AJW7" s="154"/>
      <c r="AJX7" s="154"/>
      <c r="AJY7" s="154"/>
      <c r="AJZ7" s="154"/>
      <c r="AKA7" s="154"/>
      <c r="AKB7" s="154"/>
      <c r="AKC7" s="154"/>
      <c r="AKD7" s="154"/>
      <c r="AKE7" s="154"/>
      <c r="AKF7" s="154"/>
      <c r="AKG7" s="154"/>
      <c r="AKH7" s="154"/>
      <c r="AKI7" s="154"/>
      <c r="AKJ7" s="154"/>
      <c r="AKK7" s="154"/>
      <c r="AKL7" s="154"/>
      <c r="AKM7" s="154"/>
      <c r="AKN7" s="154"/>
      <c r="AKO7" s="154"/>
      <c r="AKP7" s="154"/>
      <c r="AKQ7" s="154"/>
      <c r="AKR7" s="154"/>
      <c r="AKS7" s="154"/>
      <c r="AKT7" s="154"/>
      <c r="AKU7" s="154"/>
      <c r="AKV7" s="154"/>
      <c r="AKW7" s="154"/>
      <c r="AKX7" s="154"/>
      <c r="AKY7" s="154"/>
      <c r="AKZ7" s="154"/>
      <c r="ALA7" s="154"/>
      <c r="ALB7" s="154"/>
      <c r="ALC7" s="154"/>
      <c r="ALD7" s="154"/>
      <c r="ALE7" s="154"/>
      <c r="ALF7" s="154"/>
      <c r="ALG7" s="154"/>
      <c r="ALH7" s="154"/>
      <c r="ALI7" s="154"/>
      <c r="ALJ7" s="154"/>
      <c r="ALK7" s="154"/>
      <c r="ALL7" s="154"/>
      <c r="ALM7" s="154"/>
      <c r="ALN7" s="154"/>
      <c r="ALO7" s="154"/>
      <c r="ALP7" s="154"/>
      <c r="ALQ7" s="154"/>
      <c r="ALR7" s="154"/>
      <c r="ALS7" s="154"/>
      <c r="ALT7" s="154"/>
      <c r="ALU7" s="154"/>
      <c r="ALV7" s="154"/>
      <c r="ALW7" s="154"/>
      <c r="ALX7" s="154"/>
      <c r="ALY7" s="154"/>
      <c r="ALZ7" s="154"/>
      <c r="AMA7" s="154"/>
      <c r="AMB7" s="154"/>
      <c r="AMC7" s="154"/>
      <c r="AMD7" s="154"/>
      <c r="AME7" s="154"/>
      <c r="AMF7" s="154"/>
      <c r="AMG7" s="154"/>
      <c r="AMH7" s="154"/>
      <c r="AMI7" s="154"/>
      <c r="AMJ7" s="154"/>
      <c r="AMK7" s="154"/>
    </row>
    <row r="8" spans="1:1025" s="413" customFormat="1" ht="8.25" x14ac:dyDescent="0.15">
      <c r="A8" s="154"/>
      <c r="B8" s="179" t="s">
        <v>571</v>
      </c>
      <c r="C8" s="154" t="s">
        <v>944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  <c r="IX8" s="154"/>
      <c r="IY8" s="154"/>
      <c r="IZ8" s="154"/>
      <c r="JA8" s="154"/>
      <c r="JB8" s="154"/>
      <c r="JC8" s="154"/>
      <c r="JD8" s="154"/>
      <c r="JE8" s="154"/>
      <c r="JF8" s="154"/>
      <c r="JG8" s="154"/>
      <c r="JH8" s="154"/>
      <c r="JI8" s="154"/>
      <c r="JJ8" s="154"/>
      <c r="JK8" s="154"/>
      <c r="JL8" s="154"/>
      <c r="JM8" s="154"/>
      <c r="JN8" s="154"/>
      <c r="JO8" s="154"/>
      <c r="JP8" s="154"/>
      <c r="JQ8" s="154"/>
      <c r="JR8" s="154"/>
      <c r="JS8" s="154"/>
      <c r="JT8" s="154"/>
      <c r="JU8" s="154"/>
      <c r="JV8" s="154"/>
      <c r="JW8" s="154"/>
      <c r="JX8" s="154"/>
      <c r="JY8" s="154"/>
      <c r="JZ8" s="154"/>
      <c r="KA8" s="154"/>
      <c r="KB8" s="154"/>
      <c r="KC8" s="154"/>
      <c r="KD8" s="154"/>
      <c r="KE8" s="154"/>
      <c r="KF8" s="154"/>
      <c r="KG8" s="154"/>
      <c r="KH8" s="154"/>
      <c r="KI8" s="154"/>
      <c r="KJ8" s="154"/>
      <c r="KK8" s="154"/>
      <c r="KL8" s="154"/>
      <c r="KM8" s="154"/>
      <c r="KN8" s="154"/>
      <c r="KO8" s="154"/>
      <c r="KP8" s="154"/>
      <c r="KQ8" s="154"/>
      <c r="KR8" s="154"/>
      <c r="KS8" s="154"/>
      <c r="KT8" s="154"/>
      <c r="KU8" s="154"/>
      <c r="KV8" s="154"/>
      <c r="KW8" s="154"/>
      <c r="KX8" s="154"/>
      <c r="KY8" s="154"/>
      <c r="KZ8" s="154"/>
      <c r="LA8" s="154"/>
      <c r="LB8" s="154"/>
      <c r="LC8" s="154"/>
      <c r="LD8" s="154"/>
      <c r="LE8" s="154"/>
      <c r="LF8" s="154"/>
      <c r="LG8" s="154"/>
      <c r="LH8" s="154"/>
      <c r="LI8" s="154"/>
      <c r="LJ8" s="154"/>
      <c r="LK8" s="154"/>
      <c r="LL8" s="154"/>
      <c r="LM8" s="154"/>
      <c r="LN8" s="154"/>
      <c r="LO8" s="154"/>
      <c r="LP8" s="154"/>
      <c r="LQ8" s="154"/>
      <c r="LR8" s="154"/>
      <c r="LS8" s="154"/>
      <c r="LT8" s="154"/>
      <c r="LU8" s="154"/>
      <c r="LV8" s="154"/>
      <c r="LW8" s="154"/>
      <c r="LX8" s="154"/>
      <c r="LY8" s="154"/>
      <c r="LZ8" s="154"/>
      <c r="MA8" s="154"/>
      <c r="MB8" s="154"/>
      <c r="MC8" s="154"/>
      <c r="MD8" s="154"/>
      <c r="ME8" s="154"/>
      <c r="MF8" s="154"/>
      <c r="MG8" s="154"/>
      <c r="MH8" s="154"/>
      <c r="MI8" s="154"/>
      <c r="MJ8" s="154"/>
      <c r="MK8" s="154"/>
      <c r="ML8" s="154"/>
      <c r="MM8" s="154"/>
      <c r="MN8" s="154"/>
      <c r="MO8" s="154"/>
      <c r="MP8" s="154"/>
      <c r="MQ8" s="154"/>
      <c r="MR8" s="154"/>
      <c r="MS8" s="154"/>
      <c r="MT8" s="154"/>
      <c r="MU8" s="154"/>
      <c r="MV8" s="154"/>
      <c r="MW8" s="154"/>
      <c r="MX8" s="154"/>
      <c r="MY8" s="154"/>
      <c r="MZ8" s="154"/>
      <c r="NA8" s="154"/>
      <c r="NB8" s="154"/>
      <c r="NC8" s="154"/>
      <c r="ND8" s="154"/>
      <c r="NE8" s="154"/>
      <c r="NF8" s="154"/>
      <c r="NG8" s="154"/>
      <c r="NH8" s="154"/>
      <c r="NI8" s="154"/>
      <c r="NJ8" s="154"/>
      <c r="NK8" s="154"/>
      <c r="NL8" s="154"/>
      <c r="NM8" s="154"/>
      <c r="NN8" s="154"/>
      <c r="NO8" s="154"/>
      <c r="NP8" s="154"/>
      <c r="NQ8" s="154"/>
      <c r="NR8" s="154"/>
      <c r="NS8" s="154"/>
      <c r="NT8" s="154"/>
      <c r="NU8" s="154"/>
      <c r="NV8" s="154"/>
      <c r="NW8" s="154"/>
      <c r="NX8" s="154"/>
      <c r="NY8" s="154"/>
      <c r="NZ8" s="154"/>
      <c r="OA8" s="154"/>
      <c r="OB8" s="154"/>
      <c r="OC8" s="154"/>
      <c r="OD8" s="154"/>
      <c r="OE8" s="154"/>
      <c r="OF8" s="154"/>
      <c r="OG8" s="154"/>
      <c r="OH8" s="154"/>
      <c r="OI8" s="154"/>
      <c r="OJ8" s="154"/>
      <c r="OK8" s="154"/>
      <c r="OL8" s="154"/>
      <c r="OM8" s="154"/>
      <c r="ON8" s="154"/>
      <c r="OO8" s="154"/>
      <c r="OP8" s="154"/>
      <c r="OQ8" s="154"/>
      <c r="OR8" s="154"/>
      <c r="OS8" s="154"/>
      <c r="OT8" s="154"/>
      <c r="OU8" s="154"/>
      <c r="OV8" s="154"/>
      <c r="OW8" s="154"/>
      <c r="OX8" s="154"/>
      <c r="OY8" s="154"/>
      <c r="OZ8" s="154"/>
      <c r="PA8" s="154"/>
      <c r="PB8" s="154"/>
      <c r="PC8" s="154"/>
      <c r="PD8" s="154"/>
      <c r="PE8" s="154"/>
      <c r="PF8" s="154"/>
      <c r="PG8" s="154"/>
      <c r="PH8" s="154"/>
      <c r="PI8" s="154"/>
      <c r="PJ8" s="154"/>
      <c r="PK8" s="154"/>
      <c r="PL8" s="154"/>
      <c r="PM8" s="154"/>
      <c r="PN8" s="154"/>
      <c r="PO8" s="154"/>
      <c r="PP8" s="154"/>
      <c r="PQ8" s="154"/>
      <c r="PR8" s="154"/>
      <c r="PS8" s="154"/>
      <c r="PT8" s="154"/>
      <c r="PU8" s="154"/>
      <c r="PV8" s="154"/>
      <c r="PW8" s="154"/>
      <c r="PX8" s="154"/>
      <c r="PY8" s="154"/>
      <c r="PZ8" s="154"/>
      <c r="QA8" s="154"/>
      <c r="QB8" s="154"/>
      <c r="QC8" s="154"/>
      <c r="QD8" s="154"/>
      <c r="QE8" s="154"/>
      <c r="QF8" s="154"/>
      <c r="QG8" s="154"/>
      <c r="QH8" s="154"/>
      <c r="QI8" s="154"/>
      <c r="QJ8" s="154"/>
      <c r="QK8" s="154"/>
      <c r="QL8" s="154"/>
      <c r="QM8" s="154"/>
      <c r="QN8" s="154"/>
      <c r="QO8" s="154"/>
      <c r="QP8" s="154"/>
      <c r="QQ8" s="154"/>
      <c r="QR8" s="154"/>
      <c r="QS8" s="154"/>
      <c r="QT8" s="154"/>
      <c r="QU8" s="154"/>
      <c r="QV8" s="154"/>
      <c r="QW8" s="154"/>
      <c r="QX8" s="154"/>
      <c r="QY8" s="154"/>
      <c r="QZ8" s="154"/>
      <c r="RA8" s="154"/>
      <c r="RB8" s="154"/>
      <c r="RC8" s="154"/>
      <c r="RD8" s="154"/>
      <c r="RE8" s="154"/>
      <c r="RF8" s="154"/>
      <c r="RG8" s="154"/>
      <c r="RH8" s="154"/>
      <c r="RI8" s="154"/>
      <c r="RJ8" s="154"/>
      <c r="RK8" s="154"/>
      <c r="RL8" s="154"/>
      <c r="RM8" s="154"/>
      <c r="RN8" s="154"/>
      <c r="RO8" s="154"/>
      <c r="RP8" s="154"/>
      <c r="RQ8" s="154"/>
      <c r="RR8" s="154"/>
      <c r="RS8" s="154"/>
      <c r="RT8" s="154"/>
      <c r="RU8" s="154"/>
      <c r="RV8" s="154"/>
      <c r="RW8" s="154"/>
      <c r="RX8" s="154"/>
      <c r="RY8" s="154"/>
      <c r="RZ8" s="154"/>
      <c r="SA8" s="154"/>
      <c r="SB8" s="154"/>
      <c r="SC8" s="154"/>
      <c r="SD8" s="154"/>
      <c r="SE8" s="154"/>
      <c r="SF8" s="154"/>
      <c r="SG8" s="154"/>
      <c r="SH8" s="154"/>
      <c r="SI8" s="154"/>
      <c r="SJ8" s="154"/>
      <c r="SK8" s="154"/>
      <c r="SL8" s="154"/>
      <c r="SM8" s="154"/>
      <c r="SN8" s="154"/>
      <c r="SO8" s="154"/>
      <c r="SP8" s="154"/>
      <c r="SQ8" s="154"/>
      <c r="SR8" s="154"/>
      <c r="SS8" s="154"/>
      <c r="ST8" s="154"/>
      <c r="SU8" s="154"/>
      <c r="SV8" s="154"/>
      <c r="SW8" s="154"/>
      <c r="SX8" s="154"/>
      <c r="SY8" s="154"/>
      <c r="SZ8" s="154"/>
      <c r="TA8" s="154"/>
      <c r="TB8" s="154"/>
      <c r="TC8" s="154"/>
      <c r="TD8" s="154"/>
      <c r="TE8" s="154"/>
      <c r="TF8" s="154"/>
      <c r="TG8" s="154"/>
      <c r="TH8" s="154"/>
      <c r="TI8" s="154"/>
      <c r="TJ8" s="154"/>
      <c r="TK8" s="154"/>
      <c r="TL8" s="154"/>
      <c r="TM8" s="154"/>
      <c r="TN8" s="154"/>
      <c r="TO8" s="154"/>
      <c r="TP8" s="154"/>
      <c r="TQ8" s="154"/>
      <c r="TR8" s="154"/>
      <c r="TS8" s="154"/>
      <c r="TT8" s="154"/>
      <c r="TU8" s="154"/>
      <c r="TV8" s="154"/>
      <c r="TW8" s="154"/>
      <c r="TX8" s="154"/>
      <c r="TY8" s="154"/>
      <c r="TZ8" s="154"/>
      <c r="UA8" s="154"/>
      <c r="UB8" s="154"/>
      <c r="UC8" s="154"/>
      <c r="UD8" s="154"/>
      <c r="UE8" s="154"/>
      <c r="UF8" s="154"/>
      <c r="UG8" s="154"/>
      <c r="UH8" s="154"/>
      <c r="UI8" s="154"/>
      <c r="UJ8" s="154"/>
      <c r="UK8" s="154"/>
      <c r="UL8" s="154"/>
      <c r="UM8" s="154"/>
      <c r="UN8" s="154"/>
      <c r="UO8" s="154"/>
      <c r="UP8" s="154"/>
      <c r="UQ8" s="154"/>
      <c r="UR8" s="154"/>
      <c r="US8" s="154"/>
      <c r="UT8" s="154"/>
      <c r="UU8" s="154"/>
      <c r="UV8" s="154"/>
      <c r="UW8" s="154"/>
      <c r="UX8" s="154"/>
      <c r="UY8" s="154"/>
      <c r="UZ8" s="154"/>
      <c r="VA8" s="154"/>
      <c r="VB8" s="154"/>
      <c r="VC8" s="154"/>
      <c r="VD8" s="154"/>
      <c r="VE8" s="154"/>
      <c r="VF8" s="154"/>
      <c r="VG8" s="154"/>
      <c r="VH8" s="154"/>
      <c r="VI8" s="154"/>
      <c r="VJ8" s="154"/>
      <c r="VK8" s="154"/>
      <c r="VL8" s="154"/>
      <c r="VM8" s="154"/>
      <c r="VN8" s="154"/>
      <c r="VO8" s="154"/>
      <c r="VP8" s="154"/>
      <c r="VQ8" s="154"/>
      <c r="VR8" s="154"/>
      <c r="VS8" s="154"/>
      <c r="VT8" s="154"/>
      <c r="VU8" s="154"/>
      <c r="VV8" s="154"/>
      <c r="VW8" s="154"/>
      <c r="VX8" s="154"/>
      <c r="VY8" s="154"/>
      <c r="VZ8" s="154"/>
      <c r="WA8" s="154"/>
      <c r="WB8" s="154"/>
      <c r="WC8" s="154"/>
      <c r="WD8" s="154"/>
      <c r="WE8" s="154"/>
      <c r="WF8" s="154"/>
      <c r="WG8" s="154"/>
      <c r="WH8" s="154"/>
      <c r="WI8" s="154"/>
      <c r="WJ8" s="154"/>
      <c r="WK8" s="154"/>
      <c r="WL8" s="154"/>
      <c r="WM8" s="154"/>
      <c r="WN8" s="154"/>
      <c r="WO8" s="154"/>
      <c r="WP8" s="154"/>
      <c r="WQ8" s="154"/>
      <c r="WR8" s="154"/>
      <c r="WS8" s="154"/>
      <c r="WT8" s="154"/>
      <c r="WU8" s="154"/>
      <c r="WV8" s="154"/>
      <c r="WW8" s="154"/>
      <c r="WX8" s="154"/>
      <c r="WY8" s="154"/>
      <c r="WZ8" s="154"/>
      <c r="XA8" s="154"/>
      <c r="XB8" s="154"/>
      <c r="XC8" s="154"/>
      <c r="XD8" s="154"/>
      <c r="XE8" s="154"/>
      <c r="XF8" s="154"/>
      <c r="XG8" s="154"/>
      <c r="XH8" s="154"/>
      <c r="XI8" s="154"/>
      <c r="XJ8" s="154"/>
      <c r="XK8" s="154"/>
      <c r="XL8" s="154"/>
      <c r="XM8" s="154"/>
      <c r="XN8" s="154"/>
      <c r="XO8" s="154"/>
      <c r="XP8" s="154"/>
      <c r="XQ8" s="154"/>
      <c r="XR8" s="154"/>
      <c r="XS8" s="154"/>
      <c r="XT8" s="154"/>
      <c r="XU8" s="154"/>
      <c r="XV8" s="154"/>
      <c r="XW8" s="154"/>
      <c r="XX8" s="154"/>
      <c r="XY8" s="154"/>
      <c r="XZ8" s="154"/>
      <c r="YA8" s="154"/>
      <c r="YB8" s="154"/>
      <c r="YC8" s="154"/>
      <c r="YD8" s="154"/>
      <c r="YE8" s="154"/>
      <c r="YF8" s="154"/>
      <c r="YG8" s="154"/>
      <c r="YH8" s="154"/>
      <c r="YI8" s="154"/>
      <c r="YJ8" s="154"/>
      <c r="YK8" s="154"/>
      <c r="YL8" s="154"/>
      <c r="YM8" s="154"/>
      <c r="YN8" s="154"/>
      <c r="YO8" s="154"/>
      <c r="YP8" s="154"/>
      <c r="YQ8" s="154"/>
      <c r="YR8" s="154"/>
      <c r="YS8" s="154"/>
      <c r="YT8" s="154"/>
      <c r="YU8" s="154"/>
      <c r="YV8" s="154"/>
      <c r="YW8" s="154"/>
      <c r="YX8" s="154"/>
      <c r="YY8" s="154"/>
      <c r="YZ8" s="154"/>
      <c r="ZA8" s="154"/>
      <c r="ZB8" s="154"/>
      <c r="ZC8" s="154"/>
      <c r="ZD8" s="154"/>
      <c r="ZE8" s="154"/>
      <c r="ZF8" s="154"/>
      <c r="ZG8" s="154"/>
      <c r="ZH8" s="154"/>
      <c r="ZI8" s="154"/>
      <c r="ZJ8" s="154"/>
      <c r="ZK8" s="154"/>
      <c r="ZL8" s="154"/>
      <c r="ZM8" s="154"/>
      <c r="ZN8" s="154"/>
      <c r="ZO8" s="154"/>
      <c r="ZP8" s="154"/>
      <c r="ZQ8" s="154"/>
      <c r="ZR8" s="154"/>
      <c r="ZS8" s="154"/>
      <c r="ZT8" s="154"/>
      <c r="ZU8" s="154"/>
      <c r="ZV8" s="154"/>
      <c r="ZW8" s="154"/>
      <c r="ZX8" s="154"/>
      <c r="ZY8" s="154"/>
      <c r="ZZ8" s="154"/>
      <c r="AAA8" s="154"/>
      <c r="AAB8" s="154"/>
      <c r="AAC8" s="154"/>
      <c r="AAD8" s="154"/>
      <c r="AAE8" s="154"/>
      <c r="AAF8" s="154"/>
      <c r="AAG8" s="154"/>
      <c r="AAH8" s="154"/>
      <c r="AAI8" s="154"/>
      <c r="AAJ8" s="154"/>
      <c r="AAK8" s="154"/>
      <c r="AAL8" s="154"/>
      <c r="AAM8" s="154"/>
      <c r="AAN8" s="154"/>
      <c r="AAO8" s="154"/>
      <c r="AAP8" s="154"/>
      <c r="AAQ8" s="154"/>
      <c r="AAR8" s="154"/>
      <c r="AAS8" s="154"/>
      <c r="AAT8" s="154"/>
      <c r="AAU8" s="154"/>
      <c r="AAV8" s="154"/>
      <c r="AAW8" s="154"/>
      <c r="AAX8" s="154"/>
      <c r="AAY8" s="154"/>
      <c r="AAZ8" s="154"/>
      <c r="ABA8" s="154"/>
      <c r="ABB8" s="154"/>
      <c r="ABC8" s="154"/>
      <c r="ABD8" s="154"/>
      <c r="ABE8" s="154"/>
      <c r="ABF8" s="154"/>
      <c r="ABG8" s="154"/>
      <c r="ABH8" s="154"/>
      <c r="ABI8" s="154"/>
      <c r="ABJ8" s="154"/>
      <c r="ABK8" s="154"/>
      <c r="ABL8" s="154"/>
      <c r="ABM8" s="154"/>
      <c r="ABN8" s="154"/>
      <c r="ABO8" s="154"/>
      <c r="ABP8" s="154"/>
      <c r="ABQ8" s="154"/>
      <c r="ABR8" s="154"/>
      <c r="ABS8" s="154"/>
      <c r="ABT8" s="154"/>
      <c r="ABU8" s="154"/>
      <c r="ABV8" s="154"/>
      <c r="ABW8" s="154"/>
      <c r="ABX8" s="154"/>
      <c r="ABY8" s="154"/>
      <c r="ABZ8" s="154"/>
      <c r="ACA8" s="154"/>
      <c r="ACB8" s="154"/>
      <c r="ACC8" s="154"/>
      <c r="ACD8" s="154"/>
      <c r="ACE8" s="154"/>
      <c r="ACF8" s="154"/>
      <c r="ACG8" s="154"/>
      <c r="ACH8" s="154"/>
      <c r="ACI8" s="154"/>
      <c r="ACJ8" s="154"/>
      <c r="ACK8" s="154"/>
      <c r="ACL8" s="154"/>
      <c r="ACM8" s="154"/>
      <c r="ACN8" s="154"/>
      <c r="ACO8" s="154"/>
      <c r="ACP8" s="154"/>
      <c r="ACQ8" s="154"/>
      <c r="ACR8" s="154"/>
      <c r="ACS8" s="154"/>
      <c r="ACT8" s="154"/>
      <c r="ACU8" s="154"/>
      <c r="ACV8" s="154"/>
      <c r="ACW8" s="154"/>
      <c r="ACX8" s="154"/>
      <c r="ACY8" s="154"/>
      <c r="ACZ8" s="154"/>
      <c r="ADA8" s="154"/>
      <c r="ADB8" s="154"/>
      <c r="ADC8" s="154"/>
      <c r="ADD8" s="154"/>
      <c r="ADE8" s="154"/>
      <c r="ADF8" s="154"/>
      <c r="ADG8" s="154"/>
      <c r="ADH8" s="154"/>
      <c r="ADI8" s="154"/>
      <c r="ADJ8" s="154"/>
      <c r="ADK8" s="154"/>
      <c r="ADL8" s="154"/>
      <c r="ADM8" s="154"/>
      <c r="ADN8" s="154"/>
      <c r="ADO8" s="154"/>
      <c r="ADP8" s="154"/>
      <c r="ADQ8" s="154"/>
      <c r="ADR8" s="154"/>
      <c r="ADS8" s="154"/>
      <c r="ADT8" s="154"/>
      <c r="ADU8" s="154"/>
      <c r="ADV8" s="154"/>
      <c r="ADW8" s="154"/>
      <c r="ADX8" s="154"/>
      <c r="ADY8" s="154"/>
      <c r="ADZ8" s="154"/>
      <c r="AEA8" s="154"/>
      <c r="AEB8" s="154"/>
      <c r="AEC8" s="154"/>
      <c r="AED8" s="154"/>
      <c r="AEE8" s="154"/>
      <c r="AEF8" s="154"/>
      <c r="AEG8" s="154"/>
      <c r="AEH8" s="154"/>
      <c r="AEI8" s="154"/>
      <c r="AEJ8" s="154"/>
      <c r="AEK8" s="154"/>
      <c r="AEL8" s="154"/>
      <c r="AEM8" s="154"/>
      <c r="AEN8" s="154"/>
      <c r="AEO8" s="154"/>
      <c r="AEP8" s="154"/>
      <c r="AEQ8" s="154"/>
      <c r="AER8" s="154"/>
      <c r="AES8" s="154"/>
      <c r="AET8" s="154"/>
      <c r="AEU8" s="154"/>
      <c r="AEV8" s="154"/>
      <c r="AEW8" s="154"/>
      <c r="AEX8" s="154"/>
      <c r="AEY8" s="154"/>
      <c r="AEZ8" s="154"/>
      <c r="AFA8" s="154"/>
      <c r="AFB8" s="154"/>
      <c r="AFC8" s="154"/>
      <c r="AFD8" s="154"/>
      <c r="AFE8" s="154"/>
      <c r="AFF8" s="154"/>
      <c r="AFG8" s="154"/>
      <c r="AFH8" s="154"/>
      <c r="AFI8" s="154"/>
      <c r="AFJ8" s="154"/>
      <c r="AFK8" s="154"/>
      <c r="AFL8" s="154"/>
      <c r="AFM8" s="154"/>
      <c r="AFN8" s="154"/>
      <c r="AFO8" s="154"/>
      <c r="AFP8" s="154"/>
      <c r="AFQ8" s="154"/>
      <c r="AFR8" s="154"/>
      <c r="AFS8" s="154"/>
      <c r="AFT8" s="154"/>
      <c r="AFU8" s="154"/>
      <c r="AFV8" s="154"/>
      <c r="AFW8" s="154"/>
      <c r="AFX8" s="154"/>
      <c r="AFY8" s="154"/>
      <c r="AFZ8" s="154"/>
      <c r="AGA8" s="154"/>
      <c r="AGB8" s="154"/>
      <c r="AGC8" s="154"/>
      <c r="AGD8" s="154"/>
      <c r="AGE8" s="154"/>
      <c r="AGF8" s="154"/>
      <c r="AGG8" s="154"/>
      <c r="AGH8" s="154"/>
      <c r="AGI8" s="154"/>
      <c r="AGJ8" s="154"/>
      <c r="AGK8" s="154"/>
      <c r="AGL8" s="154"/>
      <c r="AGM8" s="154"/>
      <c r="AGN8" s="154"/>
      <c r="AGO8" s="154"/>
      <c r="AGP8" s="154"/>
      <c r="AGQ8" s="154"/>
      <c r="AGR8" s="154"/>
      <c r="AGS8" s="154"/>
      <c r="AGT8" s="154"/>
      <c r="AGU8" s="154"/>
      <c r="AGV8" s="154"/>
      <c r="AGW8" s="154"/>
      <c r="AGX8" s="154"/>
      <c r="AGY8" s="154"/>
      <c r="AGZ8" s="154"/>
      <c r="AHA8" s="154"/>
      <c r="AHB8" s="154"/>
      <c r="AHC8" s="154"/>
      <c r="AHD8" s="154"/>
      <c r="AHE8" s="154"/>
      <c r="AHF8" s="154"/>
      <c r="AHG8" s="154"/>
      <c r="AHH8" s="154"/>
      <c r="AHI8" s="154"/>
      <c r="AHJ8" s="154"/>
      <c r="AHK8" s="154"/>
      <c r="AHL8" s="154"/>
      <c r="AHM8" s="154"/>
      <c r="AHN8" s="154"/>
      <c r="AHO8" s="154"/>
      <c r="AHP8" s="154"/>
      <c r="AHQ8" s="154"/>
      <c r="AHR8" s="154"/>
      <c r="AHS8" s="154"/>
      <c r="AHT8" s="154"/>
      <c r="AHU8" s="154"/>
      <c r="AHV8" s="154"/>
      <c r="AHW8" s="154"/>
      <c r="AHX8" s="154"/>
      <c r="AHY8" s="154"/>
      <c r="AHZ8" s="154"/>
      <c r="AIA8" s="154"/>
      <c r="AIB8" s="154"/>
      <c r="AIC8" s="154"/>
      <c r="AID8" s="154"/>
      <c r="AIE8" s="154"/>
      <c r="AIF8" s="154"/>
      <c r="AIG8" s="154"/>
      <c r="AIH8" s="154"/>
      <c r="AII8" s="154"/>
      <c r="AIJ8" s="154"/>
      <c r="AIK8" s="154"/>
      <c r="AIL8" s="154"/>
      <c r="AIM8" s="154"/>
      <c r="AIN8" s="154"/>
      <c r="AIO8" s="154"/>
      <c r="AIP8" s="154"/>
      <c r="AIQ8" s="154"/>
      <c r="AIR8" s="154"/>
      <c r="AIS8" s="154"/>
      <c r="AIT8" s="154"/>
      <c r="AIU8" s="154"/>
      <c r="AIV8" s="154"/>
      <c r="AIW8" s="154"/>
      <c r="AIX8" s="154"/>
      <c r="AIY8" s="154"/>
      <c r="AIZ8" s="154"/>
      <c r="AJA8" s="154"/>
      <c r="AJB8" s="154"/>
      <c r="AJC8" s="154"/>
      <c r="AJD8" s="154"/>
      <c r="AJE8" s="154"/>
      <c r="AJF8" s="154"/>
      <c r="AJG8" s="154"/>
      <c r="AJH8" s="154"/>
      <c r="AJI8" s="154"/>
      <c r="AJJ8" s="154"/>
      <c r="AJK8" s="154"/>
      <c r="AJL8" s="154"/>
      <c r="AJM8" s="154"/>
      <c r="AJN8" s="154"/>
      <c r="AJO8" s="154"/>
      <c r="AJP8" s="154"/>
      <c r="AJQ8" s="154"/>
      <c r="AJR8" s="154"/>
      <c r="AJS8" s="154"/>
      <c r="AJT8" s="154"/>
      <c r="AJU8" s="154"/>
      <c r="AJV8" s="154"/>
      <c r="AJW8" s="154"/>
      <c r="AJX8" s="154"/>
      <c r="AJY8" s="154"/>
      <c r="AJZ8" s="154"/>
      <c r="AKA8" s="154"/>
      <c r="AKB8" s="154"/>
      <c r="AKC8" s="154"/>
      <c r="AKD8" s="154"/>
      <c r="AKE8" s="154"/>
      <c r="AKF8" s="154"/>
      <c r="AKG8" s="154"/>
      <c r="AKH8" s="154"/>
      <c r="AKI8" s="154"/>
      <c r="AKJ8" s="154"/>
      <c r="AKK8" s="154"/>
      <c r="AKL8" s="154"/>
      <c r="AKM8" s="154"/>
      <c r="AKN8" s="154"/>
      <c r="AKO8" s="154"/>
      <c r="AKP8" s="154"/>
      <c r="AKQ8" s="154"/>
      <c r="AKR8" s="154"/>
      <c r="AKS8" s="154"/>
      <c r="AKT8" s="154"/>
      <c r="AKU8" s="154"/>
      <c r="AKV8" s="154"/>
      <c r="AKW8" s="154"/>
      <c r="AKX8" s="154"/>
      <c r="AKY8" s="154"/>
      <c r="AKZ8" s="154"/>
      <c r="ALA8" s="154"/>
      <c r="ALB8" s="154"/>
      <c r="ALC8" s="154"/>
      <c r="ALD8" s="154"/>
      <c r="ALE8" s="154"/>
      <c r="ALF8" s="154"/>
      <c r="ALG8" s="154"/>
      <c r="ALH8" s="154"/>
      <c r="ALI8" s="154"/>
      <c r="ALJ8" s="154"/>
      <c r="ALK8" s="154"/>
      <c r="ALL8" s="154"/>
      <c r="ALM8" s="154"/>
      <c r="ALN8" s="154"/>
      <c r="ALO8" s="154"/>
      <c r="ALP8" s="154"/>
      <c r="ALQ8" s="154"/>
      <c r="ALR8" s="154"/>
      <c r="ALS8" s="154"/>
      <c r="ALT8" s="154"/>
      <c r="ALU8" s="154"/>
      <c r="ALV8" s="154"/>
      <c r="ALW8" s="154"/>
      <c r="ALX8" s="154"/>
      <c r="ALY8" s="154"/>
      <c r="ALZ8" s="154"/>
      <c r="AMA8" s="154"/>
      <c r="AMB8" s="154"/>
      <c r="AMC8" s="154"/>
      <c r="AMD8" s="154"/>
      <c r="AME8" s="154"/>
      <c r="AMF8" s="154"/>
      <c r="AMG8" s="154"/>
      <c r="AMH8" s="154"/>
      <c r="AMI8" s="154"/>
      <c r="AMJ8" s="154"/>
      <c r="AMK8" s="154"/>
    </row>
    <row r="9" spans="1:1025" x14ac:dyDescent="0.25">
      <c r="B9" s="181"/>
      <c r="C9" s="500"/>
      <c r="D9" s="181"/>
      <c r="E9" s="181"/>
    </row>
    <row r="10" spans="1:1025" x14ac:dyDescent="0.25">
      <c r="B10" s="179"/>
      <c r="D10" s="181"/>
      <c r="E10" s="181"/>
      <c r="F10" s="181"/>
    </row>
    <row r="30" spans="2:3" x14ac:dyDescent="0.25">
      <c r="B30" s="179" t="s">
        <v>572</v>
      </c>
      <c r="C30" s="182" t="s">
        <v>573</v>
      </c>
    </row>
    <row r="31" spans="2:3" x14ac:dyDescent="0.25">
      <c r="B31" s="179"/>
      <c r="C31" s="181"/>
    </row>
    <row r="34" spans="2:11" s="153" customFormat="1" ht="11.25" x14ac:dyDescent="0.2">
      <c r="B34" s="19"/>
      <c r="C34" s="15" t="s">
        <v>1454</v>
      </c>
      <c r="D34" s="19"/>
      <c r="E34" s="19"/>
      <c r="F34" s="16" t="s">
        <v>1453</v>
      </c>
      <c r="G34" s="16"/>
      <c r="I34" s="15"/>
      <c r="J34" s="183" t="s">
        <v>98</v>
      </c>
      <c r="K34" s="17"/>
    </row>
    <row r="35" spans="2:11" s="153" customFormat="1" ht="11.25" x14ac:dyDescent="0.2">
      <c r="B35" s="19"/>
      <c r="C35" s="15" t="s">
        <v>99</v>
      </c>
      <c r="D35" s="19"/>
      <c r="E35" s="19"/>
      <c r="F35" s="16" t="s">
        <v>100</v>
      </c>
      <c r="G35" s="16"/>
      <c r="I35" s="15"/>
      <c r="J35" s="17" t="s">
        <v>101</v>
      </c>
      <c r="K35" s="17"/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MK175"/>
  <sheetViews>
    <sheetView topLeftCell="U19" zoomScale="160" zoomScaleNormal="160" workbookViewId="0">
      <selection activeCell="O130" sqref="O130"/>
    </sheetView>
  </sheetViews>
  <sheetFormatPr defaultColWidth="8.7109375" defaultRowHeight="8.25" x14ac:dyDescent="0.15"/>
  <cols>
    <col min="1" max="1" width="8.7109375" style="154" customWidth="1"/>
    <col min="2" max="2" width="9.42578125" style="154" customWidth="1"/>
    <col min="3" max="3" width="6.140625" style="154" customWidth="1"/>
    <col min="4" max="4" width="9.7109375" style="154" customWidth="1"/>
    <col min="5" max="5" width="8.42578125" style="154" customWidth="1"/>
    <col min="6" max="6" width="10.28515625" style="154" customWidth="1"/>
    <col min="7" max="7" width="8.7109375" style="154" customWidth="1"/>
    <col min="8" max="8" width="10" style="154" customWidth="1"/>
    <col min="9" max="9" width="5.42578125" style="154" customWidth="1"/>
    <col min="10" max="10" width="11.140625" style="154" customWidth="1"/>
    <col min="11" max="11" width="9.140625" style="154" customWidth="1"/>
    <col min="12" max="12" width="11.28515625" style="154" customWidth="1"/>
    <col min="13" max="13" width="8.5703125" style="154" customWidth="1"/>
    <col min="14" max="14" width="9.28515625" style="154" bestFit="1" customWidth="1"/>
    <col min="15" max="15" width="8.85546875" style="154" customWidth="1"/>
    <col min="16" max="16" width="3.140625" style="154" customWidth="1"/>
    <col min="17" max="17" width="4.5703125" style="154" customWidth="1"/>
    <col min="18" max="18" width="7" style="154" customWidth="1"/>
    <col min="19" max="19" width="9.28515625" style="154" customWidth="1"/>
    <col min="20" max="20" width="9.5703125" style="154" customWidth="1"/>
    <col min="21" max="22" width="9.140625" style="154" customWidth="1"/>
    <col min="23" max="23" width="9.42578125" style="154" customWidth="1"/>
    <col min="24" max="24" width="9.5703125" style="154" customWidth="1"/>
    <col min="25" max="26" width="8.85546875" style="154" customWidth="1"/>
    <col min="27" max="27" width="9.140625" style="154" customWidth="1"/>
    <col min="28" max="28" width="8.5703125" style="154" customWidth="1"/>
    <col min="29" max="29" width="8.7109375" style="154" customWidth="1"/>
    <col min="30" max="30" width="8.85546875" style="154" customWidth="1"/>
    <col min="31" max="31" width="9.85546875" style="154" customWidth="1"/>
    <col min="32" max="32" width="4.7109375" style="154" customWidth="1"/>
    <col min="33" max="33" width="9.7109375" style="154" customWidth="1"/>
    <col min="34" max="34" width="11" style="154" customWidth="1"/>
    <col min="35" max="35" width="10.85546875" style="154" customWidth="1"/>
    <col min="36" max="36" width="9.140625" style="154" customWidth="1"/>
    <col min="37" max="37" width="3.85546875" style="154" customWidth="1"/>
    <col min="38" max="38" width="7.28515625" style="154" customWidth="1"/>
    <col min="39" max="41" width="9.140625" style="154" customWidth="1"/>
    <col min="42" max="43" width="9.28515625" style="154" customWidth="1"/>
    <col min="44" max="256" width="9.140625" style="154" customWidth="1"/>
    <col min="257" max="257" width="7.85546875" style="154" customWidth="1"/>
    <col min="258" max="258" width="12.140625" style="154" customWidth="1"/>
    <col min="259" max="259" width="6.28515625" style="154" customWidth="1"/>
    <col min="260" max="260" width="11.5703125" style="154" customWidth="1"/>
    <col min="261" max="261" width="7.85546875" style="154" customWidth="1"/>
    <col min="262" max="262" width="12.28515625" style="154" customWidth="1"/>
    <col min="263" max="263" width="5.28515625" style="154" customWidth="1"/>
    <col min="264" max="264" width="12.140625" style="154" customWidth="1"/>
    <col min="265" max="265" width="5.7109375" style="154" customWidth="1"/>
    <col min="266" max="266" width="11.85546875" style="154" customWidth="1"/>
    <col min="267" max="267" width="8" style="154" customWidth="1"/>
    <col min="268" max="268" width="12.5703125" style="154" customWidth="1"/>
    <col min="269" max="269" width="9" style="154" customWidth="1"/>
    <col min="270" max="270" width="11.7109375" style="154" customWidth="1"/>
    <col min="271" max="271" width="9.42578125" style="154" customWidth="1"/>
    <col min="272" max="272" width="4.140625" style="154" customWidth="1"/>
    <col min="273" max="273" width="3.28515625" style="154" customWidth="1"/>
    <col min="274" max="274" width="8.85546875" style="154" customWidth="1"/>
    <col min="275" max="275" width="10" style="154" customWidth="1"/>
    <col min="276" max="277" width="9.42578125" style="154" customWidth="1"/>
    <col min="278" max="278" width="9.5703125" style="154" customWidth="1"/>
    <col min="279" max="279" width="9.85546875" style="154" customWidth="1"/>
    <col min="280" max="281" width="9.42578125" style="154" customWidth="1"/>
    <col min="282" max="282" width="9.85546875" style="154" customWidth="1"/>
    <col min="283" max="284" width="9.28515625" style="154" customWidth="1"/>
    <col min="285" max="285" width="9.85546875" style="154" customWidth="1"/>
    <col min="286" max="286" width="9.28515625" style="154" customWidth="1"/>
    <col min="287" max="287" width="10.42578125" style="154" customWidth="1"/>
    <col min="288" max="288" width="5.28515625" style="154" customWidth="1"/>
    <col min="289" max="289" width="9.7109375" style="154" customWidth="1"/>
    <col min="290" max="290" width="11" style="154" customWidth="1"/>
    <col min="291" max="291" width="10.85546875" style="154" customWidth="1"/>
    <col min="292" max="292" width="9.140625" style="154" customWidth="1"/>
    <col min="293" max="293" width="3.85546875" style="154" customWidth="1"/>
    <col min="294" max="294" width="7.28515625" style="154" customWidth="1"/>
    <col min="295" max="297" width="9.140625" style="154" customWidth="1"/>
    <col min="298" max="299" width="9.28515625" style="154" customWidth="1"/>
    <col min="300" max="512" width="9.140625" style="154" customWidth="1"/>
    <col min="513" max="513" width="7.85546875" style="154" customWidth="1"/>
    <col min="514" max="514" width="12.140625" style="154" customWidth="1"/>
    <col min="515" max="515" width="6.28515625" style="154" customWidth="1"/>
    <col min="516" max="516" width="11.5703125" style="154" customWidth="1"/>
    <col min="517" max="517" width="7.85546875" style="154" customWidth="1"/>
    <col min="518" max="518" width="12.28515625" style="154" customWidth="1"/>
    <col min="519" max="519" width="5.28515625" style="154" customWidth="1"/>
    <col min="520" max="520" width="12.140625" style="154" customWidth="1"/>
    <col min="521" max="521" width="5.7109375" style="154" customWidth="1"/>
    <col min="522" max="522" width="11.85546875" style="154" customWidth="1"/>
    <col min="523" max="523" width="8" style="154" customWidth="1"/>
    <col min="524" max="524" width="12.5703125" style="154" customWidth="1"/>
    <col min="525" max="525" width="9" style="154" customWidth="1"/>
    <col min="526" max="526" width="11.7109375" style="154" customWidth="1"/>
    <col min="527" max="527" width="9.42578125" style="154" customWidth="1"/>
    <col min="528" max="528" width="4.140625" style="154" customWidth="1"/>
    <col min="529" max="529" width="3.28515625" style="154" customWidth="1"/>
    <col min="530" max="530" width="8.85546875" style="154" customWidth="1"/>
    <col min="531" max="531" width="10" style="154" customWidth="1"/>
    <col min="532" max="533" width="9.42578125" style="154" customWidth="1"/>
    <col min="534" max="534" width="9.5703125" style="154" customWidth="1"/>
    <col min="535" max="535" width="9.85546875" style="154" customWidth="1"/>
    <col min="536" max="537" width="9.42578125" style="154" customWidth="1"/>
    <col min="538" max="538" width="9.85546875" style="154" customWidth="1"/>
    <col min="539" max="540" width="9.28515625" style="154" customWidth="1"/>
    <col min="541" max="541" width="9.85546875" style="154" customWidth="1"/>
    <col min="542" max="542" width="9.28515625" style="154" customWidth="1"/>
    <col min="543" max="543" width="10.42578125" style="154" customWidth="1"/>
    <col min="544" max="544" width="5.28515625" style="154" customWidth="1"/>
    <col min="545" max="545" width="9.7109375" style="154" customWidth="1"/>
    <col min="546" max="546" width="11" style="154" customWidth="1"/>
    <col min="547" max="547" width="10.85546875" style="154" customWidth="1"/>
    <col min="548" max="548" width="9.140625" style="154" customWidth="1"/>
    <col min="549" max="549" width="3.85546875" style="154" customWidth="1"/>
    <col min="550" max="550" width="7.28515625" style="154" customWidth="1"/>
    <col min="551" max="553" width="9.140625" style="154" customWidth="1"/>
    <col min="554" max="555" width="9.28515625" style="154" customWidth="1"/>
    <col min="556" max="768" width="9.140625" style="154" customWidth="1"/>
    <col min="769" max="769" width="7.85546875" style="154" customWidth="1"/>
    <col min="770" max="770" width="12.140625" style="154" customWidth="1"/>
    <col min="771" max="771" width="6.28515625" style="154" customWidth="1"/>
    <col min="772" max="772" width="11.5703125" style="154" customWidth="1"/>
    <col min="773" max="773" width="7.85546875" style="154" customWidth="1"/>
    <col min="774" max="774" width="12.28515625" style="154" customWidth="1"/>
    <col min="775" max="775" width="5.28515625" style="154" customWidth="1"/>
    <col min="776" max="776" width="12.140625" style="154" customWidth="1"/>
    <col min="777" max="777" width="5.7109375" style="154" customWidth="1"/>
    <col min="778" max="778" width="11.85546875" style="154" customWidth="1"/>
    <col min="779" max="779" width="8" style="154" customWidth="1"/>
    <col min="780" max="780" width="12.5703125" style="154" customWidth="1"/>
    <col min="781" max="781" width="9" style="154" customWidth="1"/>
    <col min="782" max="782" width="11.7109375" style="154" customWidth="1"/>
    <col min="783" max="783" width="9.42578125" style="154" customWidth="1"/>
    <col min="784" max="784" width="4.140625" style="154" customWidth="1"/>
    <col min="785" max="785" width="3.28515625" style="154" customWidth="1"/>
    <col min="786" max="786" width="8.85546875" style="154" customWidth="1"/>
    <col min="787" max="787" width="10" style="154" customWidth="1"/>
    <col min="788" max="789" width="9.42578125" style="154" customWidth="1"/>
    <col min="790" max="790" width="9.5703125" style="154" customWidth="1"/>
    <col min="791" max="791" width="9.85546875" style="154" customWidth="1"/>
    <col min="792" max="793" width="9.42578125" style="154" customWidth="1"/>
    <col min="794" max="794" width="9.85546875" style="154" customWidth="1"/>
    <col min="795" max="796" width="9.28515625" style="154" customWidth="1"/>
    <col min="797" max="797" width="9.85546875" style="154" customWidth="1"/>
    <col min="798" max="798" width="9.28515625" style="154" customWidth="1"/>
    <col min="799" max="799" width="10.42578125" style="154" customWidth="1"/>
    <col min="800" max="800" width="5.28515625" style="154" customWidth="1"/>
    <col min="801" max="801" width="9.7109375" style="154" customWidth="1"/>
    <col min="802" max="802" width="11" style="154" customWidth="1"/>
    <col min="803" max="803" width="10.85546875" style="154" customWidth="1"/>
    <col min="804" max="804" width="9.140625" style="154" customWidth="1"/>
    <col min="805" max="805" width="3.85546875" style="154" customWidth="1"/>
    <col min="806" max="806" width="7.28515625" style="154" customWidth="1"/>
    <col min="807" max="809" width="9.140625" style="154" customWidth="1"/>
    <col min="810" max="811" width="9.28515625" style="154" customWidth="1"/>
    <col min="812" max="1025" width="9.140625" style="154" customWidth="1"/>
    <col min="1026" max="16384" width="8.7109375" style="413"/>
  </cols>
  <sheetData>
    <row r="1" spans="1:35" x14ac:dyDescent="0.15">
      <c r="A1" s="8"/>
      <c r="B1" s="8"/>
      <c r="C1" s="8"/>
      <c r="D1" s="8"/>
      <c r="E1" s="129" t="s">
        <v>1628</v>
      </c>
      <c r="F1" s="8"/>
      <c r="G1" s="8"/>
      <c r="H1" s="8"/>
      <c r="I1" s="8"/>
      <c r="J1" s="8"/>
      <c r="K1" s="8"/>
      <c r="L1" s="8"/>
      <c r="M1" s="8"/>
      <c r="N1" s="8"/>
      <c r="O1" s="8"/>
      <c r="U1" s="182" t="s">
        <v>1619</v>
      </c>
    </row>
    <row r="2" spans="1:35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U2" s="182" t="s">
        <v>1620</v>
      </c>
    </row>
    <row r="3" spans="1:35" x14ac:dyDescent="0.15">
      <c r="A3" s="192" t="s">
        <v>589</v>
      </c>
      <c r="B3" s="1042" t="s">
        <v>590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 t="s">
        <v>591</v>
      </c>
      <c r="M3" s="1042"/>
      <c r="N3" s="1042" t="s">
        <v>592</v>
      </c>
      <c r="O3" s="1042"/>
      <c r="P3" s="193"/>
      <c r="Q3" s="421" t="s">
        <v>593</v>
      </c>
      <c r="R3" s="422" t="s">
        <v>594</v>
      </c>
      <c r="S3" s="421" t="s">
        <v>595</v>
      </c>
      <c r="T3" s="421" t="s">
        <v>596</v>
      </c>
      <c r="U3" s="421" t="s">
        <v>597</v>
      </c>
      <c r="V3" s="421" t="s">
        <v>598</v>
      </c>
      <c r="W3" s="421" t="s">
        <v>599</v>
      </c>
      <c r="X3" s="421" t="s">
        <v>600</v>
      </c>
      <c r="Y3" s="421" t="s">
        <v>601</v>
      </c>
      <c r="Z3" s="421" t="s">
        <v>602</v>
      </c>
      <c r="AA3" s="421" t="s">
        <v>603</v>
      </c>
      <c r="AB3" s="421" t="s">
        <v>604</v>
      </c>
      <c r="AC3" s="421" t="s">
        <v>605</v>
      </c>
      <c r="AD3" s="421" t="s">
        <v>606</v>
      </c>
      <c r="AE3" s="421" t="s">
        <v>58</v>
      </c>
    </row>
    <row r="4" spans="1:35" s="199" customFormat="1" x14ac:dyDescent="0.15">
      <c r="A4" s="421" t="s">
        <v>607</v>
      </c>
      <c r="B4" s="635">
        <v>2020</v>
      </c>
      <c r="C4" s="177" t="s">
        <v>221</v>
      </c>
      <c r="D4" s="635">
        <v>2021</v>
      </c>
      <c r="E4" s="177" t="s">
        <v>221</v>
      </c>
      <c r="F4" s="635">
        <v>2022</v>
      </c>
      <c r="G4" s="635" t="s">
        <v>221</v>
      </c>
      <c r="H4" s="635">
        <v>2023</v>
      </c>
      <c r="I4" s="635" t="s">
        <v>221</v>
      </c>
      <c r="J4" s="635">
        <v>2024</v>
      </c>
      <c r="K4" s="635" t="s">
        <v>221</v>
      </c>
      <c r="L4" s="635">
        <v>2025</v>
      </c>
      <c r="M4" s="421" t="s">
        <v>221</v>
      </c>
      <c r="N4" s="635">
        <v>2026</v>
      </c>
      <c r="O4" s="421">
        <v>2027</v>
      </c>
      <c r="P4" s="194"/>
      <c r="Q4" s="421">
        <v>1</v>
      </c>
      <c r="R4" s="195" t="s">
        <v>608</v>
      </c>
      <c r="S4" s="137">
        <f>6347000/12</f>
        <v>528916.66666666663</v>
      </c>
      <c r="T4" s="137">
        <f t="shared" ref="T4:AD4" si="0">6347000/12</f>
        <v>528916.66666666663</v>
      </c>
      <c r="U4" s="137">
        <f t="shared" si="0"/>
        <v>528916.66666666663</v>
      </c>
      <c r="V4" s="137">
        <f t="shared" si="0"/>
        <v>528916.66666666663</v>
      </c>
      <c r="W4" s="137">
        <f t="shared" si="0"/>
        <v>528916.66666666663</v>
      </c>
      <c r="X4" s="137">
        <f t="shared" si="0"/>
        <v>528916.66666666663</v>
      </c>
      <c r="Y4" s="137">
        <f t="shared" si="0"/>
        <v>528916.66666666663</v>
      </c>
      <c r="Z4" s="137">
        <f t="shared" si="0"/>
        <v>528916.66666666663</v>
      </c>
      <c r="AA4" s="137">
        <f t="shared" si="0"/>
        <v>528916.66666666663</v>
      </c>
      <c r="AB4" s="137">
        <f t="shared" si="0"/>
        <v>528916.66666666663</v>
      </c>
      <c r="AC4" s="137">
        <f t="shared" si="0"/>
        <v>528916.66666666663</v>
      </c>
      <c r="AD4" s="137">
        <f t="shared" si="0"/>
        <v>528916.66666666663</v>
      </c>
      <c r="AE4" s="137">
        <f t="shared" ref="AE4:AE19" si="1">SUM(S4:AD4)</f>
        <v>6347000.0000000009</v>
      </c>
      <c r="AF4" s="180">
        <f t="shared" ref="AF4:AF19" si="2">AE4/$AE$20</f>
        <v>2.6574946885631966E-2</v>
      </c>
      <c r="AG4" s="196"/>
      <c r="AH4" s="197"/>
      <c r="AI4" s="198"/>
    </row>
    <row r="5" spans="1:35" x14ac:dyDescent="0.15">
      <c r="A5" s="192" t="s">
        <v>575</v>
      </c>
      <c r="B5" s="137">
        <v>10229896.279999999</v>
      </c>
      <c r="C5" s="200">
        <f>B5/B17</f>
        <v>8.258854573464873E-2</v>
      </c>
      <c r="D5" s="137">
        <v>11654886.960000001</v>
      </c>
      <c r="E5" s="200">
        <f>D5/D17</f>
        <v>7.5735840465239151E-2</v>
      </c>
      <c r="F5" s="137">
        <f>26446557.48-F6</f>
        <v>13016876.310000001</v>
      </c>
      <c r="G5" s="200">
        <f>F5/F17</f>
        <v>7.1782613276187485E-2</v>
      </c>
      <c r="H5" s="137">
        <v>16075870.880000001</v>
      </c>
      <c r="I5" s="200">
        <f>H5/H17</f>
        <v>8.459519097619575E-2</v>
      </c>
      <c r="J5" s="137">
        <v>17758510.18</v>
      </c>
      <c r="K5" s="200">
        <f>J5/J17</f>
        <v>8.6229055584517211E-2</v>
      </c>
      <c r="L5" s="137">
        <f>16945201.47</f>
        <v>16945201.469999999</v>
      </c>
      <c r="M5" s="200">
        <f>L5/L17</f>
        <v>7.0949713096785494E-2</v>
      </c>
      <c r="N5" s="201">
        <f>((F5+H5+J5+L5)/3.15)-354050.16</f>
        <v>19898793.916190479</v>
      </c>
      <c r="O5" s="201">
        <f>(H5+J5+L5+N5)/3.15</f>
        <v>22437579.824187454</v>
      </c>
      <c r="P5" s="157"/>
      <c r="Q5" s="421">
        <v>2</v>
      </c>
      <c r="R5" s="195" t="s">
        <v>609</v>
      </c>
      <c r="S5" s="202">
        <f>3041161.09*M5</f>
        <v>215769.50681660743</v>
      </c>
      <c r="T5" s="202">
        <f>3041161.09*M6</f>
        <v>227338.3435894805</v>
      </c>
      <c r="U5" s="202">
        <f>3041161.09*M7</f>
        <v>246969.408456626</v>
      </c>
      <c r="V5" s="202">
        <f>3041161.09*M8</f>
        <v>262963.1684097214</v>
      </c>
      <c r="W5" s="202">
        <f>3041161.09*M9</f>
        <v>258766.49307987621</v>
      </c>
      <c r="X5" s="202">
        <f>3041161.09*M10</f>
        <v>230621.42234322248</v>
      </c>
      <c r="Y5" s="202">
        <f>3041161.09*M11</f>
        <v>258169.85154059628</v>
      </c>
      <c r="Z5" s="202">
        <f>3041161.09*M12</f>
        <v>247352.46351662636</v>
      </c>
      <c r="AA5" s="202">
        <f>3041161.09*M13</f>
        <v>232354.17154414827</v>
      </c>
      <c r="AB5" s="202">
        <f>3041161.09*M14</f>
        <v>244779.32994370771</v>
      </c>
      <c r="AC5" s="202">
        <f>3041161.09*M15</f>
        <v>260520.70165816936</v>
      </c>
      <c r="AD5" s="202">
        <f>3041161.09*M16</f>
        <v>355556.22910121753</v>
      </c>
      <c r="AE5" s="137">
        <f t="shared" si="1"/>
        <v>3041161.0899999989</v>
      </c>
      <c r="AF5" s="180">
        <f t="shared" si="2"/>
        <v>1.2733369219694434E-2</v>
      </c>
      <c r="AG5" s="167"/>
      <c r="AH5" s="197"/>
      <c r="AI5" s="198"/>
    </row>
    <row r="6" spans="1:35" x14ac:dyDescent="0.15">
      <c r="A6" s="192" t="s">
        <v>576</v>
      </c>
      <c r="B6" s="137">
        <f>10875208.14</f>
        <v>10875208.140000001</v>
      </c>
      <c r="C6" s="200">
        <f>B6/B17</f>
        <v>8.7798311953580663E-2</v>
      </c>
      <c r="D6" s="137">
        <v>11908059.57</v>
      </c>
      <c r="E6" s="200">
        <f>D6/D17</f>
        <v>7.7381007893025863E-2</v>
      </c>
      <c r="F6" s="137">
        <f>13429681.17</f>
        <v>13429681.17</v>
      </c>
      <c r="G6" s="200">
        <f>F6/F17</f>
        <v>7.405905893935677E-2</v>
      </c>
      <c r="H6" s="137">
        <v>14297967.619999999</v>
      </c>
      <c r="I6" s="200">
        <f>H6/H17</f>
        <v>7.523942624409552E-2</v>
      </c>
      <c r="J6" s="137">
        <f>15378150.36</f>
        <v>15378150.359999999</v>
      </c>
      <c r="K6" s="200">
        <f>J6/J17</f>
        <v>7.4670868712450933E-2</v>
      </c>
      <c r="L6" s="137">
        <f>17853746.3</f>
        <v>17853746.300000001</v>
      </c>
      <c r="M6" s="200">
        <f>L6/L17</f>
        <v>7.4753798586013248E-2</v>
      </c>
      <c r="N6" s="201">
        <f t="shared" ref="N6:N16" si="3">(F6+H6+J6+L6)/3.15</f>
        <v>19352236.650793653</v>
      </c>
      <c r="O6" s="201">
        <f>(H6+J6+L6+N6)/3.15</f>
        <v>21232412.99390275</v>
      </c>
      <c r="P6" s="157"/>
      <c r="Q6" s="421">
        <v>3</v>
      </c>
      <c r="R6" s="195" t="s">
        <v>1662</v>
      </c>
      <c r="S6" s="202">
        <f>1104252.88*M5</f>
        <v>78346.425022299096</v>
      </c>
      <c r="T6" s="202">
        <f>1104252.88*M6</f>
        <v>82547.097379545055</v>
      </c>
      <c r="U6" s="202">
        <f>1104252.88*M7</f>
        <v>89675.184079158935</v>
      </c>
      <c r="V6" s="202">
        <f>1104252.88*M8</f>
        <v>95482.556647586156</v>
      </c>
      <c r="W6" s="202">
        <f>1104252.88*M9</f>
        <v>93958.733777878675</v>
      </c>
      <c r="X6" s="202">
        <f>1104252.88*M10</f>
        <v>83739.191143011689</v>
      </c>
      <c r="Y6" s="202">
        <f>1104252.88*M11</f>
        <v>93742.091805099306</v>
      </c>
      <c r="Z6" s="202">
        <f>1104252.88*M12</f>
        <v>89814.27228944638</v>
      </c>
      <c r="AA6" s="202">
        <f>1104252.88*M13</f>
        <v>84368.356530445992</v>
      </c>
      <c r="AB6" s="202">
        <f>1104252.88*M14</f>
        <v>88879.961322538642</v>
      </c>
      <c r="AC6" s="202">
        <f>1104252.88*M15</f>
        <v>94595.691116663031</v>
      </c>
      <c r="AD6" s="202">
        <f>1104252.88*M16</f>
        <v>129103.31888632683</v>
      </c>
      <c r="AE6" s="137">
        <f t="shared" si="1"/>
        <v>1104252.8799999997</v>
      </c>
      <c r="AF6" s="180">
        <f t="shared" si="2"/>
        <v>4.623516879518846E-3</v>
      </c>
      <c r="AG6" s="167"/>
      <c r="AH6" s="197"/>
      <c r="AI6" s="198"/>
    </row>
    <row r="7" spans="1:35" x14ac:dyDescent="0.15">
      <c r="A7" s="192" t="s">
        <v>577</v>
      </c>
      <c r="B7" s="137">
        <v>9752914.3900000006</v>
      </c>
      <c r="C7" s="200">
        <f>B7/B17</f>
        <v>7.8737750031677628E-2</v>
      </c>
      <c r="D7" s="137">
        <f>11176115.04</f>
        <v>11176115.039999999</v>
      </c>
      <c r="E7" s="200">
        <f>D7/D17</f>
        <v>7.2624682555531173E-2</v>
      </c>
      <c r="F7" s="137">
        <f>14988868.06</f>
        <v>14988868.060000001</v>
      </c>
      <c r="G7" s="200">
        <f>F7/F17</f>
        <v>8.2657320679324978E-2</v>
      </c>
      <c r="H7" s="137">
        <v>15389759.220000001</v>
      </c>
      <c r="I7" s="200">
        <f>H7/H17</f>
        <v>8.0984702478125989E-2</v>
      </c>
      <c r="J7" s="137">
        <f>16631603.54</f>
        <v>16631603.539999999</v>
      </c>
      <c r="K7" s="200">
        <f>J7/J17</f>
        <v>8.0757194808236621E-2</v>
      </c>
      <c r="L7" s="201">
        <f>((D7+F7+H7+J7)/3)</f>
        <v>19395448.620000001</v>
      </c>
      <c r="M7" s="200">
        <f>L7/L17</f>
        <v>8.1208920260329262E-2</v>
      </c>
      <c r="N7" s="201">
        <f t="shared" si="3"/>
        <v>21081168.076190475</v>
      </c>
      <c r="O7" s="201">
        <f>(H7+J7+L7+N7)/3.15</f>
        <v>23015231.573393799</v>
      </c>
      <c r="P7" s="157"/>
      <c r="Q7" s="421">
        <v>4</v>
      </c>
      <c r="R7" s="195" t="s">
        <v>610</v>
      </c>
      <c r="S7" s="202">
        <f>2226569.6*M5</f>
        <v>157974.47431002444</v>
      </c>
      <c r="T7" s="202">
        <f>2226569.6*M6</f>
        <v>166444.5354161401</v>
      </c>
      <c r="U7" s="202">
        <f>2226569.6*M7</f>
        <v>180817.31310047323</v>
      </c>
      <c r="V7" s="202">
        <f>2226569.6*M8</f>
        <v>192527.05771688209</v>
      </c>
      <c r="W7" s="202">
        <f>2226569.6*M9</f>
        <v>189454.48463246739</v>
      </c>
      <c r="X7" s="202">
        <f>2226569.6*M10</f>
        <v>168848.22372174307</v>
      </c>
      <c r="Y7" s="202">
        <f>2226569.6*M11</f>
        <v>189017.65676503669</v>
      </c>
      <c r="Z7" s="202">
        <f>2226569.6*M12</f>
        <v>181097.76478536669</v>
      </c>
      <c r="AA7" s="202">
        <f>2226569.6*M13</f>
        <v>170116.84665260059</v>
      </c>
      <c r="AB7" s="202">
        <f>2226569.6*M14</f>
        <v>179213.85899391121</v>
      </c>
      <c r="AC7" s="202">
        <f>2226569.6*M15</f>
        <v>190738.81893009145</v>
      </c>
      <c r="AD7" s="202">
        <f>2226569.6*M16</f>
        <v>260318.56497526291</v>
      </c>
      <c r="AE7" s="137">
        <f t="shared" si="1"/>
        <v>2226569.6</v>
      </c>
      <c r="AF7" s="180">
        <f t="shared" si="2"/>
        <v>9.3226672218627397E-3</v>
      </c>
      <c r="AG7" s="167"/>
      <c r="AH7" s="197"/>
      <c r="AI7" s="198"/>
    </row>
    <row r="8" spans="1:35" x14ac:dyDescent="0.15">
      <c r="A8" s="192" t="s">
        <v>578</v>
      </c>
      <c r="B8" s="137">
        <f>9810398.72</f>
        <v>9810398.7200000007</v>
      </c>
      <c r="C8" s="200">
        <f>B8/B17</f>
        <v>7.9201835598851203E-2</v>
      </c>
      <c r="D8" s="137">
        <f>11782970.82</f>
        <v>11782970.82</v>
      </c>
      <c r="E8" s="200">
        <f>D8/D17</f>
        <v>7.6568155597974849E-2</v>
      </c>
      <c r="F8" s="137">
        <v>14357840.16</v>
      </c>
      <c r="G8" s="200">
        <f>F8/F17</f>
        <v>7.9177466478253244E-2</v>
      </c>
      <c r="H8" s="137">
        <v>14746089.130000001</v>
      </c>
      <c r="I8" s="200">
        <f>H8/H17</f>
        <v>7.7597551971900033E-2</v>
      </c>
      <c r="J8" s="137">
        <f>21067598.47</f>
        <v>21067598.469999999</v>
      </c>
      <c r="K8" s="200">
        <f>J8/J17</f>
        <v>0.10229682000846312</v>
      </c>
      <c r="L8" s="201">
        <f>((D8+F8+H8+J8)/3)</f>
        <v>20651499.526666667</v>
      </c>
      <c r="M8" s="200">
        <f>L8/L17</f>
        <v>8.6468016861849767E-2</v>
      </c>
      <c r="N8" s="201">
        <f t="shared" si="3"/>
        <v>22483500.725925926</v>
      </c>
      <c r="O8" s="201">
        <f>(H8+J8+L8+N8)/3.15</f>
        <v>25063075.508759551</v>
      </c>
      <c r="P8" s="157"/>
      <c r="Q8" s="421">
        <v>5</v>
      </c>
      <c r="R8" s="195" t="s">
        <v>611</v>
      </c>
      <c r="S8" s="202">
        <f>6690593.96*M5</f>
        <v>474695.72190908593</v>
      </c>
      <c r="T8" s="202">
        <f>6690593.96*M6</f>
        <v>500147.31330663676</v>
      </c>
      <c r="U8" s="202">
        <f>6690593.96*M7</f>
        <v>543335.9113918806</v>
      </c>
      <c r="V8" s="202">
        <f>6690593.96*M8</f>
        <v>578522.39134907024</v>
      </c>
      <c r="W8" s="202">
        <f>6690593.96*M9</f>
        <v>569289.65102950251</v>
      </c>
      <c r="X8" s="202">
        <f>6690593.96*M10</f>
        <v>507370.12927393912</v>
      </c>
      <c r="Y8" s="202">
        <f>6690593.96*M11</f>
        <v>567977.03188146814</v>
      </c>
      <c r="Z8" s="202">
        <f>6690593.96*M12</f>
        <v>544178.63750698604</v>
      </c>
      <c r="AA8" s="202">
        <f>6690593.96*M13</f>
        <v>511182.20005704544</v>
      </c>
      <c r="AB8" s="202">
        <f>6690593.96*M14</f>
        <v>538517.71017306356</v>
      </c>
      <c r="AC8" s="202">
        <f>6690593.96*M15</f>
        <v>573148.93272197887</v>
      </c>
      <c r="AD8" s="202">
        <f>6690593.96*M16</f>
        <v>782228.32939934218</v>
      </c>
      <c r="AE8" s="137">
        <f t="shared" si="1"/>
        <v>6690593.959999999</v>
      </c>
      <c r="AF8" s="180">
        <f t="shared" si="2"/>
        <v>2.8013577929782572E-2</v>
      </c>
      <c r="AG8" s="167"/>
      <c r="AH8" s="197"/>
      <c r="AI8" s="198"/>
    </row>
    <row r="9" spans="1:35" x14ac:dyDescent="0.15">
      <c r="A9" s="192" t="s">
        <v>579</v>
      </c>
      <c r="B9" s="137">
        <f>10655694.71</f>
        <v>10655694.710000001</v>
      </c>
      <c r="C9" s="200">
        <f>B9/B17</f>
        <v>8.6026124391095957E-2</v>
      </c>
      <c r="D9" s="137">
        <v>11989284.640000001</v>
      </c>
      <c r="E9" s="200">
        <f>D9/D17</f>
        <v>7.790882501938759E-2</v>
      </c>
      <c r="F9" s="137">
        <f>16289542.18</f>
        <v>16289542.18</v>
      </c>
      <c r="G9" s="200">
        <f>F9/F17</f>
        <v>8.9829992918868243E-2</v>
      </c>
      <c r="H9" s="137">
        <v>16718646.039999999</v>
      </c>
      <c r="I9" s="200">
        <f>H9/H17</f>
        <v>8.7977632140400636E-2</v>
      </c>
      <c r="J9" s="137">
        <v>15968283.01</v>
      </c>
      <c r="K9" s="200">
        <f>J9/J17</f>
        <v>7.7536344507621979E-2</v>
      </c>
      <c r="L9" s="201">
        <f t="shared" ref="L9:L16" si="4">((D9+F9+H9+J9)/3)</f>
        <v>20321918.623333331</v>
      </c>
      <c r="M9" s="200">
        <f>L9/L17</f>
        <v>8.5088058613783005E-2</v>
      </c>
      <c r="N9" s="201">
        <f t="shared" si="3"/>
        <v>21999488.842328042</v>
      </c>
      <c r="O9" s="201">
        <f>((H9+J9+L9+N9)/3.15)-5409.33</f>
        <v>23806760.992432185</v>
      </c>
      <c r="P9" s="157"/>
      <c r="Q9" s="421">
        <v>6</v>
      </c>
      <c r="R9" s="195" t="s">
        <v>612</v>
      </c>
      <c r="S9" s="202">
        <f>4449665*M5</f>
        <v>315702.45512680802</v>
      </c>
      <c r="T9" s="202">
        <f>4449665*M6</f>
        <v>332629.36118523264</v>
      </c>
      <c r="U9" s="202">
        <f>4449665*M7</f>
        <v>361352.490170178</v>
      </c>
      <c r="V9" s="202">
        <f>4449665*M8</f>
        <v>384753.70824958273</v>
      </c>
      <c r="W9" s="202">
        <f>4449665*M9</f>
        <v>378613.35633169877</v>
      </c>
      <c r="X9" s="202">
        <f>4449665*M10</f>
        <v>337432.98723148374</v>
      </c>
      <c r="Y9" s="202">
        <f>4449665*M11</f>
        <v>377740.38219573151</v>
      </c>
      <c r="Z9" s="202">
        <f>4449665*M12</f>
        <v>361912.95594068948</v>
      </c>
      <c r="AA9" s="202">
        <f>4449665*M13</f>
        <v>339968.25361329102</v>
      </c>
      <c r="AB9" s="202">
        <f>4449665*M14</f>
        <v>358148.0838865948</v>
      </c>
      <c r="AC9" s="202">
        <f>4449665*M15</f>
        <v>381180.02093200473</v>
      </c>
      <c r="AD9" s="202">
        <f>4449665*M16</f>
        <v>520230.94513670407</v>
      </c>
      <c r="AE9" s="137">
        <f t="shared" si="1"/>
        <v>4449665</v>
      </c>
      <c r="AF9" s="180">
        <f t="shared" si="2"/>
        <v>1.863078793664023E-2</v>
      </c>
      <c r="AG9" s="167"/>
      <c r="AH9" s="197"/>
      <c r="AI9" s="198"/>
    </row>
    <row r="10" spans="1:35" x14ac:dyDescent="0.15">
      <c r="A10" s="192" t="s">
        <v>580</v>
      </c>
      <c r="B10" s="137">
        <f>8869527.04</f>
        <v>8869527.0399999991</v>
      </c>
      <c r="C10" s="200">
        <f>B10/B17</f>
        <v>7.1605940034784363E-2</v>
      </c>
      <c r="D10" s="137">
        <v>11272675.199999999</v>
      </c>
      <c r="E10" s="200">
        <f>D10/D17</f>
        <v>7.3252150234810826E-2</v>
      </c>
      <c r="F10" s="137">
        <f>15360054.2</f>
        <v>15360054.199999999</v>
      </c>
      <c r="G10" s="200">
        <f>F10/F17</f>
        <v>8.4704256557530361E-2</v>
      </c>
      <c r="H10" s="137">
        <v>14376945.189999999</v>
      </c>
      <c r="I10" s="200">
        <f>H10/H17</f>
        <v>7.5655025664298492E-2</v>
      </c>
      <c r="J10" s="137">
        <v>13325062.359999999</v>
      </c>
      <c r="K10" s="200">
        <f>J10/J17</f>
        <v>6.4701798251163775E-2</v>
      </c>
      <c r="L10" s="201">
        <f t="shared" si="4"/>
        <v>18111578.983333331</v>
      </c>
      <c r="M10" s="200">
        <f>L10/L17</f>
        <v>7.5833346382589192E-2</v>
      </c>
      <c r="N10" s="201">
        <f t="shared" si="3"/>
        <v>19420203.407407407</v>
      </c>
      <c r="O10" s="201">
        <f t="shared" ref="O10:O16" si="5">(H10+J10+L10+N10)/3.15</f>
        <v>20709139.663727216</v>
      </c>
      <c r="P10" s="157"/>
      <c r="Q10" s="421">
        <v>7</v>
      </c>
      <c r="R10" s="195" t="s">
        <v>1663</v>
      </c>
      <c r="S10" s="202">
        <f>1897395.33*M5</f>
        <v>134619.65429468063</v>
      </c>
      <c r="T10" s="202">
        <f>1897395.33*M6</f>
        <v>141837.50833686214</v>
      </c>
      <c r="U10" s="202">
        <f>1897395.33*M7</f>
        <v>154085.42605629112</v>
      </c>
      <c r="V10" s="202">
        <f>1897395.33*M8</f>
        <v>164064.011388035</v>
      </c>
      <c r="W10" s="202">
        <f>1897395.33*M9</f>
        <v>161445.68505255814</v>
      </c>
      <c r="X10" s="202">
        <f>1897395.33*M10</f>
        <v>143885.83728459713</v>
      </c>
      <c r="Y10" s="202">
        <f>1897395.33*M11</f>
        <v>161073.43746789839</v>
      </c>
      <c r="Z10" s="202">
        <f>1897395.33*M12</f>
        <v>154324.41598825081</v>
      </c>
      <c r="AA10" s="202">
        <f>1897395.33*M13</f>
        <v>144966.90801534813</v>
      </c>
      <c r="AB10" s="202">
        <f>1897395.33*M14</f>
        <v>152719.0253232262</v>
      </c>
      <c r="AC10" s="202">
        <f>1897395.33*M15</f>
        <v>162540.14439417078</v>
      </c>
      <c r="AD10" s="202">
        <f>1897395.33*M16</f>
        <v>221833.27639808133</v>
      </c>
      <c r="AE10" s="137">
        <f t="shared" si="1"/>
        <v>1897395.3299999998</v>
      </c>
      <c r="AF10" s="180">
        <f t="shared" si="2"/>
        <v>7.9444115512519488E-3</v>
      </c>
      <c r="AG10" s="167"/>
      <c r="AH10" s="197"/>
      <c r="AI10" s="198"/>
    </row>
    <row r="11" spans="1:35" x14ac:dyDescent="0.15">
      <c r="A11" s="192" t="s">
        <v>581</v>
      </c>
      <c r="B11" s="137">
        <f>10817635.8</f>
        <v>10817635.800000001</v>
      </c>
      <c r="C11" s="200">
        <f>B11/B17</f>
        <v>8.7333515859368382E-2</v>
      </c>
      <c r="D11" s="137">
        <f>14253541.57</f>
        <v>14253541.57</v>
      </c>
      <c r="E11" s="200">
        <f>D11/D17</f>
        <v>9.2622429897009861E-2</v>
      </c>
      <c r="F11" s="137">
        <f>16263570.87</f>
        <v>16263570.869999999</v>
      </c>
      <c r="G11" s="200">
        <f>F11/F17</f>
        <v>8.9686772037175316E-2</v>
      </c>
      <c r="H11" s="137">
        <v>16887961.460000001</v>
      </c>
      <c r="I11" s="200">
        <f>H11/H17</f>
        <v>8.8868611571439396E-2</v>
      </c>
      <c r="J11" s="137">
        <v>18999860.82</v>
      </c>
      <c r="K11" s="200">
        <f>J11/J17</f>
        <v>9.2256616019006102E-2</v>
      </c>
      <c r="L11" s="201">
        <f>((D11+F11+H11+J11)/3)-1859916.15</f>
        <v>20275062.09</v>
      </c>
      <c r="M11" s="200">
        <f>L11/L17</f>
        <v>8.4891869881380172E-2</v>
      </c>
      <c r="N11" s="201">
        <f t="shared" si="3"/>
        <v>22992525.473015871</v>
      </c>
      <c r="O11" s="201">
        <f t="shared" si="5"/>
        <v>25128701.53746536</v>
      </c>
      <c r="P11" s="157"/>
      <c r="Q11" s="421">
        <v>8</v>
      </c>
      <c r="R11" s="195" t="s">
        <v>613</v>
      </c>
      <c r="S11" s="202">
        <f>18654292.06*M5</f>
        <v>1323516.6696806436</v>
      </c>
      <c r="T11" s="202">
        <f>18654292.06*M6</f>
        <v>1394479.191417906</v>
      </c>
      <c r="U11" s="202">
        <f>18654292.06*M7</f>
        <v>1514894.9164134332</v>
      </c>
      <c r="V11" s="202">
        <f>18654292.06*M8</f>
        <v>1612999.64038995</v>
      </c>
      <c r="W11" s="202">
        <f>18654292.06*M9</f>
        <v>1587257.4961999068</v>
      </c>
      <c r="X11" s="202">
        <f>18654292.06*M10</f>
        <v>1414617.3913079633</v>
      </c>
      <c r="Y11" s="202">
        <f>18654292.06*M11</f>
        <v>1583597.7342867833</v>
      </c>
      <c r="Z11" s="202">
        <f>18654292.06*M12</f>
        <v>1517244.5522113538</v>
      </c>
      <c r="AA11" s="202">
        <f>18654292.06*M13</f>
        <v>1425245.9666133251</v>
      </c>
      <c r="AB11" s="202">
        <f>18654292.06*M14</f>
        <v>1501461.1116904125</v>
      </c>
      <c r="AC11" s="202">
        <f>18654292.06*M15</f>
        <v>1598017.7019848749</v>
      </c>
      <c r="AD11" s="202">
        <f>18654292.06*M16</f>
        <v>2180959.6878034445</v>
      </c>
      <c r="AE11" s="137">
        <f t="shared" si="1"/>
        <v>18654292.059999995</v>
      </c>
      <c r="AF11" s="180">
        <f t="shared" si="2"/>
        <v>7.8105690985279017E-2</v>
      </c>
      <c r="AG11" s="167"/>
      <c r="AH11" s="197"/>
      <c r="AI11" s="198"/>
    </row>
    <row r="12" spans="1:35" x14ac:dyDescent="0.15">
      <c r="A12" s="192" t="s">
        <v>582</v>
      </c>
      <c r="B12" s="137">
        <f>9516468.8</f>
        <v>9516468.8000000007</v>
      </c>
      <c r="C12" s="200">
        <f>B12/B17</f>
        <v>7.6828864849562084E-2</v>
      </c>
      <c r="D12" s="137">
        <f>11797731.93</f>
        <v>11797731.93</v>
      </c>
      <c r="E12" s="200">
        <f>D12/D17</f>
        <v>7.6664076311396323E-2</v>
      </c>
      <c r="F12" s="137">
        <f>13839215.47</f>
        <v>13839215.470000001</v>
      </c>
      <c r="G12" s="200">
        <f>F12/F17</f>
        <v>7.6317468835873203E-2</v>
      </c>
      <c r="H12" s="137">
        <v>15667411.140000001</v>
      </c>
      <c r="I12" s="200">
        <f>H12/H17</f>
        <v>8.2445775248157299E-2</v>
      </c>
      <c r="J12" s="137">
        <f>16972235.64</f>
        <v>16972235.640000001</v>
      </c>
      <c r="K12" s="200">
        <f>J12/J17</f>
        <v>8.2411184021692757E-2</v>
      </c>
      <c r="L12" s="201">
        <f t="shared" si="4"/>
        <v>19425531.393333334</v>
      </c>
      <c r="M12" s="200">
        <f>L12/L17</f>
        <v>8.1334877106633757E-2</v>
      </c>
      <c r="N12" s="201">
        <f t="shared" si="3"/>
        <v>20922029.728042327</v>
      </c>
      <c r="O12" s="201">
        <f t="shared" si="5"/>
        <v>23170542.190912906</v>
      </c>
      <c r="P12" s="157"/>
      <c r="Q12" s="421">
        <v>9</v>
      </c>
      <c r="R12" s="195" t="s">
        <v>1664</v>
      </c>
      <c r="S12" s="202">
        <f>62983115.36*M5</f>
        <v>4468633.9647337431</v>
      </c>
      <c r="T12" s="202">
        <f>62983115.36*M6</f>
        <v>4708227.1199410772</v>
      </c>
      <c r="U12" s="202">
        <f>62983115.36*M7</f>
        <v>5114790.7930173595</v>
      </c>
      <c r="V12" s="202">
        <f>62983115.36*M8</f>
        <v>5446025.0809603091</v>
      </c>
      <c r="W12" s="202">
        <f>62983115.36*M9</f>
        <v>5359111.0114303362</v>
      </c>
      <c r="X12" s="202">
        <f>62983115.36*M10</f>
        <v>4776220.4033494536</v>
      </c>
      <c r="Y12" s="202">
        <f>62983115.36*M11</f>
        <v>5346754.4338650769</v>
      </c>
      <c r="Z12" s="202">
        <f>62983115.36*M12</f>
        <v>5122723.9475985365</v>
      </c>
      <c r="AA12" s="202">
        <f>62983115.36*M13</f>
        <v>4812106.0205798969</v>
      </c>
      <c r="AB12" s="202">
        <f>62983115.36*M14</f>
        <v>5069433.7851034533</v>
      </c>
      <c r="AC12" s="202">
        <f>62983115.36*M15</f>
        <v>5395441.0570880426</v>
      </c>
      <c r="AD12" s="202">
        <f>62983115.36*M16</f>
        <v>7363647.7423327072</v>
      </c>
      <c r="AE12" s="137">
        <f t="shared" si="1"/>
        <v>62983115.359999992</v>
      </c>
      <c r="AF12" s="180">
        <f t="shared" si="2"/>
        <v>0.26371087842817559</v>
      </c>
      <c r="AG12" s="167"/>
      <c r="AH12" s="197"/>
      <c r="AI12" s="198"/>
    </row>
    <row r="13" spans="1:35" x14ac:dyDescent="0.15">
      <c r="A13" s="192" t="s">
        <v>583</v>
      </c>
      <c r="B13" s="137">
        <f>10310037.68</f>
        <v>10310037.68</v>
      </c>
      <c r="C13" s="200">
        <f>B13/B17</f>
        <v>8.3235547571028926E-2</v>
      </c>
      <c r="D13" s="137">
        <f>10677554.69</f>
        <v>10677554.689999999</v>
      </c>
      <c r="E13" s="200">
        <f>D13/D17</f>
        <v>6.9384935378275517E-2</v>
      </c>
      <c r="F13" s="137">
        <f>14057080.83</f>
        <v>14057080.83</v>
      </c>
      <c r="G13" s="200">
        <f>F13/F17</f>
        <v>7.7518904918594755E-2</v>
      </c>
      <c r="H13" s="174">
        <v>14355882.1</v>
      </c>
      <c r="I13" s="200">
        <f>H13/H17</f>
        <v>7.5544186498296265E-2</v>
      </c>
      <c r="J13" s="174">
        <f>15652457.52</f>
        <v>15652457.52</v>
      </c>
      <c r="K13" s="200">
        <f>J13/J17</f>
        <v>7.6002807434062264E-2</v>
      </c>
      <c r="L13" s="201">
        <f t="shared" si="4"/>
        <v>18247658.379999999</v>
      </c>
      <c r="M13" s="200">
        <f>L13/L17</f>
        <v>7.6403112057489952E-2</v>
      </c>
      <c r="N13" s="201">
        <f t="shared" si="3"/>
        <v>19781929.787301589</v>
      </c>
      <c r="O13" s="201">
        <f t="shared" si="5"/>
        <v>21599342.154698916</v>
      </c>
      <c r="P13" s="157"/>
      <c r="Q13" s="421">
        <v>10</v>
      </c>
      <c r="R13" s="195" t="s">
        <v>615</v>
      </c>
      <c r="S13" s="202">
        <f>42013831.52*M5</f>
        <v>2980869.2924406836</v>
      </c>
      <c r="T13" s="202">
        <f>42013831.52*M6</f>
        <v>3140693.4992727749</v>
      </c>
      <c r="U13" s="202">
        <f>42013831.52*M7</f>
        <v>3411897.8937385883</v>
      </c>
      <c r="V13" s="202">
        <f>42013831.52*M8</f>
        <v>3632852.6923022754</v>
      </c>
      <c r="W13" s="202">
        <f>42013831.52*M9</f>
        <v>3574875.3589633643</v>
      </c>
      <c r="X13" s="202">
        <f>42013831.52*M10</f>
        <v>3186049.4385159039</v>
      </c>
      <c r="Y13" s="202">
        <f>42013831.52*M11</f>
        <v>3566632.7186140693</v>
      </c>
      <c r="Z13" s="202">
        <f>42013831.52*M12</f>
        <v>3417189.8234580159</v>
      </c>
      <c r="AA13" s="202">
        <f>42013831.52*M13</f>
        <v>3209987.4775870638</v>
      </c>
      <c r="AB13" s="202">
        <f>42013831.52*M14</f>
        <v>3381641.8214904321</v>
      </c>
      <c r="AC13" s="202">
        <f>42013831.52*M15</f>
        <v>3599109.8606810444</v>
      </c>
      <c r="AD13" s="202">
        <f>42013831.52*M16</f>
        <v>4912031.6429357827</v>
      </c>
      <c r="AE13" s="137">
        <f t="shared" si="1"/>
        <v>42013831.519999996</v>
      </c>
      <c r="AF13" s="180">
        <f t="shared" si="2"/>
        <v>0.17591229574694972</v>
      </c>
      <c r="AG13" s="167"/>
      <c r="AH13" s="197"/>
      <c r="AI13" s="198"/>
    </row>
    <row r="14" spans="1:35" x14ac:dyDescent="0.15">
      <c r="A14" s="192" t="s">
        <v>584</v>
      </c>
      <c r="B14" s="137">
        <v>9354372.8800000008</v>
      </c>
      <c r="C14" s="200">
        <f>B14/B17</f>
        <v>7.5520223399453468E-2</v>
      </c>
      <c r="D14" s="137">
        <v>13448877.529999999</v>
      </c>
      <c r="E14" s="200">
        <f>D14/D17</f>
        <v>8.7393558302569702E-2</v>
      </c>
      <c r="F14" s="137">
        <f>12305397.85</f>
        <v>12305397.85</v>
      </c>
      <c r="G14" s="200">
        <f>F14/F17</f>
        <v>6.7859107979507172E-2</v>
      </c>
      <c r="H14" s="137">
        <f>14601625.39</f>
        <v>14601625.390000001</v>
      </c>
      <c r="I14" s="200">
        <f>H14/H17</f>
        <v>7.6837348200318387E-2</v>
      </c>
      <c r="J14" s="137">
        <f>17314459.46</f>
        <v>17314459.460000001</v>
      </c>
      <c r="K14" s="200">
        <f>J14/J17</f>
        <v>8.4072902065493546E-2</v>
      </c>
      <c r="L14" s="201">
        <f t="shared" si="4"/>
        <v>19223453.41</v>
      </c>
      <c r="M14" s="200">
        <f>L14/L17</f>
        <v>8.0488774747446118E-2</v>
      </c>
      <c r="N14" s="201">
        <f t="shared" si="3"/>
        <v>20141249.558730159</v>
      </c>
      <c r="O14" s="201">
        <f t="shared" si="5"/>
        <v>22628821.529755607</v>
      </c>
      <c r="P14" s="157"/>
      <c r="Q14" s="421">
        <v>11</v>
      </c>
      <c r="R14" s="195" t="s">
        <v>1665</v>
      </c>
      <c r="S14" s="202">
        <f>5108899.03*M5</f>
        <v>362474.92041894572</v>
      </c>
      <c r="T14" s="202">
        <f>5108899.03*M6</f>
        <v>381909.60908489849</v>
      </c>
      <c r="U14" s="202">
        <f>5108899.03*M7</f>
        <v>414888.17394534353</v>
      </c>
      <c r="V14" s="202">
        <f>5108899.03*M8</f>
        <v>441756.36747152795</v>
      </c>
      <c r="W14" s="202">
        <f>5108899.03*M9</f>
        <v>434706.30011653918</v>
      </c>
      <c r="X14" s="202">
        <f>5108899.03*M10</f>
        <v>387424.90977566398</v>
      </c>
      <c r="Y14" s="202">
        <f>5108899.03*M11</f>
        <v>433703.99169186939</v>
      </c>
      <c r="Z14" s="202">
        <f>5108899.03*M12</f>
        <v>415531.67475525045</v>
      </c>
      <c r="AA14" s="202">
        <f>5108899.03*M13</f>
        <v>390335.78507949173</v>
      </c>
      <c r="AB14" s="202">
        <f>5108899.03*M14</f>
        <v>411209.02323311596</v>
      </c>
      <c r="AC14" s="202">
        <f>5108899.03*M15</f>
        <v>437653.22539896792</v>
      </c>
      <c r="AD14" s="202">
        <f>5108899.03*M16</f>
        <v>597305.04902838555</v>
      </c>
      <c r="AE14" s="137">
        <f>SUM(S14:AD14)</f>
        <v>5108899.03</v>
      </c>
      <c r="AF14" s="180">
        <f t="shared" si="2"/>
        <v>2.1391006832567616E-2</v>
      </c>
      <c r="AG14" s="167"/>
      <c r="AH14" s="197"/>
      <c r="AI14" s="198"/>
    </row>
    <row r="15" spans="1:35" x14ac:dyDescent="0.15">
      <c r="A15" s="192" t="s">
        <v>585</v>
      </c>
      <c r="B15" s="137">
        <f>9067503.09</f>
        <v>9067503.0899999999</v>
      </c>
      <c r="C15" s="200">
        <f>B15/B17</f>
        <v>7.3204250869250628E-2</v>
      </c>
      <c r="D15" s="137">
        <v>13400302.84</v>
      </c>
      <c r="E15" s="200">
        <f>D15/D17</f>
        <v>8.7077910026862326E-2</v>
      </c>
      <c r="F15" s="137">
        <f>16123815.58</f>
        <v>16123815.58</v>
      </c>
      <c r="G15" s="200">
        <f>F15/F17</f>
        <v>8.8916080229366978E-2</v>
      </c>
      <c r="H15" s="137">
        <f>16996481.65+420676</f>
        <v>17417157.649999999</v>
      </c>
      <c r="I15" s="200">
        <f>H15/H17</f>
        <v>9.1653372228643989E-2</v>
      </c>
      <c r="J15" s="137">
        <f>14437773.85</f>
        <v>14437773.85</v>
      </c>
      <c r="K15" s="200">
        <f>J15/J17</f>
        <v>7.0104732390807972E-2</v>
      </c>
      <c r="L15" s="201">
        <f t="shared" si="4"/>
        <v>20459683.306666669</v>
      </c>
      <c r="M15" s="200">
        <f>L15/L17</f>
        <v>8.5664880599327073E-2</v>
      </c>
      <c r="N15" s="201">
        <f t="shared" si="3"/>
        <v>21726485.837037038</v>
      </c>
      <c r="O15" s="201">
        <f t="shared" si="5"/>
        <v>23505111.315461498</v>
      </c>
      <c r="P15" s="157"/>
      <c r="Q15" s="421">
        <v>12</v>
      </c>
      <c r="R15" s="195" t="s">
        <v>1666</v>
      </c>
      <c r="S15" s="202">
        <f>2723918.92*M5</f>
        <v>193261.26587290579</v>
      </c>
      <c r="T15" s="202">
        <f>2723918.92*M6</f>
        <v>203623.28631031074</v>
      </c>
      <c r="U15" s="202">
        <f>2723918.92*M7</f>
        <v>221206.51436988221</v>
      </c>
      <c r="V15" s="202">
        <f>2723918.92*M8</f>
        <v>235531.86710487161</v>
      </c>
      <c r="W15" s="202">
        <f>2723918.92*M9</f>
        <v>231772.9727241525</v>
      </c>
      <c r="X15" s="202">
        <f>2723918.92*M10</f>
        <v>206563.88697844825</v>
      </c>
      <c r="Y15" s="202">
        <f>2723918.92*M11</f>
        <v>231238.5705240696</v>
      </c>
      <c r="Z15" s="202">
        <f>2723918.92*M12</f>
        <v>221549.61060663455</v>
      </c>
      <c r="AA15" s="202">
        <f>2723918.92*M13</f>
        <v>208115.88248027701</v>
      </c>
      <c r="AB15" s="202">
        <f>2723918.92*M14</f>
        <v>219244.89638218671</v>
      </c>
      <c r="AC15" s="202">
        <f>2723918.92*M15</f>
        <v>233344.18904404793</v>
      </c>
      <c r="AD15" s="202">
        <f>2723918.92*M16</f>
        <v>318465.97760221281</v>
      </c>
      <c r="AE15" s="137">
        <f t="shared" si="1"/>
        <v>2723918.9199999995</v>
      </c>
      <c r="AF15" s="180">
        <f t="shared" si="2"/>
        <v>1.1405073360606265E-2</v>
      </c>
      <c r="AG15" s="167"/>
      <c r="AH15" s="197"/>
      <c r="AI15" s="198"/>
    </row>
    <row r="16" spans="1:35" x14ac:dyDescent="0.15">
      <c r="A16" s="192" t="s">
        <v>586</v>
      </c>
      <c r="B16" s="137">
        <v>14606142.369999999</v>
      </c>
      <c r="C16" s="200">
        <f>B16/B17</f>
        <v>0.11791908970669795</v>
      </c>
      <c r="D16" s="137">
        <f>20526658.64</f>
        <v>20526658.640000001</v>
      </c>
      <c r="E16" s="200">
        <f>D16/D17</f>
        <v>0.13338642831791675</v>
      </c>
      <c r="F16" s="137">
        <f>21305511</f>
        <v>21305511</v>
      </c>
      <c r="G16" s="200">
        <f>F16/F17</f>
        <v>0.11749095714996145</v>
      </c>
      <c r="H16" s="137">
        <f>19497600.88</f>
        <v>19497600.879999999</v>
      </c>
      <c r="I16" s="200">
        <f>H16/H17</f>
        <v>0.10260117677812813</v>
      </c>
      <c r="J16" s="137">
        <f>22439785.59</f>
        <v>22439785.59</v>
      </c>
      <c r="K16" s="200">
        <f>J16/J17</f>
        <v>0.10895967619648364</v>
      </c>
      <c r="L16" s="201">
        <f t="shared" si="4"/>
        <v>27923185.370000001</v>
      </c>
      <c r="M16" s="200">
        <f>L16/L17</f>
        <v>0.11691463180637286</v>
      </c>
      <c r="N16" s="201">
        <f t="shared" si="3"/>
        <v>28941613.600000001</v>
      </c>
      <c r="O16" s="201">
        <f t="shared" si="5"/>
        <v>31365773.155555557</v>
      </c>
      <c r="P16" s="157"/>
      <c r="Q16" s="421">
        <v>13</v>
      </c>
      <c r="R16" s="195" t="s">
        <v>616</v>
      </c>
      <c r="S16" s="202">
        <f>16222948.06*M5</f>
        <v>1151013.510441053</v>
      </c>
      <c r="T16" s="202">
        <f>16222948.06*M6</f>
        <v>1212726.9917485944</v>
      </c>
      <c r="U16" s="202">
        <f>16222948.06*M7</f>
        <v>1317448.0953920034</v>
      </c>
      <c r="V16" s="202">
        <f>16222948.06*M8</f>
        <v>1402766.146400993</v>
      </c>
      <c r="W16" s="202">
        <f>16222948.06*M9</f>
        <v>1380379.1554176374</v>
      </c>
      <c r="X16" s="202">
        <f>16222948.06*M10</f>
        <v>1230240.4395807334</v>
      </c>
      <c r="Y16" s="202">
        <f>16222948.06*M11</f>
        <v>1377196.395801909</v>
      </c>
      <c r="Z16" s="202">
        <f>16222948.06*M12</f>
        <v>1319491.4867674026</v>
      </c>
      <c r="AA16" s="202">
        <f>16222948.06*M13</f>
        <v>1239483.7185310193</v>
      </c>
      <c r="AB16" s="202">
        <f>16222948.06*M14</f>
        <v>1305765.2121408579</v>
      </c>
      <c r="AC16" s="202">
        <f>16222948.06*M15</f>
        <v>1389736.9085289848</v>
      </c>
      <c r="AD16" s="202">
        <f>16222948.06*M16</f>
        <v>1896699.999248811</v>
      </c>
      <c r="AE16" s="137">
        <f t="shared" si="1"/>
        <v>16222948.059999999</v>
      </c>
      <c r="AF16" s="180">
        <f t="shared" si="2"/>
        <v>6.792563148304176E-2</v>
      </c>
      <c r="AG16" s="167"/>
      <c r="AH16" s="197"/>
      <c r="AI16" s="198"/>
    </row>
    <row r="17" spans="1:35" x14ac:dyDescent="0.15">
      <c r="A17" s="195" t="s">
        <v>617</v>
      </c>
      <c r="B17" s="137">
        <f>SUM(B5:B16)</f>
        <v>123865799.90000001</v>
      </c>
      <c r="C17" s="200">
        <f>B17/B17</f>
        <v>1</v>
      </c>
      <c r="D17" s="137">
        <f>SUM(D5:D16)</f>
        <v>153888659.43000001</v>
      </c>
      <c r="E17" s="200">
        <f>D17/D17</f>
        <v>1</v>
      </c>
      <c r="F17" s="137">
        <f>SUM(F5:F16)</f>
        <v>181337453.68000001</v>
      </c>
      <c r="G17" s="200">
        <f>F17/F17</f>
        <v>1</v>
      </c>
      <c r="H17" s="137">
        <f>SUM(H5:H16)</f>
        <v>190032916.70000002</v>
      </c>
      <c r="I17" s="200">
        <f>H17/H17</f>
        <v>1</v>
      </c>
      <c r="J17" s="137">
        <f>SUM(J5:J16)</f>
        <v>205945780.80000001</v>
      </c>
      <c r="K17" s="200">
        <f>J17/J17</f>
        <v>1</v>
      </c>
      <c r="L17" s="201">
        <f>SUM(L5:L16)</f>
        <v>238833967.47333336</v>
      </c>
      <c r="M17" s="200">
        <f>L17/L17</f>
        <v>1</v>
      </c>
      <c r="N17" s="201">
        <f>SUM(N5:N16)</f>
        <v>258741225.60296294</v>
      </c>
      <c r="O17" s="201">
        <f>SUM(O5:O16)</f>
        <v>283662492.44025278</v>
      </c>
      <c r="P17" s="203"/>
      <c r="Q17" s="421">
        <v>14</v>
      </c>
      <c r="R17" s="195" t="s">
        <v>618</v>
      </c>
      <c r="S17" s="202">
        <f>3656199.9*M5</f>
        <v>259406.3339294958</v>
      </c>
      <c r="T17" s="202">
        <f>3656199.9*M6</f>
        <v>273314.83091480174</v>
      </c>
      <c r="U17" s="202">
        <f>3656199.9*M7</f>
        <v>296916.04613492382</v>
      </c>
      <c r="V17" s="202">
        <f>3656199.9*M8</f>
        <v>316144.35460349341</v>
      </c>
      <c r="W17" s="202">
        <f>3656199.9*M9</f>
        <v>311098.95139490755</v>
      </c>
      <c r="X17" s="202">
        <f>3656199.9*M10</f>
        <v>277261.87346068799</v>
      </c>
      <c r="Y17" s="202">
        <f>3656199.9*M11</f>
        <v>310381.64617111516</v>
      </c>
      <c r="Z17" s="202">
        <f>3656199.9*M12</f>
        <v>297376.56954378664</v>
      </c>
      <c r="AA17" s="202">
        <f>3656199.9*M13</f>
        <v>279345.05066428357</v>
      </c>
      <c r="AB17" s="202">
        <f>3656199.9*M14</f>
        <v>294283.05018273502</v>
      </c>
      <c r="AC17" s="202">
        <f>3656199.9*M15</f>
        <v>313207.92788077157</v>
      </c>
      <c r="AD17" s="202">
        <f>3656199.9*M16</f>
        <v>427463.26511899725</v>
      </c>
      <c r="AE17" s="137">
        <f t="shared" si="1"/>
        <v>3656199.8999999994</v>
      </c>
      <c r="AF17" s="180">
        <f t="shared" si="2"/>
        <v>1.5308542326414506E-2</v>
      </c>
      <c r="AG17" s="167"/>
      <c r="AH17" s="197"/>
      <c r="AI17" s="198"/>
    </row>
    <row r="18" spans="1:35" x14ac:dyDescent="0.15">
      <c r="A18" s="1043" t="s">
        <v>619</v>
      </c>
      <c r="B18" s="1043"/>
      <c r="C18" s="177"/>
      <c r="D18" s="177">
        <f>(D17-B17)/B17</f>
        <v>0.2423821551569377</v>
      </c>
      <c r="E18" s="177"/>
      <c r="F18" s="177">
        <f>(F17-D17)/D17</f>
        <v>0.17836788202372866</v>
      </c>
      <c r="G18" s="421"/>
      <c r="H18" s="177">
        <f>(H17-F17)/F17</f>
        <v>4.7951831480685707E-2</v>
      </c>
      <c r="I18" s="421"/>
      <c r="J18" s="177">
        <f>(J17-H17)/H17</f>
        <v>8.3737409162230644E-2</v>
      </c>
      <c r="K18" s="177"/>
      <c r="L18" s="177">
        <f>(L17-J17)/J17</f>
        <v>0.15969342292703742</v>
      </c>
      <c r="M18" s="421"/>
      <c r="N18" s="177">
        <f>(N17-L17)/L17</f>
        <v>8.3351871344901129E-2</v>
      </c>
      <c r="O18" s="177">
        <f>(O17-N17)/N17</f>
        <v>9.631734092321026E-2</v>
      </c>
      <c r="Q18" s="421">
        <v>15</v>
      </c>
      <c r="R18" s="195" t="s">
        <v>620</v>
      </c>
      <c r="S18" s="202">
        <f>55703630.92*M5</f>
        <v>3952156.6322232294</v>
      </c>
      <c r="T18" s="202">
        <f>55703630.92*M6</f>
        <v>4164058.0063033001</v>
      </c>
      <c r="U18" s="202">
        <f>55703630.92*M7</f>
        <v>4523631.7215930913</v>
      </c>
      <c r="V18" s="202">
        <f>55703630.92*M8</f>
        <v>4816582.4976568166</v>
      </c>
      <c r="W18" s="202">
        <f>55703630.92*M9</f>
        <v>4739713.8127214955</v>
      </c>
      <c r="X18" s="202">
        <f>55703630.92*M10</f>
        <v>4224192.7383242659</v>
      </c>
      <c r="Y18" s="202">
        <f>55703630.92*M11</f>
        <v>4728785.3879810655</v>
      </c>
      <c r="Z18" s="202">
        <f>55703630.92*M12</f>
        <v>4530647.9752714848</v>
      </c>
      <c r="AA18" s="202">
        <f>55703630.92*M13</f>
        <v>4255930.7551898221</v>
      </c>
      <c r="AB18" s="202">
        <f>55703630.92*M14</f>
        <v>4483517.001734755</v>
      </c>
      <c r="AC18" s="202">
        <f>55703630.92*M15</f>
        <v>4771844.8917107843</v>
      </c>
      <c r="AD18" s="202">
        <f>55703630.92*M16</f>
        <v>6512569.499289887</v>
      </c>
      <c r="AE18" s="137">
        <f t="shared" si="1"/>
        <v>55703630.919999987</v>
      </c>
      <c r="AF18" s="180">
        <f t="shared" si="2"/>
        <v>0.23323161068785975</v>
      </c>
      <c r="AG18" s="167"/>
      <c r="AH18" s="197"/>
      <c r="AI18" s="198"/>
    </row>
    <row r="19" spans="1:35" x14ac:dyDescent="0.15">
      <c r="L19" s="167">
        <f>238833967.47-L17</f>
        <v>-3.333359956741333E-3</v>
      </c>
      <c r="N19" s="166"/>
      <c r="O19" s="166"/>
      <c r="P19" s="193"/>
      <c r="Q19" s="421">
        <v>16</v>
      </c>
      <c r="R19" s="195" t="s">
        <v>621</v>
      </c>
      <c r="S19" s="202">
        <f>6010493.84*M5</f>
        <v>426442.81351799652</v>
      </c>
      <c r="T19" s="202">
        <f>6010493.84*M6</f>
        <v>449307.24591783335</v>
      </c>
      <c r="U19" s="202">
        <f>6010493.84*M7</f>
        <v>488105.71497776022</v>
      </c>
      <c r="V19" s="202">
        <f>6010493.84*M8</f>
        <v>519715.48270516412</v>
      </c>
      <c r="W19" s="202">
        <f>6010493.84*M9</f>
        <v>511421.25215570169</v>
      </c>
      <c r="X19" s="202">
        <f>6010493.84*M10</f>
        <v>455795.86129913863</v>
      </c>
      <c r="Y19" s="202">
        <f>6010493.84*M11</f>
        <v>510242.06098811707</v>
      </c>
      <c r="Z19" s="202">
        <f>6010493.84*M12</f>
        <v>488862.77782657923</v>
      </c>
      <c r="AA19" s="202">
        <f>6010493.84*M13</f>
        <v>459220.43437837309</v>
      </c>
      <c r="AB19" s="202">
        <f>6010493.84*M14</f>
        <v>483777.28480867244</v>
      </c>
      <c r="AC19" s="202">
        <f>6010493.84*M15</f>
        <v>514888.23714659089</v>
      </c>
      <c r="AD19" s="202">
        <f>6010493.84*M16</f>
        <v>702714.6742780722</v>
      </c>
      <c r="AE19" s="137">
        <f t="shared" si="1"/>
        <v>6010493.8399999989</v>
      </c>
      <c r="AF19" s="180">
        <f t="shared" si="2"/>
        <v>2.5165992524723187E-2</v>
      </c>
      <c r="AG19" s="167"/>
      <c r="AH19" s="197"/>
      <c r="AI19" s="198"/>
    </row>
    <row r="20" spans="1:35" x14ac:dyDescent="0.15">
      <c r="A20" s="192" t="s">
        <v>589</v>
      </c>
      <c r="B20" s="1042" t="s">
        <v>622</v>
      </c>
      <c r="C20" s="1042"/>
      <c r="D20" s="1042"/>
      <c r="E20" s="1042"/>
      <c r="F20" s="1042"/>
      <c r="G20" s="1042"/>
      <c r="H20" s="1042"/>
      <c r="I20" s="1042"/>
      <c r="J20" s="1042"/>
      <c r="K20" s="1042"/>
      <c r="L20" s="1042" t="s">
        <v>591</v>
      </c>
      <c r="M20" s="1042"/>
      <c r="N20" s="1042" t="s">
        <v>592</v>
      </c>
      <c r="O20" s="1042"/>
      <c r="P20" s="194"/>
      <c r="Q20" s="421" t="s">
        <v>623</v>
      </c>
      <c r="R20" s="195" t="s">
        <v>58</v>
      </c>
      <c r="S20" s="137">
        <f t="shared" ref="S20:AF20" si="6">SUM(S4:S19)</f>
        <v>17023800.307404868</v>
      </c>
      <c r="T20" s="137">
        <f t="shared" si="6"/>
        <v>17908200.606792063</v>
      </c>
      <c r="U20" s="137">
        <f t="shared" si="6"/>
        <v>19408932.269503661</v>
      </c>
      <c r="V20" s="137">
        <f t="shared" si="6"/>
        <v>20631603.690022945</v>
      </c>
      <c r="W20" s="137">
        <f t="shared" si="6"/>
        <v>20310781.381694693</v>
      </c>
      <c r="X20" s="137">
        <f t="shared" si="6"/>
        <v>18159181.400256921</v>
      </c>
      <c r="Y20" s="137">
        <f t="shared" si="6"/>
        <v>20265170.058246572</v>
      </c>
      <c r="Z20" s="137">
        <f t="shared" si="6"/>
        <v>19438215.594733074</v>
      </c>
      <c r="AA20" s="137">
        <f t="shared" si="6"/>
        <v>18291644.494183101</v>
      </c>
      <c r="AB20" s="137">
        <f t="shared" si="6"/>
        <v>19241507.82307633</v>
      </c>
      <c r="AC20" s="137">
        <f t="shared" si="6"/>
        <v>20444884.975883853</v>
      </c>
      <c r="AD20" s="137">
        <f t="shared" si="6"/>
        <v>27710044.868201904</v>
      </c>
      <c r="AE20" s="137">
        <f t="shared" si="6"/>
        <v>238833967.46999994</v>
      </c>
      <c r="AF20" s="517">
        <f t="shared" si="6"/>
        <v>1.0000000000000002</v>
      </c>
      <c r="AG20" s="204"/>
      <c r="AH20" s="197"/>
      <c r="AI20" s="198"/>
    </row>
    <row r="21" spans="1:35" x14ac:dyDescent="0.15">
      <c r="A21" s="421" t="s">
        <v>607</v>
      </c>
      <c r="B21" s="421">
        <f>B4</f>
        <v>2020</v>
      </c>
      <c r="C21" s="177" t="s">
        <v>221</v>
      </c>
      <c r="D21" s="421">
        <f>D4</f>
        <v>2021</v>
      </c>
      <c r="E21" s="421"/>
      <c r="F21" s="421">
        <f>F4</f>
        <v>2022</v>
      </c>
      <c r="G21" s="177" t="s">
        <v>221</v>
      </c>
      <c r="H21" s="421">
        <f>H4</f>
        <v>2023</v>
      </c>
      <c r="I21" s="177" t="s">
        <v>221</v>
      </c>
      <c r="J21" s="421">
        <f>J4</f>
        <v>2024</v>
      </c>
      <c r="K21" s="177" t="s">
        <v>221</v>
      </c>
      <c r="L21" s="421">
        <f>L4</f>
        <v>2025</v>
      </c>
      <c r="M21" s="421" t="s">
        <v>221</v>
      </c>
      <c r="N21" s="421">
        <f>N4</f>
        <v>2026</v>
      </c>
      <c r="O21" s="421">
        <f>O4</f>
        <v>2027</v>
      </c>
      <c r="P21" s="157"/>
      <c r="Q21" s="420"/>
      <c r="R21" s="205" t="s">
        <v>624</v>
      </c>
      <c r="S21" s="177">
        <f t="shared" ref="S21:AE21" si="7">S20/$AE$20</f>
        <v>7.1278807146823608E-2</v>
      </c>
      <c r="T21" s="177">
        <f t="shared" si="7"/>
        <v>7.4981799266226737E-2</v>
      </c>
      <c r="U21" s="177">
        <f t="shared" si="7"/>
        <v>8.1265376424907512E-2</v>
      </c>
      <c r="V21" s="177">
        <f t="shared" si="7"/>
        <v>8.6384712813576195E-2</v>
      </c>
      <c r="W21" s="177">
        <f t="shared" si="7"/>
        <v>8.5041426882656215E-2</v>
      </c>
      <c r="X21" s="177">
        <f t="shared" si="7"/>
        <v>7.6032658137448167E-2</v>
      </c>
      <c r="Y21" s="177">
        <f t="shared" si="7"/>
        <v>8.4850451855396539E-2</v>
      </c>
      <c r="Z21" s="177">
        <f t="shared" si="7"/>
        <v>8.1387985974711571E-2</v>
      </c>
      <c r="AA21" s="177">
        <f t="shared" si="7"/>
        <v>7.6587282319801192E-2</v>
      </c>
      <c r="AB21" s="177">
        <f t="shared" si="7"/>
        <v>8.0564368740779158E-2</v>
      </c>
      <c r="AC21" s="177">
        <f t="shared" si="7"/>
        <v>8.5602919854571968E-2</v>
      </c>
      <c r="AD21" s="177">
        <f t="shared" si="7"/>
        <v>0.11602221058310132</v>
      </c>
      <c r="AE21" s="177">
        <f t="shared" si="7"/>
        <v>1</v>
      </c>
      <c r="AF21" s="486">
        <f>AE20-238833967.47</f>
        <v>0</v>
      </c>
      <c r="AG21" s="178"/>
      <c r="AH21" s="636"/>
    </row>
    <row r="22" spans="1:35" x14ac:dyDescent="0.15">
      <c r="A22" s="192" t="s">
        <v>575</v>
      </c>
      <c r="B22" s="137">
        <f>7671797.23</f>
        <v>7671797.2300000004</v>
      </c>
      <c r="C22" s="200">
        <f>B22/B34</f>
        <v>6.2068218910190799E-2</v>
      </c>
      <c r="D22" s="137">
        <v>9502229.8300000001</v>
      </c>
      <c r="E22" s="200">
        <f>D22/D34</f>
        <v>6.8250821360057237E-2</v>
      </c>
      <c r="F22" s="137">
        <f>21974771.81-F23</f>
        <v>10042746.339999998</v>
      </c>
      <c r="G22" s="200">
        <f>F22/F34</f>
        <v>5.5878270828291311E-2</v>
      </c>
      <c r="H22" s="137">
        <f>12473185.97</f>
        <v>12473185.970000001</v>
      </c>
      <c r="I22" s="200">
        <f>H22/H34</f>
        <v>6.2129294204849195E-2</v>
      </c>
      <c r="J22" s="137">
        <v>14314421.99</v>
      </c>
      <c r="K22" s="200">
        <f>J22/J34</f>
        <v>7.0547115751722761E-2</v>
      </c>
      <c r="L22" s="137">
        <f>28776995.9-L23</f>
        <v>12744051.449999999</v>
      </c>
      <c r="M22" s="200">
        <f>L22/L34</f>
        <v>5.3823643801514366E-2</v>
      </c>
      <c r="N22" s="201">
        <f>(F22+H22+J22+L22)/3.2</f>
        <v>15492001.796875</v>
      </c>
      <c r="O22" s="201">
        <f t="shared" ref="O22:O33" si="8">(H22+J22+L22+N22)/3.3</f>
        <v>16673836.72935606</v>
      </c>
      <c r="P22" s="157"/>
      <c r="Q22" s="206" t="s">
        <v>625</v>
      </c>
      <c r="R22" s="207"/>
      <c r="S22" s="177" t="s">
        <v>31</v>
      </c>
      <c r="T22" s="208">
        <f>S20+T20</f>
        <v>34932000.914196931</v>
      </c>
      <c r="U22" s="177" t="s">
        <v>7</v>
      </c>
      <c r="V22" s="209">
        <f>U20+V20</f>
        <v>40040535.959526606</v>
      </c>
      <c r="W22" s="177" t="s">
        <v>8</v>
      </c>
      <c r="X22" s="209">
        <f>W20+X20</f>
        <v>38469962.781951614</v>
      </c>
      <c r="Y22" s="177" t="s">
        <v>9</v>
      </c>
      <c r="Z22" s="209">
        <f>Y20+Z20</f>
        <v>39703385.652979642</v>
      </c>
      <c r="AA22" s="177" t="s">
        <v>626</v>
      </c>
      <c r="AB22" s="209">
        <f>AA20+AB20</f>
        <v>37533152.317259431</v>
      </c>
      <c r="AC22" s="177" t="s">
        <v>627</v>
      </c>
      <c r="AD22" s="209">
        <f>AC20+AD20</f>
        <v>48154929.844085753</v>
      </c>
      <c r="AE22" s="137">
        <f>SUM(S22:AD22)</f>
        <v>238833967.46999997</v>
      </c>
      <c r="AG22" s="204"/>
    </row>
    <row r="23" spans="1:35" x14ac:dyDescent="0.15">
      <c r="A23" s="192" t="s">
        <v>576</v>
      </c>
      <c r="B23" s="137">
        <f>8682002.48</f>
        <v>8682002.4800000004</v>
      </c>
      <c r="C23" s="200">
        <f>B23/B34</f>
        <v>7.024122436398901E-2</v>
      </c>
      <c r="D23" s="137">
        <v>9870035.4800000004</v>
      </c>
      <c r="E23" s="200">
        <f>D23/D34</f>
        <v>7.0892626300842351E-2</v>
      </c>
      <c r="F23" s="137">
        <f>11932025.47</f>
        <v>11932025.470000001</v>
      </c>
      <c r="G23" s="200">
        <f>F23/F34</f>
        <v>6.6390300837044752E-2</v>
      </c>
      <c r="H23" s="137">
        <v>14380209.560000001</v>
      </c>
      <c r="I23" s="200">
        <f>H23/H34</f>
        <v>7.1628232965456617E-2</v>
      </c>
      <c r="J23" s="137">
        <v>16111625.460000001</v>
      </c>
      <c r="K23" s="200">
        <f>J23/J34</f>
        <v>7.9404443090267132E-2</v>
      </c>
      <c r="L23" s="137">
        <f>16032944.45</f>
        <v>16032944.449999999</v>
      </c>
      <c r="M23" s="200">
        <f>L23/L34</f>
        <v>6.771406209022067E-2</v>
      </c>
      <c r="N23" s="201">
        <f t="shared" ref="N23:N33" si="9">(F23+H23+J23+L23)/3</f>
        <v>19485601.646666665</v>
      </c>
      <c r="O23" s="201">
        <f t="shared" si="8"/>
        <v>20003145.792929292</v>
      </c>
      <c r="P23" s="157"/>
      <c r="Q23" s="421" t="s">
        <v>593</v>
      </c>
      <c r="R23" s="422" t="s">
        <v>594</v>
      </c>
      <c r="S23" s="421" t="s">
        <v>595</v>
      </c>
      <c r="T23" s="421" t="s">
        <v>596</v>
      </c>
      <c r="U23" s="421" t="s">
        <v>597</v>
      </c>
      <c r="V23" s="421" t="s">
        <v>598</v>
      </c>
      <c r="W23" s="421" t="s">
        <v>599</v>
      </c>
      <c r="X23" s="421" t="s">
        <v>600</v>
      </c>
      <c r="Y23" s="421" t="s">
        <v>601</v>
      </c>
      <c r="Z23" s="421" t="s">
        <v>602</v>
      </c>
      <c r="AA23" s="421" t="s">
        <v>603</v>
      </c>
      <c r="AB23" s="421" t="s">
        <v>604</v>
      </c>
      <c r="AC23" s="421" t="s">
        <v>605</v>
      </c>
      <c r="AD23" s="421" t="s">
        <v>606</v>
      </c>
      <c r="AE23" s="421" t="s">
        <v>58</v>
      </c>
    </row>
    <row r="24" spans="1:35" x14ac:dyDescent="0.15">
      <c r="A24" s="192" t="s">
        <v>577</v>
      </c>
      <c r="B24" s="137">
        <v>9514390.5500000007</v>
      </c>
      <c r="C24" s="200">
        <f>B24/B34</f>
        <v>7.6975610505603864E-2</v>
      </c>
      <c r="D24" s="137">
        <v>11697778.77</v>
      </c>
      <c r="E24" s="200">
        <f>D24/D34</f>
        <v>8.402059552591773E-2</v>
      </c>
      <c r="F24" s="137">
        <v>12995713.24</v>
      </c>
      <c r="G24" s="200">
        <f>F24/F34</f>
        <v>7.2308705153607544E-2</v>
      </c>
      <c r="H24" s="137">
        <f>15552991.85</f>
        <v>15552991.85</v>
      </c>
      <c r="I24" s="200">
        <f>H24/H34</f>
        <v>7.74698949200604E-2</v>
      </c>
      <c r="J24" s="137">
        <v>16791584.809999999</v>
      </c>
      <c r="K24" s="200">
        <f>J24/J34</f>
        <v>8.2755550875438413E-2</v>
      </c>
      <c r="L24" s="137">
        <f>((D24+F24+H24+J24)/3)</f>
        <v>19012689.556666669</v>
      </c>
      <c r="M24" s="200">
        <f>L24/L34</f>
        <v>8.0298815052790684E-2</v>
      </c>
      <c r="N24" s="201">
        <f t="shared" si="9"/>
        <v>21450993.15222222</v>
      </c>
      <c r="O24" s="201">
        <f t="shared" si="8"/>
        <v>22063108.899663299</v>
      </c>
      <c r="P24" s="157"/>
      <c r="Q24" s="421">
        <v>1</v>
      </c>
      <c r="R24" s="195" t="s">
        <v>608</v>
      </c>
      <c r="S24" s="210">
        <v>396983.97</v>
      </c>
      <c r="T24" s="210">
        <f>397715.61</f>
        <v>397715.61</v>
      </c>
      <c r="U24" s="210">
        <f>439427.61</f>
        <v>439427.61</v>
      </c>
      <c r="V24" s="210">
        <v>425619.67</v>
      </c>
      <c r="W24" s="210">
        <f>383459.12</f>
        <v>383459.12</v>
      </c>
      <c r="X24" s="210">
        <v>416983.02</v>
      </c>
      <c r="Y24" s="210"/>
      <c r="Z24" s="210"/>
      <c r="AA24" s="210"/>
      <c r="AB24" s="210"/>
      <c r="AC24" s="210"/>
      <c r="AD24" s="210"/>
      <c r="AE24" s="137">
        <f t="shared" ref="AE24:AE39" si="10">SUM(S24:AD24)</f>
        <v>2460189</v>
      </c>
      <c r="AF24" s="177">
        <f t="shared" ref="AF24:AF40" si="11">AE24/$AE$40</f>
        <v>2.5105701301997612E-2</v>
      </c>
    </row>
    <row r="25" spans="1:35" x14ac:dyDescent="0.15">
      <c r="A25" s="192" t="s">
        <v>578</v>
      </c>
      <c r="B25" s="137">
        <f>10634576.05</f>
        <v>10634576.050000001</v>
      </c>
      <c r="C25" s="200">
        <f>B25/B34</f>
        <v>8.6038404626665579E-2</v>
      </c>
      <c r="D25" s="137">
        <f>9795349.04</f>
        <v>9795349.0399999991</v>
      </c>
      <c r="E25" s="200">
        <f>D25/D34</f>
        <v>7.0356182648599233E-2</v>
      </c>
      <c r="F25" s="137">
        <v>13061736.99</v>
      </c>
      <c r="G25" s="200">
        <f>F25/F34</f>
        <v>7.2676064126810422E-2</v>
      </c>
      <c r="H25" s="137">
        <v>15761390.689999999</v>
      </c>
      <c r="I25" s="200">
        <f>H25/H34</f>
        <v>7.8507935471484117E-2</v>
      </c>
      <c r="J25" s="137">
        <v>18057746.719999999</v>
      </c>
      <c r="K25" s="200">
        <f>J25/J34</f>
        <v>8.899569601630361E-2</v>
      </c>
      <c r="L25" s="137">
        <f t="shared" ref="L25:L33" si="12">((D25+F25+H25+J25)/3)</f>
        <v>18892074.48</v>
      </c>
      <c r="M25" s="200">
        <f>L25/L34</f>
        <v>7.978940539220751E-2</v>
      </c>
      <c r="N25" s="201">
        <f t="shared" si="9"/>
        <v>21924316.293333333</v>
      </c>
      <c r="O25" s="201">
        <f t="shared" si="8"/>
        <v>22616826.722222224</v>
      </c>
      <c r="P25" s="157"/>
      <c r="Q25" s="421">
        <v>2</v>
      </c>
      <c r="R25" s="195" t="s">
        <v>609</v>
      </c>
      <c r="S25" s="210">
        <v>160685.32999999999</v>
      </c>
      <c r="T25" s="210">
        <f>207340.04</f>
        <v>207340.04</v>
      </c>
      <c r="U25" s="210">
        <f>203985.36</f>
        <v>203985.36</v>
      </c>
      <c r="V25" s="210">
        <v>184238.83</v>
      </c>
      <c r="W25" s="210">
        <f>201940.7</f>
        <v>201940.7</v>
      </c>
      <c r="X25" s="210">
        <v>211400.03</v>
      </c>
      <c r="Y25" s="210"/>
      <c r="Z25" s="210"/>
      <c r="AA25" s="210"/>
      <c r="AB25" s="210"/>
      <c r="AC25" s="210"/>
      <c r="AD25" s="210"/>
      <c r="AE25" s="137">
        <f t="shared" si="10"/>
        <v>1169590.29</v>
      </c>
      <c r="AF25" s="177">
        <f t="shared" si="11"/>
        <v>1.1935418159522202E-2</v>
      </c>
    </row>
    <row r="26" spans="1:35" x14ac:dyDescent="0.15">
      <c r="A26" s="192" t="s">
        <v>579</v>
      </c>
      <c r="B26" s="137">
        <f>8693274.76</f>
        <v>8693274.7599999998</v>
      </c>
      <c r="C26" s="200">
        <f>B26/B34</f>
        <v>7.0332422074470852E-2</v>
      </c>
      <c r="D26" s="137">
        <v>11144329.4</v>
      </c>
      <c r="E26" s="200">
        <f>D26/D34</f>
        <v>8.0045383943005907E-2</v>
      </c>
      <c r="F26" s="137">
        <f>14078822.64</f>
        <v>14078822.640000001</v>
      </c>
      <c r="G26" s="200">
        <f>F26/F34</f>
        <v>7.8335172251438087E-2</v>
      </c>
      <c r="H26" s="137">
        <f>16021601.89</f>
        <v>16021601.890000001</v>
      </c>
      <c r="I26" s="200">
        <f>H26/H34</f>
        <v>7.9804054862238044E-2</v>
      </c>
      <c r="J26" s="137">
        <f>15543636.67</f>
        <v>15543636.67</v>
      </c>
      <c r="K26" s="200">
        <f>J26/J34</f>
        <v>7.6605170374833442E-2</v>
      </c>
      <c r="L26" s="137">
        <f t="shared" si="12"/>
        <v>18929463.533333335</v>
      </c>
      <c r="M26" s="200">
        <f>L26/L34</f>
        <v>7.9947315543197145E-2</v>
      </c>
      <c r="N26" s="201">
        <f t="shared" si="9"/>
        <v>21524508.244444445</v>
      </c>
      <c r="O26" s="201">
        <f t="shared" si="8"/>
        <v>21824003.132659934</v>
      </c>
      <c r="P26" s="157"/>
      <c r="Q26" s="421">
        <v>3</v>
      </c>
      <c r="R26" s="195" t="s">
        <v>1662</v>
      </c>
      <c r="S26" s="210">
        <v>63567.68</v>
      </c>
      <c r="T26" s="210">
        <f>58863.28</f>
        <v>58863.28</v>
      </c>
      <c r="U26" s="210">
        <f>70913.41</f>
        <v>70913.41</v>
      </c>
      <c r="V26" s="210">
        <v>82183.360000000001</v>
      </c>
      <c r="W26" s="210">
        <v>65539.100000000006</v>
      </c>
      <c r="X26" s="210">
        <v>64316.58</v>
      </c>
      <c r="Y26" s="210"/>
      <c r="Z26" s="210"/>
      <c r="AA26" s="210"/>
      <c r="AB26" s="210"/>
      <c r="AC26" s="210"/>
      <c r="AD26" s="210"/>
      <c r="AE26" s="137">
        <f t="shared" si="10"/>
        <v>405383.41</v>
      </c>
      <c r="AF26" s="177">
        <f t="shared" si="11"/>
        <v>4.1368507883927748E-3</v>
      </c>
    </row>
    <row r="27" spans="1:35" x14ac:dyDescent="0.15">
      <c r="A27" s="192" t="s">
        <v>580</v>
      </c>
      <c r="B27" s="137">
        <f>10697988.26</f>
        <v>10697988.26</v>
      </c>
      <c r="C27" s="200">
        <f>B27/B34</f>
        <v>8.6551437337758094E-2</v>
      </c>
      <c r="D27" s="137">
        <v>10512021.27</v>
      </c>
      <c r="E27" s="200">
        <f>D27/D34</f>
        <v>7.5503760555946473E-2</v>
      </c>
      <c r="F27" s="137">
        <f>17263926.67</f>
        <v>17263926.670000002</v>
      </c>
      <c r="G27" s="200">
        <f>F27/F34</f>
        <v>9.6057227511933907E-2</v>
      </c>
      <c r="H27" s="137">
        <f>16727845.12</f>
        <v>16727845.119999999</v>
      </c>
      <c r="I27" s="200">
        <f>H27/H34</f>
        <v>8.3321872484967904E-2</v>
      </c>
      <c r="J27" s="137">
        <v>18625588.809999999</v>
      </c>
      <c r="K27" s="200">
        <f>J27/J34</f>
        <v>9.1794245736293398E-2</v>
      </c>
      <c r="L27" s="137">
        <f t="shared" si="12"/>
        <v>21043127.290000003</v>
      </c>
      <c r="M27" s="200">
        <f>L27/L34</f>
        <v>8.8874232199281228E-2</v>
      </c>
      <c r="N27" s="201">
        <f t="shared" si="9"/>
        <v>24553495.963333335</v>
      </c>
      <c r="O27" s="201">
        <f t="shared" si="8"/>
        <v>24530320.358585861</v>
      </c>
      <c r="P27" s="157"/>
      <c r="Q27" s="421">
        <v>4</v>
      </c>
      <c r="R27" s="195" t="s">
        <v>610</v>
      </c>
      <c r="S27" s="210">
        <v>148805.6</v>
      </c>
      <c r="T27" s="210">
        <v>162469.34</v>
      </c>
      <c r="U27" s="210">
        <f>164077.24</f>
        <v>164077.24</v>
      </c>
      <c r="V27" s="210">
        <v>158789.51</v>
      </c>
      <c r="W27" s="210">
        <v>159316.51</v>
      </c>
      <c r="X27" s="210">
        <v>165681.34</v>
      </c>
      <c r="Y27" s="210"/>
      <c r="Z27" s="210"/>
      <c r="AA27" s="210"/>
      <c r="AB27" s="210"/>
      <c r="AC27" s="210"/>
      <c r="AD27" s="210"/>
      <c r="AE27" s="137">
        <f t="shared" si="10"/>
        <v>959139.53999999992</v>
      </c>
      <c r="AF27" s="177">
        <f t="shared" si="11"/>
        <v>9.7878133745721938E-3</v>
      </c>
    </row>
    <row r="28" spans="1:35" x14ac:dyDescent="0.15">
      <c r="A28" s="192" t="s">
        <v>581</v>
      </c>
      <c r="B28" s="137">
        <v>9134531.9900000002</v>
      </c>
      <c r="C28" s="200">
        <f>B28/B34</f>
        <v>7.3902387432815492E-2</v>
      </c>
      <c r="D28" s="137">
        <f>11281097.36</f>
        <v>11281097.359999999</v>
      </c>
      <c r="E28" s="200">
        <f>D28/D34</f>
        <v>8.10277350093071E-2</v>
      </c>
      <c r="F28" s="137">
        <v>14170674.460000001</v>
      </c>
      <c r="G28" s="200">
        <f>F28/F34</f>
        <v>7.8846239712495908E-2</v>
      </c>
      <c r="H28" s="137">
        <v>18417446.18</v>
      </c>
      <c r="I28" s="200">
        <f>H28/H34</f>
        <v>9.173782343751874E-2</v>
      </c>
      <c r="J28" s="137">
        <f>16237861.55</f>
        <v>16237861.550000001</v>
      </c>
      <c r="K28" s="200">
        <f>J28/J34</f>
        <v>8.0026584316751609E-2</v>
      </c>
      <c r="L28" s="137">
        <f t="shared" si="12"/>
        <v>20035693.183333334</v>
      </c>
      <c r="M28" s="200">
        <f>L28/L34</f>
        <v>8.461940203608978E-2</v>
      </c>
      <c r="N28" s="201">
        <f t="shared" si="9"/>
        <v>22953891.791111112</v>
      </c>
      <c r="O28" s="201">
        <f t="shared" si="8"/>
        <v>23528755.364983167</v>
      </c>
      <c r="P28" s="157"/>
      <c r="Q28" s="421">
        <v>5</v>
      </c>
      <c r="R28" s="195" t="s">
        <v>611</v>
      </c>
      <c r="S28" s="210">
        <v>254967.97</v>
      </c>
      <c r="T28" s="210">
        <v>478947.39</v>
      </c>
      <c r="U28" s="210">
        <f>619271.07</f>
        <v>619271.06999999995</v>
      </c>
      <c r="V28" s="210">
        <v>370450.82</v>
      </c>
      <c r="W28" s="210">
        <v>588161.22</v>
      </c>
      <c r="X28" s="210">
        <v>401819.13</v>
      </c>
      <c r="Y28" s="210"/>
      <c r="Z28" s="210"/>
      <c r="AA28" s="210"/>
      <c r="AB28" s="210"/>
      <c r="AC28" s="210"/>
      <c r="AD28" s="210"/>
      <c r="AE28" s="137">
        <f t="shared" si="10"/>
        <v>2713617.5999999996</v>
      </c>
      <c r="AF28" s="177">
        <f t="shared" si="11"/>
        <v>2.7691885832122502E-2</v>
      </c>
    </row>
    <row r="29" spans="1:35" x14ac:dyDescent="0.15">
      <c r="A29" s="192" t="s">
        <v>582</v>
      </c>
      <c r="B29" s="137">
        <f>9036456.79</f>
        <v>9036456.7899999991</v>
      </c>
      <c r="C29" s="200">
        <f>B29/B34</f>
        <v>7.3108915864060181E-2</v>
      </c>
      <c r="D29" s="137">
        <v>11242671.82</v>
      </c>
      <c r="E29" s="200">
        <f>D29/D34</f>
        <v>8.0751739299550235E-2</v>
      </c>
      <c r="F29" s="137">
        <f>13856574.9</f>
        <v>13856574.9</v>
      </c>
      <c r="G29" s="200">
        <f>F29/F34</f>
        <v>7.7098576305841826E-2</v>
      </c>
      <c r="H29" s="137">
        <v>16151398.84</v>
      </c>
      <c r="I29" s="200">
        <f>H29/H34</f>
        <v>8.0450577163183268E-2</v>
      </c>
      <c r="J29" s="137">
        <f>15904474.75</f>
        <v>15904474.75</v>
      </c>
      <c r="K29" s="200">
        <f>J29/J34</f>
        <v>7.8383522711740442E-2</v>
      </c>
      <c r="L29" s="137">
        <f t="shared" si="12"/>
        <v>19051706.77</v>
      </c>
      <c r="M29" s="200">
        <f>L29/L34</f>
        <v>8.0463601627987769E-2</v>
      </c>
      <c r="N29" s="201">
        <f t="shared" si="9"/>
        <v>21654718.420000002</v>
      </c>
      <c r="O29" s="201">
        <f t="shared" si="8"/>
        <v>22049181.448484849</v>
      </c>
      <c r="P29" s="157"/>
      <c r="Q29" s="421">
        <v>6</v>
      </c>
      <c r="R29" s="195" t="s">
        <v>612</v>
      </c>
      <c r="S29" s="210">
        <v>359514.53</v>
      </c>
      <c r="T29" s="210">
        <f>296417.72</f>
        <v>296417.71999999997</v>
      </c>
      <c r="U29" s="210">
        <f>296988.87</f>
        <v>296988.87</v>
      </c>
      <c r="V29" s="210">
        <v>295538.40000000002</v>
      </c>
      <c r="W29" s="210">
        <v>328843.98</v>
      </c>
      <c r="X29" s="210">
        <v>259481.24</v>
      </c>
      <c r="Y29" s="210"/>
      <c r="Z29" s="210"/>
      <c r="AA29" s="210"/>
      <c r="AB29" s="210"/>
      <c r="AC29" s="210"/>
      <c r="AD29" s="210"/>
      <c r="AE29" s="137">
        <f t="shared" si="10"/>
        <v>1836784.74</v>
      </c>
      <c r="AF29" s="177">
        <f t="shared" si="11"/>
        <v>1.8743994481118055E-2</v>
      </c>
    </row>
    <row r="30" spans="1:35" x14ac:dyDescent="0.15">
      <c r="A30" s="192" t="s">
        <v>583</v>
      </c>
      <c r="B30" s="137">
        <f>10105595.49</f>
        <v>10105595.49</v>
      </c>
      <c r="C30" s="200">
        <f>B30/B34</f>
        <v>8.1758718887719711E-2</v>
      </c>
      <c r="D30" s="137">
        <f>10938610.35</f>
        <v>10938610.35</v>
      </c>
      <c r="E30" s="200">
        <f>D30/D34</f>
        <v>7.8567784012978675E-2</v>
      </c>
      <c r="F30" s="137">
        <f>14300806.17</f>
        <v>14300806.17</v>
      </c>
      <c r="G30" s="200">
        <f>F30/F34</f>
        <v>7.9570298121276611E-2</v>
      </c>
      <c r="H30" s="137">
        <f>15903223.89</f>
        <v>15903223.890000001</v>
      </c>
      <c r="I30" s="200">
        <f>H30/H34</f>
        <v>7.9214410676135882E-2</v>
      </c>
      <c r="J30" s="137">
        <f>15629662.7</f>
        <v>15629662.699999999</v>
      </c>
      <c r="K30" s="200">
        <f>J30/J34</f>
        <v>7.7029140570787621E-2</v>
      </c>
      <c r="L30" s="137">
        <f t="shared" si="12"/>
        <v>18924101.036666665</v>
      </c>
      <c r="M30" s="200">
        <f>L30/L34</f>
        <v>7.9924667399346963E-2</v>
      </c>
      <c r="N30" s="201">
        <f t="shared" si="9"/>
        <v>21585931.265555557</v>
      </c>
      <c r="O30" s="201">
        <f t="shared" si="8"/>
        <v>21831187.543097645</v>
      </c>
      <c r="P30" s="157"/>
      <c r="Q30" s="421">
        <v>7</v>
      </c>
      <c r="R30" s="195" t="s">
        <v>1663</v>
      </c>
      <c r="S30" s="210">
        <v>59404.47</v>
      </c>
      <c r="T30" s="210">
        <f>266394.39</f>
        <v>266394.39</v>
      </c>
      <c r="U30" s="210">
        <f>146639.86</f>
        <v>146639.85999999999</v>
      </c>
      <c r="V30" s="210">
        <v>75339.94</v>
      </c>
      <c r="W30" s="210">
        <v>68582.89</v>
      </c>
      <c r="X30" s="210">
        <v>73578.080000000002</v>
      </c>
      <c r="Y30" s="210"/>
      <c r="Z30" s="210"/>
      <c r="AA30" s="210"/>
      <c r="AB30" s="210"/>
      <c r="AC30" s="210"/>
      <c r="AD30" s="210"/>
      <c r="AE30" s="137">
        <f t="shared" si="10"/>
        <v>689939.62999999989</v>
      </c>
      <c r="AF30" s="177">
        <f t="shared" si="11"/>
        <v>7.0406860071282121E-3</v>
      </c>
    </row>
    <row r="31" spans="1:35" x14ac:dyDescent="0.15">
      <c r="A31" s="192" t="s">
        <v>584</v>
      </c>
      <c r="B31" s="137">
        <v>9996580.7100000009</v>
      </c>
      <c r="C31" s="200">
        <f>B31/B34</f>
        <v>8.0876741298032268E-2</v>
      </c>
      <c r="D31" s="137">
        <v>11341397.140000001</v>
      </c>
      <c r="E31" s="200">
        <f>D31/D34</f>
        <v>8.146084487788105E-2</v>
      </c>
      <c r="F31" s="137">
        <f>16297895.01</f>
        <v>16297895.01</v>
      </c>
      <c r="G31" s="200">
        <f>F31/F34</f>
        <v>9.0682185974622326E-2</v>
      </c>
      <c r="H31" s="137">
        <f>16559704.23</f>
        <v>16559704.23</v>
      </c>
      <c r="I31" s="200">
        <f>H31/H34</f>
        <v>8.2484357927917251E-2</v>
      </c>
      <c r="J31" s="137">
        <f>15923695.34</f>
        <v>15923695.34</v>
      </c>
      <c r="K31" s="200">
        <f>J31/J34</f>
        <v>7.8478249357950378E-2</v>
      </c>
      <c r="L31" s="137">
        <f t="shared" si="12"/>
        <v>20040897.239999998</v>
      </c>
      <c r="M31" s="200">
        <f>L31/L34</f>
        <v>8.4641381019260747E-2</v>
      </c>
      <c r="N31" s="201">
        <f t="shared" si="9"/>
        <v>22940730.606666666</v>
      </c>
      <c r="O31" s="201">
        <f t="shared" si="8"/>
        <v>22868190.126262628</v>
      </c>
      <c r="P31" s="157"/>
      <c r="Q31" s="421">
        <v>8</v>
      </c>
      <c r="R31" s="195" t="s">
        <v>613</v>
      </c>
      <c r="S31" s="210">
        <v>611361.15</v>
      </c>
      <c r="T31" s="210">
        <f>1530018.43</f>
        <v>1530018.43</v>
      </c>
      <c r="U31" s="210">
        <f>1872410.84</f>
        <v>1872410.84</v>
      </c>
      <c r="V31" s="210">
        <v>1924855.67</v>
      </c>
      <c r="W31" s="210">
        <v>1380613.38</v>
      </c>
      <c r="X31" s="210">
        <v>1373956.9</v>
      </c>
      <c r="Y31" s="210"/>
      <c r="Z31" s="210"/>
      <c r="AA31" s="210"/>
      <c r="AB31" s="210"/>
      <c r="AC31" s="210"/>
      <c r="AD31" s="210"/>
      <c r="AE31" s="137">
        <f t="shared" si="10"/>
        <v>8693216.3699999992</v>
      </c>
      <c r="AF31" s="177">
        <f t="shared" si="11"/>
        <v>8.8712409306299617E-2</v>
      </c>
    </row>
    <row r="32" spans="1:35" x14ac:dyDescent="0.15">
      <c r="A32" s="192" t="s">
        <v>585</v>
      </c>
      <c r="B32" s="137">
        <f>10537885.72</f>
        <v>10537885.720000001</v>
      </c>
      <c r="C32" s="200">
        <f>B32/B34</f>
        <v>8.5256137266226148E-2</v>
      </c>
      <c r="D32" s="137">
        <v>11405835.470000001</v>
      </c>
      <c r="E32" s="200">
        <f>D32/D34</f>
        <v>8.1923680341582983E-2</v>
      </c>
      <c r="F32" s="137">
        <v>14491952.460000001</v>
      </c>
      <c r="G32" s="200">
        <f>F32/F34</f>
        <v>8.063384426680667E-2</v>
      </c>
      <c r="H32" s="137">
        <f>16255490.73+489936.25</f>
        <v>16745426.98</v>
      </c>
      <c r="I32" s="200">
        <f>H32/H34</f>
        <v>8.3409448229868677E-2</v>
      </c>
      <c r="J32" s="137">
        <f>15592641.84</f>
        <v>15592641.84</v>
      </c>
      <c r="K32" s="200">
        <f>J32/J34</f>
        <v>7.6846687175360778E-2</v>
      </c>
      <c r="L32" s="137">
        <f t="shared" si="12"/>
        <v>19411952.25</v>
      </c>
      <c r="M32" s="200">
        <f>L32/L34</f>
        <v>8.1985074173253236E-2</v>
      </c>
      <c r="N32" s="201">
        <f t="shared" si="9"/>
        <v>22080657.843333334</v>
      </c>
      <c r="O32" s="201">
        <f t="shared" si="8"/>
        <v>22372933.004040401</v>
      </c>
      <c r="P32" s="157"/>
      <c r="Q32" s="421">
        <v>9</v>
      </c>
      <c r="R32" s="195" t="s">
        <v>1664</v>
      </c>
      <c r="S32" s="210">
        <v>4053512.07</v>
      </c>
      <c r="T32" s="210">
        <f>4237008.37</f>
        <v>4237008.37</v>
      </c>
      <c r="U32" s="210">
        <f>4799249.19</f>
        <v>4799249.1900000004</v>
      </c>
      <c r="V32" s="210">
        <v>4948855.6100000003</v>
      </c>
      <c r="W32" s="210">
        <v>4607360.6399999997</v>
      </c>
      <c r="X32" s="210">
        <v>5112247.3</v>
      </c>
      <c r="Y32" s="210"/>
      <c r="Z32" s="210"/>
      <c r="AA32" s="210"/>
      <c r="AB32" s="210"/>
      <c r="AC32" s="210"/>
      <c r="AD32" s="210"/>
      <c r="AE32" s="137">
        <f t="shared" si="10"/>
        <v>27758233.18</v>
      </c>
      <c r="AF32" s="177">
        <f t="shared" si="11"/>
        <v>0.2832668184795068</v>
      </c>
    </row>
    <row r="33" spans="1:33" x14ac:dyDescent="0.15">
      <c r="A33" s="192" t="s">
        <v>586</v>
      </c>
      <c r="B33" s="137">
        <v>18897584.34</v>
      </c>
      <c r="C33" s="200">
        <f>B33/B34</f>
        <v>0.15288978143246798</v>
      </c>
      <c r="D33" s="137">
        <f>20493779.25</f>
        <v>20493779.25</v>
      </c>
      <c r="E33" s="200">
        <f>D33/D34</f>
        <v>0.14719884612433098</v>
      </c>
      <c r="F33" s="137">
        <f>27232557.22</f>
        <v>27232557.219999999</v>
      </c>
      <c r="G33" s="200">
        <f>F33/F34</f>
        <v>0.15152311490983053</v>
      </c>
      <c r="H33" s="137">
        <v>26067327.039999999</v>
      </c>
      <c r="I33" s="200">
        <f>H33/H34</f>
        <v>0.12984209765632002</v>
      </c>
      <c r="J33" s="137">
        <f>24172902.32</f>
        <v>24172902.32</v>
      </c>
      <c r="K33" s="200">
        <f>J33/J34</f>
        <v>0.11913359402255036</v>
      </c>
      <c r="L33" s="137">
        <f t="shared" si="12"/>
        <v>32655521.943333328</v>
      </c>
      <c r="M33" s="200">
        <f>L33/L34</f>
        <v>0.13791839966484987</v>
      </c>
      <c r="N33" s="201">
        <f t="shared" si="9"/>
        <v>36709436.174444444</v>
      </c>
      <c r="O33" s="201">
        <f t="shared" si="8"/>
        <v>36243996.205387205</v>
      </c>
      <c r="P33" s="157"/>
      <c r="Q33" s="421">
        <v>10</v>
      </c>
      <c r="R33" s="195" t="s">
        <v>615</v>
      </c>
      <c r="S33" s="210">
        <v>2044082.71</v>
      </c>
      <c r="T33" s="210">
        <f>2854652.17</f>
        <v>2854652.17</v>
      </c>
      <c r="U33" s="210">
        <f>3035748.09</f>
        <v>3035748.09</v>
      </c>
      <c r="V33" s="210">
        <v>3167908.95</v>
      </c>
      <c r="W33" s="210">
        <v>2908615.64</v>
      </c>
      <c r="X33" s="210">
        <v>3223429.66</v>
      </c>
      <c r="Y33" s="210"/>
      <c r="Z33" s="210"/>
      <c r="AA33" s="210"/>
      <c r="AB33" s="210"/>
      <c r="AC33" s="210"/>
      <c r="AD33" s="210"/>
      <c r="AE33" s="137">
        <f t="shared" si="10"/>
        <v>17234437.219999999</v>
      </c>
      <c r="AF33" s="177">
        <f t="shared" si="11"/>
        <v>0.17587373691750921</v>
      </c>
    </row>
    <row r="34" spans="1:33" x14ac:dyDescent="0.15">
      <c r="A34" s="195" t="s">
        <v>617</v>
      </c>
      <c r="B34" s="201">
        <f>SUM(B22:B33)</f>
        <v>123602664.37</v>
      </c>
      <c r="C34" s="200">
        <f>B34/B34</f>
        <v>1</v>
      </c>
      <c r="D34" s="201">
        <f>SUM(D22:D33)</f>
        <v>139225135.18000001</v>
      </c>
      <c r="E34" s="200">
        <f>D34/D34</f>
        <v>1</v>
      </c>
      <c r="F34" s="201">
        <f>SUM(F22:F33)</f>
        <v>179725431.57000002</v>
      </c>
      <c r="G34" s="200">
        <f>F34/F34</f>
        <v>1</v>
      </c>
      <c r="H34" s="201">
        <f>SUM(H22:H33)</f>
        <v>200761752.23999998</v>
      </c>
      <c r="I34" s="200">
        <f>H34/H34</f>
        <v>1</v>
      </c>
      <c r="J34" s="201">
        <f>SUM(J22:J33)</f>
        <v>202905842.96000001</v>
      </c>
      <c r="K34" s="200">
        <f>J34/J34</f>
        <v>1</v>
      </c>
      <c r="L34" s="201">
        <f>SUM(L22:L33)</f>
        <v>236774223.18333334</v>
      </c>
      <c r="M34" s="200">
        <f>L34/L34</f>
        <v>1</v>
      </c>
      <c r="N34" s="201">
        <f>SUM(N22:N33)</f>
        <v>272356283.19798613</v>
      </c>
      <c r="O34" s="201">
        <f>SUM(O22:O33)</f>
        <v>276605485.3276726</v>
      </c>
      <c r="P34" s="157"/>
      <c r="Q34" s="421">
        <v>11</v>
      </c>
      <c r="R34" s="195" t="s">
        <v>1665</v>
      </c>
      <c r="S34" s="210">
        <v>272446.42</v>
      </c>
      <c r="T34" s="210">
        <v>338555.18</v>
      </c>
      <c r="U34" s="210">
        <f>343814.69</f>
        <v>343814.69</v>
      </c>
      <c r="V34" s="210">
        <v>340653.81</v>
      </c>
      <c r="W34" s="210">
        <v>337959.15</v>
      </c>
      <c r="X34" s="210">
        <v>339773.03</v>
      </c>
      <c r="Y34" s="210"/>
      <c r="Z34" s="210"/>
      <c r="AA34" s="210"/>
      <c r="AB34" s="210"/>
      <c r="AC34" s="210"/>
      <c r="AD34" s="210"/>
      <c r="AE34" s="137">
        <f t="shared" si="10"/>
        <v>1973202.28</v>
      </c>
      <c r="AF34" s="177">
        <f t="shared" si="11"/>
        <v>2.0136106230090722E-2</v>
      </c>
    </row>
    <row r="35" spans="1:33" x14ac:dyDescent="0.15">
      <c r="A35" s="1041" t="s">
        <v>619</v>
      </c>
      <c r="B35" s="1041"/>
      <c r="C35" s="181"/>
      <c r="D35" s="177">
        <v>6.0015320688915297E-2</v>
      </c>
      <c r="F35" s="177">
        <v>0.20274498470762201</v>
      </c>
      <c r="H35" s="177">
        <v>0.15953984091624801</v>
      </c>
      <c r="J35" s="177">
        <v>6.18752211325935E-2</v>
      </c>
      <c r="L35" s="177">
        <v>0.11385731154850599</v>
      </c>
      <c r="N35" s="177">
        <v>8.5121633034852096E-2</v>
      </c>
      <c r="O35" s="177">
        <v>6.9107983771282605E-2</v>
      </c>
      <c r="P35" s="157"/>
      <c r="Q35" s="421">
        <v>12</v>
      </c>
      <c r="R35" s="195" t="s">
        <v>1666</v>
      </c>
      <c r="S35" s="210">
        <v>101535.25</v>
      </c>
      <c r="T35" s="210">
        <v>122166.81</v>
      </c>
      <c r="U35" s="210">
        <f>160904.87</f>
        <v>160904.87</v>
      </c>
      <c r="V35" s="210">
        <v>245836.12</v>
      </c>
      <c r="W35" s="210">
        <v>226904.93</v>
      </c>
      <c r="X35" s="210">
        <v>146182.04</v>
      </c>
      <c r="Y35" s="210"/>
      <c r="Z35" s="210"/>
      <c r="AA35" s="210"/>
      <c r="AB35" s="210"/>
      <c r="AC35" s="210"/>
      <c r="AD35" s="210"/>
      <c r="AE35" s="137">
        <f t="shared" si="10"/>
        <v>1003530.02</v>
      </c>
      <c r="AF35" s="177">
        <f t="shared" si="11"/>
        <v>1.0240808706041564E-2</v>
      </c>
    </row>
    <row r="36" spans="1:33" x14ac:dyDescent="0.15">
      <c r="A36" s="192" t="s">
        <v>628</v>
      </c>
      <c r="B36" s="173">
        <f>B17-B34</f>
        <v>263135.53000000119</v>
      </c>
      <c r="C36" s="200"/>
      <c r="D36" s="173">
        <f>D17-D34</f>
        <v>14663524.25</v>
      </c>
      <c r="E36" s="173"/>
      <c r="F36" s="173">
        <f>F17-F34</f>
        <v>1612022.1099999845</v>
      </c>
      <c r="G36" s="173"/>
      <c r="H36" s="173">
        <f>H17-H34</f>
        <v>-10728835.539999962</v>
      </c>
      <c r="I36" s="173"/>
      <c r="J36" s="173">
        <f>J17-J34</f>
        <v>3039937.8400000036</v>
      </c>
      <c r="K36" s="173"/>
      <c r="L36" s="173">
        <f>L17-L34</f>
        <v>2059744.2900000215</v>
      </c>
      <c r="M36" s="173"/>
      <c r="N36" s="173">
        <f>N17-N34</f>
        <v>-13615057.595023185</v>
      </c>
      <c r="O36" s="173">
        <f>O17-O34</f>
        <v>7057007.1125801802</v>
      </c>
      <c r="P36" s="157"/>
      <c r="Q36" s="421">
        <v>13</v>
      </c>
      <c r="R36" s="195" t="s">
        <v>616</v>
      </c>
      <c r="S36" s="210">
        <v>1055341.52</v>
      </c>
      <c r="T36" s="210">
        <v>1174579.53</v>
      </c>
      <c r="U36" s="210">
        <f>1132999.67</f>
        <v>1132999.67</v>
      </c>
      <c r="V36" s="210">
        <v>1073354.6599999999</v>
      </c>
      <c r="W36" s="210">
        <v>1724446.39</v>
      </c>
      <c r="X36" s="210">
        <v>1104227.51</v>
      </c>
      <c r="Y36" s="210"/>
      <c r="Z36" s="210"/>
      <c r="AA36" s="210"/>
      <c r="AB36" s="210"/>
      <c r="AC36" s="210"/>
      <c r="AD36" s="210"/>
      <c r="AE36" s="137">
        <f t="shared" si="10"/>
        <v>7264949.2799999993</v>
      </c>
      <c r="AF36" s="177">
        <f t="shared" si="11"/>
        <v>7.4137249860820695E-2</v>
      </c>
    </row>
    <row r="37" spans="1:33" x14ac:dyDescent="0.15">
      <c r="L37" s="157"/>
      <c r="P37" s="157"/>
      <c r="Q37" s="421">
        <v>14</v>
      </c>
      <c r="R37" s="195" t="s">
        <v>618</v>
      </c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137">
        <f t="shared" si="10"/>
        <v>0</v>
      </c>
      <c r="AF37" s="177">
        <f t="shared" si="11"/>
        <v>0</v>
      </c>
    </row>
    <row r="38" spans="1:33" x14ac:dyDescent="0.15">
      <c r="P38" s="157"/>
      <c r="Q38" s="421">
        <v>15</v>
      </c>
      <c r="R38" s="195" t="s">
        <v>620</v>
      </c>
      <c r="S38" s="210">
        <v>3125444.59</v>
      </c>
      <c r="T38" s="210">
        <f>3303987.89</f>
        <v>3303987.89</v>
      </c>
      <c r="U38" s="210">
        <f>3313339.31</f>
        <v>3313339.31</v>
      </c>
      <c r="V38" s="210">
        <v>3337269.04</v>
      </c>
      <c r="W38" s="210">
        <v>3355106.95</v>
      </c>
      <c r="X38" s="210">
        <v>5027883.63</v>
      </c>
      <c r="Y38" s="210"/>
      <c r="Z38" s="210"/>
      <c r="AA38" s="210"/>
      <c r="AB38" s="210"/>
      <c r="AC38" s="210"/>
      <c r="AD38" s="210"/>
      <c r="AE38" s="137">
        <f t="shared" si="10"/>
        <v>21463031.41</v>
      </c>
      <c r="AF38" s="177">
        <f t="shared" si="11"/>
        <v>0.2190256340528523</v>
      </c>
      <c r="AG38" s="166"/>
    </row>
    <row r="39" spans="1:33" ht="11.25" x14ac:dyDescent="0.2">
      <c r="B39" s="192" t="s">
        <v>589</v>
      </c>
      <c r="C39" s="192" t="s">
        <v>629</v>
      </c>
      <c r="D39" s="421" t="s">
        <v>949</v>
      </c>
      <c r="F39" s="421" t="s">
        <v>630</v>
      </c>
      <c r="H39" s="421" t="s">
        <v>950</v>
      </c>
      <c r="I39" s="192" t="s">
        <v>629</v>
      </c>
      <c r="J39" s="421" t="s">
        <v>630</v>
      </c>
      <c r="L39" s="192" t="s">
        <v>631</v>
      </c>
      <c r="N39" s="496"/>
      <c r="O39" s="426"/>
      <c r="P39" s="157"/>
      <c r="Q39" s="421">
        <v>16</v>
      </c>
      <c r="R39" s="195" t="s">
        <v>621</v>
      </c>
      <c r="S39" s="210">
        <v>36398.19</v>
      </c>
      <c r="T39" s="210">
        <f>603828.3</f>
        <v>603828.30000000005</v>
      </c>
      <c r="U39" s="210">
        <f>311727.33</f>
        <v>311727.33</v>
      </c>
      <c r="V39" s="210">
        <v>411451.3</v>
      </c>
      <c r="W39" s="210">
        <f>584388.54</f>
        <v>584388.54</v>
      </c>
      <c r="X39" s="210">
        <v>420201.85</v>
      </c>
      <c r="Y39" s="210"/>
      <c r="Z39" s="210"/>
      <c r="AA39" s="210"/>
      <c r="AB39" s="514"/>
      <c r="AC39" s="210"/>
      <c r="AD39" s="210"/>
      <c r="AE39" s="137">
        <f t="shared" si="10"/>
        <v>2367995.5100000002</v>
      </c>
      <c r="AF39" s="177">
        <f t="shared" si="11"/>
        <v>2.4164886502025456E-2</v>
      </c>
    </row>
    <row r="40" spans="1:33" x14ac:dyDescent="0.15">
      <c r="B40" s="421" t="s">
        <v>607</v>
      </c>
      <c r="C40" s="422" t="s">
        <v>221</v>
      </c>
      <c r="D40" s="212" t="s">
        <v>632</v>
      </c>
      <c r="F40" s="421" t="s">
        <v>633</v>
      </c>
      <c r="H40" s="421" t="s">
        <v>634</v>
      </c>
      <c r="I40" s="422" t="s">
        <v>221</v>
      </c>
      <c r="J40" s="421" t="s">
        <v>635</v>
      </c>
      <c r="L40" s="421" t="s">
        <v>636</v>
      </c>
      <c r="N40" s="496"/>
      <c r="P40" s="157"/>
      <c r="Q40" s="421" t="s">
        <v>623</v>
      </c>
      <c r="R40" s="195" t="s">
        <v>58</v>
      </c>
      <c r="S40" s="137">
        <f t="shared" ref="S40:AE40" si="13">SUM(S24:S39)</f>
        <v>12744051.449999999</v>
      </c>
      <c r="T40" s="137">
        <f t="shared" si="13"/>
        <v>16032944.450000001</v>
      </c>
      <c r="U40" s="137">
        <f t="shared" si="13"/>
        <v>16911497.409999996</v>
      </c>
      <c r="V40" s="137">
        <f t="shared" si="13"/>
        <v>17042345.690000001</v>
      </c>
      <c r="W40" s="137">
        <f t="shared" si="13"/>
        <v>16921239.140000001</v>
      </c>
      <c r="X40" s="137">
        <f t="shared" si="13"/>
        <v>18341161.34</v>
      </c>
      <c r="Y40" s="137">
        <f t="shared" si="13"/>
        <v>0</v>
      </c>
      <c r="Z40" s="137">
        <f t="shared" si="13"/>
        <v>0</v>
      </c>
      <c r="AA40" s="137">
        <f t="shared" si="13"/>
        <v>0</v>
      </c>
      <c r="AB40" s="137">
        <f t="shared" si="13"/>
        <v>0</v>
      </c>
      <c r="AC40" s="137">
        <f t="shared" si="13"/>
        <v>0</v>
      </c>
      <c r="AD40" s="137">
        <f t="shared" si="13"/>
        <v>0</v>
      </c>
      <c r="AE40" s="137">
        <f t="shared" si="13"/>
        <v>97993239.480000004</v>
      </c>
      <c r="AF40" s="515">
        <f t="shared" si="11"/>
        <v>1</v>
      </c>
    </row>
    <row r="41" spans="1:33" ht="11.25" x14ac:dyDescent="0.2">
      <c r="B41" s="192" t="s">
        <v>575</v>
      </c>
      <c r="C41" s="137">
        <f t="shared" ref="C41:C52" si="14">D41/$D$53</f>
        <v>0.16060376942437352</v>
      </c>
      <c r="D41" s="137">
        <f>16945201.47</f>
        <v>16945201.469999999</v>
      </c>
      <c r="F41" s="173">
        <f t="shared" ref="F41:F52" si="15">D41-L5</f>
        <v>0</v>
      </c>
      <c r="H41" s="137">
        <f>28776995.9-H42</f>
        <v>12744051.449999999</v>
      </c>
      <c r="I41" s="213">
        <f t="shared" ref="I41:I52" si="16">H41/$H$53</f>
        <v>0.13005031283409102</v>
      </c>
      <c r="J41" s="173">
        <f t="shared" ref="J41:J52" si="17">H41-L22</f>
        <v>0</v>
      </c>
      <c r="L41" s="173">
        <f t="shared" ref="L41:L52" si="18">D41-H41</f>
        <v>4201150.0199999996</v>
      </c>
      <c r="N41" s="497"/>
      <c r="O41" s="204"/>
      <c r="R41" s="166"/>
      <c r="S41" s="166">
        <f>S40-$H41</f>
        <v>0</v>
      </c>
      <c r="T41" s="166">
        <f>T40-H42</f>
        <v>0</v>
      </c>
      <c r="U41" s="166">
        <f>U40-$H43</f>
        <v>0</v>
      </c>
      <c r="V41" s="166">
        <f>V40-$H44</f>
        <v>0</v>
      </c>
      <c r="W41" s="166">
        <f>W40-$H45</f>
        <v>0</v>
      </c>
      <c r="X41" s="166">
        <f>X40-$H46</f>
        <v>0</v>
      </c>
      <c r="Y41" s="166">
        <f>Y40-$H47</f>
        <v>0</v>
      </c>
      <c r="Z41" s="166">
        <f>Z40-$H48</f>
        <v>0</v>
      </c>
      <c r="AA41" s="166">
        <f>AA40-$H49</f>
        <v>0</v>
      </c>
      <c r="AB41" s="166">
        <f>AB40-$H50</f>
        <v>0</v>
      </c>
      <c r="AC41" s="166">
        <f>AC40-$H51</f>
        <v>0</v>
      </c>
      <c r="AD41" s="166">
        <f>AD40-$H52</f>
        <v>0</v>
      </c>
      <c r="AE41" s="166">
        <f>AE40-$H53</f>
        <v>0</v>
      </c>
      <c r="AF41" s="199"/>
    </row>
    <row r="42" spans="1:33" x14ac:dyDescent="0.15">
      <c r="B42" s="192" t="s">
        <v>576</v>
      </c>
      <c r="C42" s="137">
        <f t="shared" si="14"/>
        <v>0.16921480450987297</v>
      </c>
      <c r="D42" s="137">
        <f>17853746.3</f>
        <v>17853746.300000001</v>
      </c>
      <c r="F42" s="173">
        <f t="shared" si="15"/>
        <v>0</v>
      </c>
      <c r="H42" s="137">
        <f>16032944.45</f>
        <v>16032944.449999999</v>
      </c>
      <c r="I42" s="213">
        <f t="shared" si="16"/>
        <v>0.16361276078919967</v>
      </c>
      <c r="J42" s="173">
        <f t="shared" si="17"/>
        <v>0</v>
      </c>
      <c r="L42" s="173">
        <f t="shared" si="18"/>
        <v>1820801.8500000015</v>
      </c>
      <c r="O42" s="204"/>
      <c r="S42" s="182" t="s">
        <v>637</v>
      </c>
      <c r="W42" s="182" t="s">
        <v>1622</v>
      </c>
      <c r="Y42" s="178"/>
      <c r="AC42" s="204"/>
      <c r="AE42" s="167"/>
    </row>
    <row r="43" spans="1:33" x14ac:dyDescent="0.15">
      <c r="B43" s="192" t="s">
        <v>577</v>
      </c>
      <c r="C43" s="137">
        <f t="shared" si="14"/>
        <v>0.15674465913389676</v>
      </c>
      <c r="D43" s="137">
        <f>16538029.2</f>
        <v>16538029.199999999</v>
      </c>
      <c r="F43" s="173">
        <f t="shared" si="15"/>
        <v>-2857419.4200000018</v>
      </c>
      <c r="H43" s="137">
        <f>16911497.41</f>
        <v>16911497.41</v>
      </c>
      <c r="I43" s="213">
        <f t="shared" si="16"/>
        <v>0.17257820539192975</v>
      </c>
      <c r="J43" s="173">
        <f t="shared" si="17"/>
        <v>-2101192.1466666684</v>
      </c>
      <c r="L43" s="173">
        <f t="shared" si="18"/>
        <v>-373468.21000000089</v>
      </c>
      <c r="O43" s="204"/>
      <c r="P43" s="420"/>
      <c r="Q43" s="214"/>
      <c r="R43" s="205"/>
      <c r="S43" s="205" t="s">
        <v>575</v>
      </c>
      <c r="T43" s="421" t="s">
        <v>576</v>
      </c>
      <c r="U43" s="421" t="s">
        <v>577</v>
      </c>
      <c r="V43" s="421" t="s">
        <v>578</v>
      </c>
      <c r="W43" s="421" t="s">
        <v>579</v>
      </c>
      <c r="X43" s="421" t="s">
        <v>580</v>
      </c>
      <c r="Y43" s="421" t="s">
        <v>581</v>
      </c>
      <c r="Z43" s="421" t="s">
        <v>582</v>
      </c>
      <c r="AA43" s="421" t="s">
        <v>583</v>
      </c>
      <c r="AB43" s="421" t="s">
        <v>584</v>
      </c>
      <c r="AC43" s="421" t="s">
        <v>585</v>
      </c>
      <c r="AD43" s="421" t="s">
        <v>586</v>
      </c>
      <c r="AE43" s="421" t="s">
        <v>58</v>
      </c>
    </row>
    <row r="44" spans="1:33" x14ac:dyDescent="0.15">
      <c r="B44" s="192" t="s">
        <v>578</v>
      </c>
      <c r="C44" s="137">
        <f t="shared" si="14"/>
        <v>0.16653961132387415</v>
      </c>
      <c r="D44" s="137">
        <f>17571488.37</f>
        <v>17571488.370000001</v>
      </c>
      <c r="F44" s="173">
        <f t="shared" si="15"/>
        <v>-3080011.1566666663</v>
      </c>
      <c r="H44" s="137">
        <v>17042345.690000001</v>
      </c>
      <c r="I44" s="213">
        <f t="shared" si="16"/>
        <v>0.17391348403660306</v>
      </c>
      <c r="J44" s="173">
        <f t="shared" si="17"/>
        <v>-1849728.7899999991</v>
      </c>
      <c r="L44" s="173">
        <f t="shared" si="18"/>
        <v>529142.6799999997</v>
      </c>
      <c r="O44" s="157"/>
      <c r="P44" s="215" t="s">
        <v>638</v>
      </c>
      <c r="Q44" s="216" t="s">
        <v>639</v>
      </c>
      <c r="R44" s="217"/>
      <c r="S44" s="218">
        <f t="shared" ref="S44:AE44" si="19">SUM(S45:S47)</f>
        <v>15581595.20580497</v>
      </c>
      <c r="T44" s="218">
        <f t="shared" si="19"/>
        <v>16391071.77484989</v>
      </c>
      <c r="U44" s="218">
        <f t="shared" si="19"/>
        <v>17764665.969956577</v>
      </c>
      <c r="V44" s="218">
        <f t="shared" si="19"/>
        <v>18883756.349321008</v>
      </c>
      <c r="W44" s="218">
        <f t="shared" si="19"/>
        <v>18590113.140924796</v>
      </c>
      <c r="X44" s="218">
        <f t="shared" si="19"/>
        <v>16620790.231221829</v>
      </c>
      <c r="Y44" s="218">
        <f t="shared" si="19"/>
        <v>18548365.871458735</v>
      </c>
      <c r="Z44" s="218">
        <f t="shared" si="19"/>
        <v>17791468.50004771</v>
      </c>
      <c r="AA44" s="218">
        <f t="shared" si="19"/>
        <v>16742031.450690813</v>
      </c>
      <c r="AB44" s="218">
        <f t="shared" si="19"/>
        <v>17611425.218498051</v>
      </c>
      <c r="AC44" s="218">
        <f t="shared" si="19"/>
        <v>18712855.882414203</v>
      </c>
      <c r="AD44" s="218">
        <f t="shared" si="19"/>
        <v>25362533.304811448</v>
      </c>
      <c r="AE44" s="218">
        <f t="shared" si="19"/>
        <v>218600672.90000001</v>
      </c>
    </row>
    <row r="45" spans="1:33" x14ac:dyDescent="0.15">
      <c r="B45" s="192" t="s">
        <v>579</v>
      </c>
      <c r="C45" s="137">
        <f t="shared" si="14"/>
        <v>0.18149205525217793</v>
      </c>
      <c r="D45" s="137">
        <f>19149111.21</f>
        <v>19149111.210000001</v>
      </c>
      <c r="F45" s="173">
        <f t="shared" si="15"/>
        <v>-1172807.4133333303</v>
      </c>
      <c r="H45" s="137">
        <f>16921239.14</f>
        <v>16921239.140000001</v>
      </c>
      <c r="I45" s="213">
        <f t="shared" si="16"/>
        <v>0.17267761765803805</v>
      </c>
      <c r="J45" s="173">
        <f t="shared" si="17"/>
        <v>-2008224.3933333345</v>
      </c>
      <c r="L45" s="173">
        <f t="shared" si="18"/>
        <v>2227872.0700000003</v>
      </c>
      <c r="P45" s="195" t="s">
        <v>640</v>
      </c>
      <c r="Q45" s="219" t="s">
        <v>641</v>
      </c>
      <c r="R45" s="220"/>
      <c r="S45" s="218">
        <f t="shared" ref="S45:AD45" si="20">139579679.82*S21</f>
        <v>9949073.079505166</v>
      </c>
      <c r="T45" s="218">
        <f t="shared" si="20"/>
        <v>10465935.533907438</v>
      </c>
      <c r="U45" s="218">
        <f t="shared" si="20"/>
        <v>11342995.221840367</v>
      </c>
      <c r="V45" s="218">
        <f t="shared" si="20"/>
        <v>12057550.555861617</v>
      </c>
      <c r="W45" s="218">
        <f t="shared" si="20"/>
        <v>11870055.135717094</v>
      </c>
      <c r="X45" s="218">
        <f t="shared" si="20"/>
        <v>10612614.078688532</v>
      </c>
      <c r="Y45" s="218">
        <f t="shared" si="20"/>
        <v>11843398.902558573</v>
      </c>
      <c r="Z45" s="218">
        <f t="shared" si="20"/>
        <v>11360109.023544891</v>
      </c>
      <c r="AA45" s="218">
        <f t="shared" si="20"/>
        <v>10690028.344481796</v>
      </c>
      <c r="AB45" s="218">
        <f t="shared" si="20"/>
        <v>11245148.793738371</v>
      </c>
      <c r="AC45" s="218">
        <f t="shared" si="20"/>
        <v>11948428.144958276</v>
      </c>
      <c r="AD45" s="218">
        <f t="shared" si="20"/>
        <v>16194343.005197896</v>
      </c>
      <c r="AE45" s="137">
        <f>SUM(S45:AD45)</f>
        <v>139579679.81999999</v>
      </c>
      <c r="AF45" s="204"/>
    </row>
    <row r="46" spans="1:33" x14ac:dyDescent="0.15">
      <c r="B46" s="192" t="s">
        <v>580</v>
      </c>
      <c r="C46" s="137">
        <f t="shared" si="14"/>
        <v>0.16540510035580452</v>
      </c>
      <c r="D46" s="137">
        <f>17451786.84</f>
        <v>17451786.84</v>
      </c>
      <c r="F46" s="173">
        <f t="shared" si="15"/>
        <v>-659792.14333333075</v>
      </c>
      <c r="H46" s="137">
        <f>18341161.34</f>
        <v>18341161.34</v>
      </c>
      <c r="I46" s="213">
        <f t="shared" si="16"/>
        <v>0.18716761929013839</v>
      </c>
      <c r="J46" s="173">
        <f t="shared" si="17"/>
        <v>-2701965.950000003</v>
      </c>
      <c r="L46" s="173">
        <f t="shared" si="18"/>
        <v>-889374.5</v>
      </c>
      <c r="P46" s="195" t="s">
        <v>642</v>
      </c>
      <c r="Q46" s="216" t="s">
        <v>643</v>
      </c>
      <c r="R46" s="217"/>
      <c r="S46" s="218">
        <f t="shared" ref="S46:AD46" si="21">847016*S21</f>
        <v>60374.290114273943</v>
      </c>
      <c r="T46" s="218">
        <f t="shared" si="21"/>
        <v>63510.783687282303</v>
      </c>
      <c r="U46" s="218">
        <f t="shared" si="21"/>
        <v>68833.07407791946</v>
      </c>
      <c r="V46" s="218">
        <f t="shared" si="21"/>
        <v>73169.233908504058</v>
      </c>
      <c r="W46" s="218">
        <f t="shared" si="21"/>
        <v>72031.449232439933</v>
      </c>
      <c r="X46" s="218">
        <f t="shared" si="21"/>
        <v>64400.877964948799</v>
      </c>
      <c r="Y46" s="218">
        <f t="shared" si="21"/>
        <v>71869.690328750556</v>
      </c>
      <c r="Z46" s="218">
        <f t="shared" si="21"/>
        <v>68936.92632835629</v>
      </c>
      <c r="AA46" s="218">
        <f t="shared" si="21"/>
        <v>64870.653521388725</v>
      </c>
      <c r="AB46" s="218">
        <f t="shared" si="21"/>
        <v>68239.309353339806</v>
      </c>
      <c r="AC46" s="218">
        <f t="shared" si="21"/>
        <v>72507.042763540128</v>
      </c>
      <c r="AD46" s="218">
        <f t="shared" si="21"/>
        <v>98272.668719256151</v>
      </c>
      <c r="AE46" s="137">
        <f>SUM(S46:AD46)</f>
        <v>847016.00000000023</v>
      </c>
      <c r="AF46" s="204"/>
    </row>
    <row r="47" spans="1:33" x14ac:dyDescent="0.15">
      <c r="B47" s="192" t="s">
        <v>581</v>
      </c>
      <c r="C47" s="137">
        <f t="shared" si="14"/>
        <v>0</v>
      </c>
      <c r="D47" s="137"/>
      <c r="F47" s="173">
        <f t="shared" si="15"/>
        <v>-20275062.09</v>
      </c>
      <c r="H47" s="137"/>
      <c r="I47" s="213">
        <f t="shared" si="16"/>
        <v>0</v>
      </c>
      <c r="J47" s="173">
        <f t="shared" si="17"/>
        <v>-20035693.183333334</v>
      </c>
      <c r="L47" s="173">
        <f t="shared" si="18"/>
        <v>0</v>
      </c>
      <c r="P47" s="195" t="s">
        <v>644</v>
      </c>
      <c r="Q47" s="219" t="s">
        <v>645</v>
      </c>
      <c r="R47" s="220"/>
      <c r="S47" s="218">
        <f t="shared" ref="S47:AD47" si="22">78173977.08*S21</f>
        <v>5572147.8361855289</v>
      </c>
      <c r="T47" s="218">
        <f t="shared" si="22"/>
        <v>5861625.4572551697</v>
      </c>
      <c r="U47" s="218">
        <f t="shared" si="22"/>
        <v>6352837.6740382919</v>
      </c>
      <c r="V47" s="218">
        <f t="shared" si="22"/>
        <v>6753036.5595508879</v>
      </c>
      <c r="W47" s="218">
        <f t="shared" si="22"/>
        <v>6648026.555975263</v>
      </c>
      <c r="X47" s="218">
        <f t="shared" si="22"/>
        <v>5943775.2745683482</v>
      </c>
      <c r="Y47" s="218">
        <f t="shared" si="22"/>
        <v>6633097.278571412</v>
      </c>
      <c r="Z47" s="218">
        <f t="shared" si="22"/>
        <v>6362422.5501744635</v>
      </c>
      <c r="AA47" s="218">
        <f t="shared" si="22"/>
        <v>5987132.4526876276</v>
      </c>
      <c r="AB47" s="218">
        <f t="shared" si="22"/>
        <v>6298037.1154063381</v>
      </c>
      <c r="AC47" s="218">
        <f t="shared" si="22"/>
        <v>6691920.6946923854</v>
      </c>
      <c r="AD47" s="218">
        <f t="shared" si="22"/>
        <v>9069917.6308942959</v>
      </c>
      <c r="AE47" s="137">
        <f>SUM(S47:AD47)</f>
        <v>78173977.080000013</v>
      </c>
      <c r="AF47" s="204"/>
    </row>
    <row r="48" spans="1:33" x14ac:dyDescent="0.15">
      <c r="B48" s="192" t="s">
        <v>582</v>
      </c>
      <c r="C48" s="137">
        <f t="shared" si="14"/>
        <v>0</v>
      </c>
      <c r="D48" s="137"/>
      <c r="F48" s="173">
        <f t="shared" si="15"/>
        <v>-19425531.393333334</v>
      </c>
      <c r="H48" s="137"/>
      <c r="I48" s="213">
        <f t="shared" si="16"/>
        <v>0</v>
      </c>
      <c r="J48" s="173">
        <f t="shared" si="17"/>
        <v>-19051706.77</v>
      </c>
      <c r="L48" s="173">
        <f t="shared" si="18"/>
        <v>0</v>
      </c>
      <c r="P48" s="195" t="s">
        <v>646</v>
      </c>
      <c r="Q48" s="216" t="s">
        <v>647</v>
      </c>
      <c r="R48" s="217"/>
      <c r="S48" s="218">
        <f t="shared" ref="S48:AE48" si="23">SUM(S49:S51)</f>
        <v>376512.11695496878</v>
      </c>
      <c r="T48" s="218">
        <f t="shared" si="23"/>
        <v>396072.22826648591</v>
      </c>
      <c r="U48" s="218">
        <f t="shared" si="23"/>
        <v>429263.62179235549</v>
      </c>
      <c r="V48" s="218">
        <f t="shared" si="23"/>
        <v>456305.21042517177</v>
      </c>
      <c r="W48" s="218">
        <f t="shared" si="23"/>
        <v>449209.64514046221</v>
      </c>
      <c r="X48" s="218">
        <f t="shared" si="23"/>
        <v>401623.12220063224</v>
      </c>
      <c r="Y48" s="218">
        <f t="shared" si="23"/>
        <v>448200.86827287299</v>
      </c>
      <c r="Z48" s="218">
        <f t="shared" si="23"/>
        <v>429911.27546395146</v>
      </c>
      <c r="AA48" s="218">
        <f t="shared" si="23"/>
        <v>404552.78297037567</v>
      </c>
      <c r="AB48" s="218">
        <f t="shared" si="23"/>
        <v>425560.72751398757</v>
      </c>
      <c r="AC48" s="218">
        <f t="shared" si="23"/>
        <v>452175.58853897988</v>
      </c>
      <c r="AD48" s="218">
        <f t="shared" si="23"/>
        <v>612857.73245975724</v>
      </c>
      <c r="AE48" s="218">
        <f t="shared" si="23"/>
        <v>5282244.9200000009</v>
      </c>
    </row>
    <row r="49" spans="1:34" ht="9.4" customHeight="1" x14ac:dyDescent="0.15">
      <c r="B49" s="192" t="s">
        <v>583</v>
      </c>
      <c r="C49" s="137">
        <f t="shared" si="14"/>
        <v>0</v>
      </c>
      <c r="D49" s="174"/>
      <c r="F49" s="173">
        <f t="shared" si="15"/>
        <v>-18247658.379999999</v>
      </c>
      <c r="H49" s="137"/>
      <c r="I49" s="213">
        <f t="shared" si="16"/>
        <v>0</v>
      </c>
      <c r="J49" s="173">
        <f t="shared" si="17"/>
        <v>-18924101.036666665</v>
      </c>
      <c r="L49" s="173">
        <f t="shared" si="18"/>
        <v>0</v>
      </c>
      <c r="N49" s="166"/>
      <c r="P49" s="195" t="s">
        <v>648</v>
      </c>
      <c r="Q49" s="219" t="s">
        <v>284</v>
      </c>
      <c r="R49" s="220"/>
      <c r="S49" s="218">
        <f t="shared" ref="S49:AD49" si="24">4655604.91*S21</f>
        <v>331845.96453169512</v>
      </c>
      <c r="T49" s="218">
        <f t="shared" si="24"/>
        <v>349085.6328244796</v>
      </c>
      <c r="U49" s="218">
        <f t="shared" si="24"/>
        <v>378339.48549679766</v>
      </c>
      <c r="V49" s="218">
        <f t="shared" si="24"/>
        <v>402173.09312382527</v>
      </c>
      <c r="W49" s="218">
        <f t="shared" si="24"/>
        <v>395919.28454830026</v>
      </c>
      <c r="X49" s="218">
        <f t="shared" si="24"/>
        <v>353978.01654505514</v>
      </c>
      <c r="Y49" s="218">
        <f t="shared" si="24"/>
        <v>395030.18027370278</v>
      </c>
      <c r="Z49" s="218">
        <f t="shared" si="24"/>
        <v>378910.30711887835</v>
      </c>
      <c r="AA49" s="218">
        <f t="shared" si="24"/>
        <v>356560.12761162262</v>
      </c>
      <c r="AB49" s="218">
        <f t="shared" si="24"/>
        <v>375075.870680622</v>
      </c>
      <c r="AC49" s="218">
        <f t="shared" si="24"/>
        <v>398533.37398528174</v>
      </c>
      <c r="AD49" s="218">
        <f t="shared" si="24"/>
        <v>540153.57325974049</v>
      </c>
      <c r="AE49" s="137">
        <f>SUM(S49:AD49)</f>
        <v>4655604.9100000011</v>
      </c>
      <c r="AF49" s="204"/>
    </row>
    <row r="50" spans="1:34" x14ac:dyDescent="0.15">
      <c r="B50" s="192" t="s">
        <v>584</v>
      </c>
      <c r="C50" s="137">
        <f t="shared" si="14"/>
        <v>0</v>
      </c>
      <c r="D50" s="137"/>
      <c r="F50" s="173">
        <f t="shared" si="15"/>
        <v>-19223453.41</v>
      </c>
      <c r="H50" s="137"/>
      <c r="I50" s="213">
        <f t="shared" si="16"/>
        <v>0</v>
      </c>
      <c r="J50" s="173">
        <f t="shared" si="17"/>
        <v>-20040897.239999998</v>
      </c>
      <c r="L50" s="173">
        <f t="shared" si="18"/>
        <v>0</v>
      </c>
      <c r="N50" s="166"/>
      <c r="P50" s="195" t="s">
        <v>649</v>
      </c>
      <c r="Q50" s="219" t="s">
        <v>650</v>
      </c>
      <c r="R50" s="220"/>
      <c r="S50" s="218">
        <f t="shared" ref="S50:AD50" si="25">122*S21</f>
        <v>8.6960144719124806</v>
      </c>
      <c r="T50" s="218">
        <f t="shared" si="25"/>
        <v>9.147779510479662</v>
      </c>
      <c r="U50" s="218">
        <f t="shared" si="25"/>
        <v>9.9143759238387172</v>
      </c>
      <c r="V50" s="218">
        <f t="shared" si="25"/>
        <v>10.538934963256295</v>
      </c>
      <c r="W50" s="218">
        <f t="shared" si="25"/>
        <v>10.375054079684059</v>
      </c>
      <c r="X50" s="218">
        <f t="shared" si="25"/>
        <v>9.2759842927686762</v>
      </c>
      <c r="Y50" s="218">
        <f t="shared" si="25"/>
        <v>10.351755126358377</v>
      </c>
      <c r="Z50" s="218">
        <f t="shared" si="25"/>
        <v>9.9293342889148111</v>
      </c>
      <c r="AA50" s="218">
        <f t="shared" si="25"/>
        <v>9.3436484430157449</v>
      </c>
      <c r="AB50" s="218">
        <f t="shared" si="25"/>
        <v>9.8288529863750576</v>
      </c>
      <c r="AC50" s="218">
        <f t="shared" si="25"/>
        <v>10.443556222257779</v>
      </c>
      <c r="AD50" s="218">
        <f t="shared" si="25"/>
        <v>14.154709691138361</v>
      </c>
      <c r="AE50" s="137">
        <f>SUM(S50:AD50)</f>
        <v>122.00000000000004</v>
      </c>
      <c r="AF50" s="204"/>
    </row>
    <row r="51" spans="1:34" x14ac:dyDescent="0.15">
      <c r="B51" s="192" t="s">
        <v>585</v>
      </c>
      <c r="C51" s="137">
        <f t="shared" si="14"/>
        <v>0</v>
      </c>
      <c r="D51" s="137"/>
      <c r="E51" s="414"/>
      <c r="F51" s="173">
        <f t="shared" si="15"/>
        <v>-20459683.306666669</v>
      </c>
      <c r="H51" s="137"/>
      <c r="I51" s="213">
        <f t="shared" si="16"/>
        <v>0</v>
      </c>
      <c r="J51" s="173">
        <f t="shared" si="17"/>
        <v>-19411952.25</v>
      </c>
      <c r="K51" s="414"/>
      <c r="L51" s="173">
        <f t="shared" si="18"/>
        <v>0</v>
      </c>
      <c r="P51" s="221" t="s">
        <v>651</v>
      </c>
      <c r="Q51" s="216" t="s">
        <v>452</v>
      </c>
      <c r="R51" s="217"/>
      <c r="S51" s="218">
        <f t="shared" ref="S51:AD51" si="26">626518.01*S21</f>
        <v>44657.456408801707</v>
      </c>
      <c r="T51" s="218">
        <f t="shared" si="26"/>
        <v>46977.447662495833</v>
      </c>
      <c r="U51" s="218">
        <f t="shared" si="26"/>
        <v>50914.221919633972</v>
      </c>
      <c r="V51" s="218">
        <f t="shared" si="26"/>
        <v>54121.578366383263</v>
      </c>
      <c r="W51" s="218">
        <f t="shared" si="26"/>
        <v>53279.985538082277</v>
      </c>
      <c r="X51" s="218">
        <f t="shared" si="26"/>
        <v>47635.829671284329</v>
      </c>
      <c r="Y51" s="218">
        <f t="shared" si="26"/>
        <v>53160.33624404385</v>
      </c>
      <c r="Z51" s="218">
        <f t="shared" si="26"/>
        <v>50991.039010784203</v>
      </c>
      <c r="AA51" s="218">
        <f t="shared" si="26"/>
        <v>47983.31171031003</v>
      </c>
      <c r="AB51" s="218">
        <f t="shared" si="26"/>
        <v>50475.027980379164</v>
      </c>
      <c r="AC51" s="218">
        <f t="shared" si="26"/>
        <v>53631.77099747592</v>
      </c>
      <c r="AD51" s="218">
        <f t="shared" si="26"/>
        <v>72690.004490325577</v>
      </c>
      <c r="AE51" s="137">
        <f>SUM(S51:AD51)</f>
        <v>626518.01000000013</v>
      </c>
      <c r="AF51" s="204"/>
    </row>
    <row r="52" spans="1:34" x14ac:dyDescent="0.15">
      <c r="B52" s="192" t="s">
        <v>586</v>
      </c>
      <c r="C52" s="137">
        <f t="shared" si="14"/>
        <v>0</v>
      </c>
      <c r="D52" s="137"/>
      <c r="F52" s="173">
        <f t="shared" si="15"/>
        <v>-27923185.370000001</v>
      </c>
      <c r="H52" s="137"/>
      <c r="I52" s="213">
        <f t="shared" si="16"/>
        <v>0</v>
      </c>
      <c r="J52" s="173">
        <f t="shared" si="17"/>
        <v>-32655521.943333328</v>
      </c>
      <c r="L52" s="173">
        <f t="shared" si="18"/>
        <v>0</v>
      </c>
      <c r="P52" s="172" t="s">
        <v>652</v>
      </c>
      <c r="Q52" s="222"/>
      <c r="R52" s="207"/>
      <c r="S52" s="218">
        <f t="shared" ref="S52:AE52" si="27">S44+S48</f>
        <v>15958107.322759939</v>
      </c>
      <c r="T52" s="218">
        <f t="shared" si="27"/>
        <v>16787144.003116377</v>
      </c>
      <c r="U52" s="218">
        <f t="shared" si="27"/>
        <v>18193929.591748931</v>
      </c>
      <c r="V52" s="218">
        <f t="shared" si="27"/>
        <v>19340061.55974618</v>
      </c>
      <c r="W52" s="218">
        <f t="shared" si="27"/>
        <v>19039322.786065258</v>
      </c>
      <c r="X52" s="218">
        <f t="shared" si="27"/>
        <v>17022413.353422459</v>
      </c>
      <c r="Y52" s="218">
        <f t="shared" si="27"/>
        <v>18996566.73973161</v>
      </c>
      <c r="Z52" s="218">
        <f t="shared" si="27"/>
        <v>18221379.77551166</v>
      </c>
      <c r="AA52" s="218">
        <f t="shared" si="27"/>
        <v>17146584.23366119</v>
      </c>
      <c r="AB52" s="218">
        <f t="shared" si="27"/>
        <v>18036985.946012039</v>
      </c>
      <c r="AC52" s="218">
        <f t="shared" si="27"/>
        <v>19165031.470953181</v>
      </c>
      <c r="AD52" s="218">
        <f t="shared" si="27"/>
        <v>25975391.037271205</v>
      </c>
      <c r="AE52" s="218">
        <f t="shared" si="27"/>
        <v>223882917.81999999</v>
      </c>
    </row>
    <row r="53" spans="1:34" x14ac:dyDescent="0.15">
      <c r="B53" s="195" t="s">
        <v>617</v>
      </c>
      <c r="C53" s="136">
        <f>SUM(C41:C52)</f>
        <v>1</v>
      </c>
      <c r="D53" s="137">
        <f>SUM(D41:D52)</f>
        <v>105509363.39000002</v>
      </c>
      <c r="F53" s="137">
        <f>SUM(F41:F52)</f>
        <v>-133324604.08333333</v>
      </c>
      <c r="G53" s="177">
        <f>(H53-H34)/H34</f>
        <v>-0.51189288603710581</v>
      </c>
      <c r="H53" s="137">
        <f>SUM(H41:H52)</f>
        <v>97993239.480000004</v>
      </c>
      <c r="I53" s="136">
        <f>SUM(I41:I52)</f>
        <v>0.99999999999999989</v>
      </c>
      <c r="J53" s="137">
        <f>SUM(J41:J52)</f>
        <v>-138780983.70333332</v>
      </c>
      <c r="L53" s="136">
        <f>SUM(L41:L52)</f>
        <v>7516123.9100000001</v>
      </c>
      <c r="P53" s="195" t="s">
        <v>653</v>
      </c>
      <c r="Q53" s="223" t="s">
        <v>654</v>
      </c>
      <c r="R53" s="220"/>
      <c r="S53" s="173">
        <f t="shared" ref="S53:AD53" si="28">S20-S52</f>
        <v>1065692.9846449289</v>
      </c>
      <c r="T53" s="173">
        <f t="shared" si="28"/>
        <v>1121056.6036756858</v>
      </c>
      <c r="U53" s="173">
        <f t="shared" si="28"/>
        <v>1215002.67775473</v>
      </c>
      <c r="V53" s="173">
        <f t="shared" si="28"/>
        <v>1291542.1302767657</v>
      </c>
      <c r="W53" s="173">
        <f t="shared" si="28"/>
        <v>1271458.595629435</v>
      </c>
      <c r="X53" s="173">
        <f t="shared" si="28"/>
        <v>1136768.0468344614</v>
      </c>
      <c r="Y53" s="173">
        <f t="shared" si="28"/>
        <v>1268603.3185149617</v>
      </c>
      <c r="Z53" s="173">
        <f t="shared" si="28"/>
        <v>1216835.8192214146</v>
      </c>
      <c r="AA53" s="173">
        <f t="shared" si="28"/>
        <v>1145060.2605219111</v>
      </c>
      <c r="AB53" s="173">
        <f t="shared" si="28"/>
        <v>1204521.8770642914</v>
      </c>
      <c r="AC53" s="173">
        <f t="shared" si="28"/>
        <v>1279853.5049306713</v>
      </c>
      <c r="AD53" s="173">
        <f t="shared" si="28"/>
        <v>1734653.8309306987</v>
      </c>
      <c r="AE53" s="137">
        <f>SUM(S53:AD53)</f>
        <v>14951049.649999956</v>
      </c>
      <c r="AF53" s="167"/>
      <c r="AG53" s="204"/>
    </row>
    <row r="54" spans="1:34" x14ac:dyDescent="0.15">
      <c r="C54" s="166"/>
      <c r="D54" s="157">
        <f>105509363.39-D53</f>
        <v>0</v>
      </c>
      <c r="H54" s="157">
        <f>97993239.48-H53</f>
        <v>0</v>
      </c>
      <c r="P54" s="175" t="s">
        <v>655</v>
      </c>
      <c r="Q54" s="223"/>
      <c r="R54" s="220"/>
      <c r="S54" s="173">
        <f t="shared" ref="S54:AD54" si="29">S52+S53</f>
        <v>17023800.307404868</v>
      </c>
      <c r="T54" s="173">
        <f t="shared" si="29"/>
        <v>17908200.606792063</v>
      </c>
      <c r="U54" s="173">
        <f t="shared" si="29"/>
        <v>19408932.269503661</v>
      </c>
      <c r="V54" s="173">
        <f t="shared" si="29"/>
        <v>20631603.690022945</v>
      </c>
      <c r="W54" s="173">
        <f t="shared" si="29"/>
        <v>20310781.381694693</v>
      </c>
      <c r="X54" s="173">
        <f t="shared" si="29"/>
        <v>18159181.400256921</v>
      </c>
      <c r="Y54" s="173">
        <f t="shared" si="29"/>
        <v>20265170.058246572</v>
      </c>
      <c r="Z54" s="173">
        <f t="shared" si="29"/>
        <v>19438215.594733074</v>
      </c>
      <c r="AA54" s="173">
        <f t="shared" si="29"/>
        <v>18291644.494183101</v>
      </c>
      <c r="AB54" s="173">
        <f t="shared" si="29"/>
        <v>19241507.82307633</v>
      </c>
      <c r="AC54" s="173">
        <f t="shared" si="29"/>
        <v>20444884.975883853</v>
      </c>
      <c r="AD54" s="173">
        <f t="shared" si="29"/>
        <v>27710044.868201904</v>
      </c>
      <c r="AE54" s="137">
        <f>SUM(S54:AD54)</f>
        <v>238833967.46999997</v>
      </c>
      <c r="AF54" s="204"/>
    </row>
    <row r="55" spans="1:34" x14ac:dyDescent="0.15">
      <c r="D55" s="157"/>
      <c r="F55" s="166"/>
      <c r="H55" s="513" t="str">
        <f>IF((I55)&gt;0,"Superávit","Déficitário")</f>
        <v>Superávit</v>
      </c>
      <c r="I55" s="422" t="s">
        <v>656</v>
      </c>
      <c r="J55" s="173">
        <f>D53-H53</f>
        <v>7516123.9100000113</v>
      </c>
      <c r="K55" s="172" t="s">
        <v>657</v>
      </c>
      <c r="L55" s="220"/>
      <c r="AE55" s="636">
        <f>238833967.47-AE54</f>
        <v>0</v>
      </c>
    </row>
    <row r="56" spans="1:34" x14ac:dyDescent="0.15">
      <c r="D56" s="166"/>
      <c r="P56" s="195" t="s">
        <v>638</v>
      </c>
      <c r="Q56" s="224" t="s">
        <v>639</v>
      </c>
      <c r="R56" s="192"/>
      <c r="S56" s="218">
        <f t="shared" ref="S56:AE56" si="30">SUM(S57:S59)</f>
        <v>12691443.33</v>
      </c>
      <c r="T56" s="137">
        <f t="shared" si="30"/>
        <v>15742593.219999999</v>
      </c>
      <c r="U56" s="137">
        <f t="shared" si="30"/>
        <v>16162565.32</v>
      </c>
      <c r="V56" s="137">
        <f t="shared" si="30"/>
        <v>16178912.629999999</v>
      </c>
      <c r="W56" s="137">
        <f t="shared" si="30"/>
        <v>16399267.330000002</v>
      </c>
      <c r="X56" s="137">
        <f t="shared" si="30"/>
        <v>17926467.550000001</v>
      </c>
      <c r="Y56" s="137">
        <f t="shared" si="30"/>
        <v>0</v>
      </c>
      <c r="Z56" s="137">
        <f t="shared" si="30"/>
        <v>0</v>
      </c>
      <c r="AA56" s="137">
        <f t="shared" si="30"/>
        <v>0</v>
      </c>
      <c r="AB56" s="137">
        <f t="shared" si="30"/>
        <v>0</v>
      </c>
      <c r="AC56" s="137">
        <f t="shared" si="30"/>
        <v>0</v>
      </c>
      <c r="AD56" s="137">
        <f t="shared" si="30"/>
        <v>0</v>
      </c>
      <c r="AE56" s="137">
        <f t="shared" si="30"/>
        <v>95101249.379999995</v>
      </c>
      <c r="AF56" s="177">
        <f t="shared" ref="AF56:AF63" si="31">AE56/$AE$64</f>
        <v>0.97048786104688134</v>
      </c>
      <c r="AG56" s="178"/>
      <c r="AH56" s="157"/>
    </row>
    <row r="57" spans="1:34" x14ac:dyDescent="0.15">
      <c r="D57" s="166"/>
      <c r="I57" s="225" t="s">
        <v>1176</v>
      </c>
      <c r="J57" s="437">
        <f>Exec_Orç!K23+Exec_Orç!K24+Exec_Orç!K25</f>
        <v>977138.87</v>
      </c>
      <c r="K57" s="225" t="s">
        <v>1174</v>
      </c>
      <c r="L57" s="226">
        <f>Exec_Orç!K29</f>
        <v>8972717.3000000007</v>
      </c>
      <c r="M57" s="226"/>
      <c r="N57" s="166"/>
      <c r="P57" s="195" t="s">
        <v>640</v>
      </c>
      <c r="Q57" s="219" t="s">
        <v>641</v>
      </c>
      <c r="R57" s="220"/>
      <c r="S57" s="218">
        <v>10513295.73</v>
      </c>
      <c r="T57" s="218">
        <v>10009757.199999999</v>
      </c>
      <c r="U57" s="137">
        <f>10672599.62</f>
        <v>10672599.619999999</v>
      </c>
      <c r="V57" s="137">
        <v>10822075.609999999</v>
      </c>
      <c r="W57" s="137">
        <f>10675947.46</f>
        <v>10675947.460000001</v>
      </c>
      <c r="X57" s="137">
        <f>12229677.47</f>
        <v>12229677.470000001</v>
      </c>
      <c r="Y57" s="137"/>
      <c r="Z57" s="137"/>
      <c r="AA57" s="137"/>
      <c r="AB57" s="137"/>
      <c r="AC57" s="137"/>
      <c r="AD57" s="137"/>
      <c r="AE57" s="137">
        <f>SUM(S57:AD57)</f>
        <v>64923353.089999996</v>
      </c>
      <c r="AF57" s="177">
        <f t="shared" si="31"/>
        <v>0.66252889928443059</v>
      </c>
      <c r="AH57" s="157"/>
    </row>
    <row r="58" spans="1:34" ht="8.4499999999999993" customHeight="1" x14ac:dyDescent="0.15">
      <c r="B58" s="157"/>
      <c r="D58" s="157"/>
      <c r="F58" s="154" t="s">
        <v>941</v>
      </c>
      <c r="I58" s="225"/>
      <c r="J58" s="437">
        <f>Exec_Orç!K28</f>
        <v>44510705.490000002</v>
      </c>
      <c r="K58" s="154" t="s">
        <v>1175</v>
      </c>
      <c r="L58" s="437">
        <f>Exec_Orç!K26</f>
        <v>1379189.04</v>
      </c>
      <c r="M58" s="167"/>
      <c r="P58" s="195" t="s">
        <v>642</v>
      </c>
      <c r="Q58" s="216" t="s">
        <v>643</v>
      </c>
      <c r="R58" s="217"/>
      <c r="S58" s="218">
        <v>67332.37</v>
      </c>
      <c r="T58" s="218">
        <v>136408.74</v>
      </c>
      <c r="U58" s="137"/>
      <c r="V58" s="137">
        <f>135821.73</f>
        <v>135821.73000000001</v>
      </c>
      <c r="W58" s="137">
        <v>0</v>
      </c>
      <c r="X58" s="137">
        <f>75939.64</f>
        <v>75939.64</v>
      </c>
      <c r="Y58" s="137"/>
      <c r="Z58" s="137"/>
      <c r="AA58" s="137"/>
      <c r="AB58" s="137"/>
      <c r="AC58" s="137"/>
      <c r="AD58" s="137"/>
      <c r="AE58" s="137">
        <f>SUM(S58:AD58)</f>
        <v>415502.48</v>
      </c>
      <c r="AF58" s="177">
        <f t="shared" si="31"/>
        <v>4.2401137283026788E-3</v>
      </c>
      <c r="AH58" s="157"/>
    </row>
    <row r="59" spans="1:34" x14ac:dyDescent="0.15">
      <c r="B59" s="157"/>
      <c r="D59" s="157"/>
      <c r="H59" s="157"/>
      <c r="I59" s="225" t="s">
        <v>658</v>
      </c>
      <c r="J59" s="437"/>
      <c r="K59" s="225" t="s">
        <v>658</v>
      </c>
      <c r="L59" s="166">
        <f>Exec_Orç!J19</f>
        <v>3000</v>
      </c>
      <c r="M59" s="458"/>
      <c r="N59" s="178"/>
      <c r="P59" s="195" t="s">
        <v>644</v>
      </c>
      <c r="Q59" s="219" t="s">
        <v>645</v>
      </c>
      <c r="R59" s="220"/>
      <c r="S59" s="218">
        <v>2110815.23</v>
      </c>
      <c r="T59" s="218">
        <v>5596427.2800000003</v>
      </c>
      <c r="U59" s="137">
        <f>5489965.7</f>
        <v>5489965.7000000002</v>
      </c>
      <c r="V59" s="137">
        <f>5221015.29</f>
        <v>5221015.29</v>
      </c>
      <c r="W59" s="137">
        <f>5723319.87</f>
        <v>5723319.8700000001</v>
      </c>
      <c r="X59" s="137">
        <f>5620850.44</f>
        <v>5620850.4400000004</v>
      </c>
      <c r="Y59" s="137"/>
      <c r="Z59" s="137"/>
      <c r="AA59" s="137"/>
      <c r="AB59" s="137"/>
      <c r="AC59" s="137"/>
      <c r="AD59" s="137"/>
      <c r="AE59" s="137">
        <f>SUM(S59:AD59)</f>
        <v>29762393.810000002</v>
      </c>
      <c r="AF59" s="177">
        <f t="shared" si="31"/>
        <v>0.30371884803414811</v>
      </c>
      <c r="AH59" s="157"/>
    </row>
    <row r="60" spans="1:34" x14ac:dyDescent="0.15">
      <c r="B60" s="157"/>
      <c r="D60" s="157"/>
      <c r="H60" s="157"/>
      <c r="I60" s="227" t="s">
        <v>527</v>
      </c>
      <c r="J60" s="228">
        <f>SUM(J57:J59)</f>
        <v>45487844.359999999</v>
      </c>
      <c r="K60" s="459"/>
      <c r="L60" s="228">
        <f>SUM(L57:L59)</f>
        <v>10354906.34</v>
      </c>
      <c r="P60" s="195" t="s">
        <v>646</v>
      </c>
      <c r="Q60" s="216" t="s">
        <v>647</v>
      </c>
      <c r="R60" s="217"/>
      <c r="S60" s="218">
        <f t="shared" ref="S60:AE60" si="32">SUM(S61:S63)</f>
        <v>52608.12</v>
      </c>
      <c r="T60" s="218">
        <f t="shared" si="32"/>
        <v>290351.23</v>
      </c>
      <c r="U60" s="218">
        <f t="shared" si="32"/>
        <v>748932.09</v>
      </c>
      <c r="V60" s="218">
        <f t="shared" si="32"/>
        <v>863433.06</v>
      </c>
      <c r="W60" s="218">
        <f t="shared" si="32"/>
        <v>521971.81</v>
      </c>
      <c r="X60" s="218">
        <f t="shared" si="32"/>
        <v>414693.79</v>
      </c>
      <c r="Y60" s="218">
        <f t="shared" si="32"/>
        <v>0</v>
      </c>
      <c r="Z60" s="218">
        <f t="shared" si="32"/>
        <v>0</v>
      </c>
      <c r="AA60" s="218">
        <f>SUM(AA61:AA63)</f>
        <v>0</v>
      </c>
      <c r="AB60" s="218">
        <f t="shared" si="32"/>
        <v>0</v>
      </c>
      <c r="AC60" s="218">
        <f t="shared" si="32"/>
        <v>0</v>
      </c>
      <c r="AD60" s="218">
        <f t="shared" si="32"/>
        <v>0</v>
      </c>
      <c r="AE60" s="218">
        <f t="shared" si="32"/>
        <v>2891990.1</v>
      </c>
      <c r="AF60" s="177">
        <f t="shared" si="31"/>
        <v>2.9512138953118734E-2</v>
      </c>
      <c r="AH60" s="157"/>
    </row>
    <row r="61" spans="1:34" x14ac:dyDescent="0.15">
      <c r="B61" s="166"/>
      <c r="D61" s="166"/>
      <c r="J61" s="204"/>
      <c r="K61" s="656" t="s">
        <v>1643</v>
      </c>
      <c r="L61" s="498">
        <f>J60+L60</f>
        <v>55842750.700000003</v>
      </c>
      <c r="P61" s="195" t="s">
        <v>648</v>
      </c>
      <c r="Q61" s="219" t="s">
        <v>284</v>
      </c>
      <c r="R61" s="220"/>
      <c r="S61" s="218">
        <v>525</v>
      </c>
      <c r="T61" s="218">
        <v>186184.98</v>
      </c>
      <c r="U61" s="137">
        <f>748932.09</f>
        <v>748932.09</v>
      </c>
      <c r="V61" s="137">
        <f>756066.81</f>
        <v>756066.81</v>
      </c>
      <c r="W61" s="137">
        <f>521971.81</f>
        <v>521971.81</v>
      </c>
      <c r="X61" s="137">
        <f>362610.66</f>
        <v>362610.66</v>
      </c>
      <c r="Y61" s="137"/>
      <c r="Z61" s="137"/>
      <c r="AA61" s="137"/>
      <c r="AB61" s="137"/>
      <c r="AC61" s="137"/>
      <c r="AD61" s="137"/>
      <c r="AE61" s="137">
        <f>SUM(S61:AD61)</f>
        <v>2576291.35</v>
      </c>
      <c r="AF61" s="177">
        <f t="shared" si="31"/>
        <v>2.6290500892419324E-2</v>
      </c>
      <c r="AH61" s="157"/>
    </row>
    <row r="62" spans="1:34" x14ac:dyDescent="0.15">
      <c r="J62" s="498"/>
      <c r="L62" s="204"/>
      <c r="P62" s="195" t="s">
        <v>649</v>
      </c>
      <c r="Q62" s="219" t="s">
        <v>285</v>
      </c>
      <c r="R62" s="220"/>
      <c r="S62" s="218"/>
      <c r="T62" s="218"/>
      <c r="U62" s="137"/>
      <c r="V62" s="137">
        <f>3200</f>
        <v>3200</v>
      </c>
      <c r="W62" s="137"/>
      <c r="X62" s="137"/>
      <c r="Y62" s="137"/>
      <c r="Z62" s="137"/>
      <c r="AA62" s="137"/>
      <c r="AB62" s="137"/>
      <c r="AC62" s="137"/>
      <c r="AD62" s="137"/>
      <c r="AE62" s="137">
        <f>SUM(S62:AD62)</f>
        <v>3200</v>
      </c>
      <c r="AF62" s="177">
        <f t="shared" si="31"/>
        <v>3.2655313947990324E-5</v>
      </c>
      <c r="AH62" s="157"/>
    </row>
    <row r="63" spans="1:34" x14ac:dyDescent="0.15">
      <c r="B63" s="229" t="s">
        <v>1454</v>
      </c>
      <c r="C63" s="230"/>
      <c r="D63" s="230"/>
      <c r="E63" s="231" t="s">
        <v>1453</v>
      </c>
      <c r="F63" s="231"/>
      <c r="H63" s="229"/>
      <c r="I63" s="232" t="s">
        <v>98</v>
      </c>
      <c r="L63" s="178"/>
      <c r="P63" s="221" t="s">
        <v>651</v>
      </c>
      <c r="Q63" s="216" t="s">
        <v>452</v>
      </c>
      <c r="R63" s="217"/>
      <c r="S63" s="218">
        <v>52083.12</v>
      </c>
      <c r="T63" s="218">
        <v>104166.25</v>
      </c>
      <c r="U63" s="137"/>
      <c r="V63" s="137">
        <f>104166.25</f>
        <v>104166.25</v>
      </c>
      <c r="W63" s="137"/>
      <c r="X63" s="137">
        <f>52083.13</f>
        <v>52083.13</v>
      </c>
      <c r="Y63" s="137"/>
      <c r="Z63" s="137"/>
      <c r="AA63" s="137"/>
      <c r="AB63" s="137"/>
      <c r="AC63" s="137"/>
      <c r="AD63" s="137"/>
      <c r="AE63" s="137">
        <f>SUM(S63:AD63)</f>
        <v>312498.75</v>
      </c>
      <c r="AF63" s="177">
        <f t="shared" si="31"/>
        <v>3.1889827467514193E-3</v>
      </c>
      <c r="AH63" s="157"/>
    </row>
    <row r="64" spans="1:34" x14ac:dyDescent="0.15">
      <c r="A64" s="56"/>
      <c r="B64" s="229" t="s">
        <v>99</v>
      </c>
      <c r="C64" s="230"/>
      <c r="D64" s="230"/>
      <c r="E64" s="231" t="s">
        <v>100</v>
      </c>
      <c r="F64" s="231"/>
      <c r="H64" s="229"/>
      <c r="I64" s="232" t="s">
        <v>101</v>
      </c>
      <c r="J64" s="56"/>
      <c r="K64" s="56"/>
      <c r="L64" s="204"/>
      <c r="P64" s="172" t="s">
        <v>659</v>
      </c>
      <c r="Q64" s="222"/>
      <c r="R64" s="207"/>
      <c r="S64" s="218">
        <f t="shared" ref="S64:AF64" si="33">S56+S60</f>
        <v>12744051.449999999</v>
      </c>
      <c r="T64" s="218">
        <f t="shared" si="33"/>
        <v>16032944.449999999</v>
      </c>
      <c r="U64" s="218">
        <f t="shared" si="33"/>
        <v>16911497.41</v>
      </c>
      <c r="V64" s="218">
        <f t="shared" si="33"/>
        <v>17042345.689999998</v>
      </c>
      <c r="W64" s="218">
        <f t="shared" si="33"/>
        <v>16921239.140000001</v>
      </c>
      <c r="X64" s="218">
        <f t="shared" si="33"/>
        <v>18341161.34</v>
      </c>
      <c r="Y64" s="218">
        <f t="shared" si="33"/>
        <v>0</v>
      </c>
      <c r="Z64" s="218">
        <f t="shared" si="33"/>
        <v>0</v>
      </c>
      <c r="AA64" s="218">
        <f t="shared" si="33"/>
        <v>0</v>
      </c>
      <c r="AB64" s="218">
        <f t="shared" si="33"/>
        <v>0</v>
      </c>
      <c r="AC64" s="218">
        <f t="shared" si="33"/>
        <v>0</v>
      </c>
      <c r="AD64" s="218">
        <f t="shared" si="33"/>
        <v>0</v>
      </c>
      <c r="AE64" s="218">
        <f t="shared" si="33"/>
        <v>97993239.479999989</v>
      </c>
      <c r="AF64" s="515">
        <f t="shared" si="33"/>
        <v>1</v>
      </c>
      <c r="AH64" s="157"/>
    </row>
    <row r="65" spans="1:33" x14ac:dyDescent="0.15">
      <c r="A65" s="129"/>
      <c r="B65" s="437"/>
      <c r="L65" s="178"/>
      <c r="S65" s="166">
        <f>H41-S64</f>
        <v>0</v>
      </c>
      <c r="T65" s="166">
        <f>H42-T64</f>
        <v>0</v>
      </c>
      <c r="U65" s="166">
        <f>H43-U64</f>
        <v>0</v>
      </c>
      <c r="V65" s="166">
        <f>H44-V64</f>
        <v>0</v>
      </c>
      <c r="W65" s="166">
        <f>H45-W64</f>
        <v>0</v>
      </c>
      <c r="X65" s="166">
        <f>H46-X64</f>
        <v>0</v>
      </c>
      <c r="Y65" s="166">
        <f>H47-Y64</f>
        <v>0</v>
      </c>
      <c r="Z65" s="166">
        <f>H48-Z64</f>
        <v>0</v>
      </c>
      <c r="AA65" s="166">
        <f>H49-AA64</f>
        <v>0</v>
      </c>
      <c r="AB65" s="166">
        <f>H50-AB64</f>
        <v>0</v>
      </c>
      <c r="AC65" s="437">
        <f>H51-AC64</f>
        <v>0</v>
      </c>
      <c r="AD65" s="166">
        <f>H52-AD64</f>
        <v>0</v>
      </c>
      <c r="AE65" s="166">
        <f>AE64-H53</f>
        <v>0</v>
      </c>
    </row>
    <row r="66" spans="1:33" x14ac:dyDescent="0.15">
      <c r="A66" s="129"/>
      <c r="B66" s="437"/>
      <c r="L66" s="178"/>
      <c r="R66" s="229" t="s">
        <v>1454</v>
      </c>
      <c r="S66" s="230"/>
      <c r="T66" s="230"/>
      <c r="U66" s="231" t="s">
        <v>1453</v>
      </c>
      <c r="V66" s="231"/>
      <c r="X66" s="229"/>
      <c r="Y66" s="232" t="s">
        <v>98</v>
      </c>
      <c r="Z66" s="56"/>
      <c r="AA66" s="233"/>
      <c r="AB66" s="56"/>
      <c r="AD66" s="179" t="s">
        <v>937</v>
      </c>
      <c r="AE66" s="166">
        <f>113078117.77-AE64</f>
        <v>15084878.290000007</v>
      </c>
    </row>
    <row r="67" spans="1:33" x14ac:dyDescent="0.15">
      <c r="A67" s="129"/>
      <c r="B67" s="437"/>
      <c r="D67" s="437"/>
      <c r="E67" s="437"/>
      <c r="F67" s="437"/>
      <c r="G67" s="437"/>
      <c r="H67" s="437"/>
      <c r="J67" s="437"/>
      <c r="R67" s="229" t="s">
        <v>99</v>
      </c>
      <c r="S67" s="230"/>
      <c r="T67" s="230"/>
      <c r="U67" s="231" t="s">
        <v>100</v>
      </c>
      <c r="V67" s="231"/>
      <c r="X67" s="229"/>
      <c r="Y67" s="232" t="s">
        <v>101</v>
      </c>
      <c r="AD67" s="225" t="s">
        <v>661</v>
      </c>
      <c r="AE67" s="166">
        <f>AE66+AE64</f>
        <v>113078117.77</v>
      </c>
    </row>
    <row r="68" spans="1:33" x14ac:dyDescent="0.15">
      <c r="B68" s="413"/>
      <c r="C68" s="182" t="s">
        <v>660</v>
      </c>
      <c r="D68" s="413"/>
      <c r="E68" s="413"/>
      <c r="F68" s="413"/>
      <c r="G68" s="413"/>
      <c r="H68" s="413"/>
      <c r="I68" s="413"/>
      <c r="J68" s="499">
        <v>44621599.200000003</v>
      </c>
      <c r="K68" s="413"/>
      <c r="L68" s="413"/>
      <c r="M68" s="413"/>
      <c r="N68" s="413"/>
      <c r="O68" s="413"/>
      <c r="R68" s="413"/>
      <c r="S68" s="413"/>
      <c r="T68" s="413"/>
      <c r="U68" s="413"/>
      <c r="V68" s="413"/>
      <c r="W68" s="413"/>
      <c r="X68" s="413"/>
      <c r="Y68" s="413"/>
      <c r="Z68" s="413"/>
      <c r="AA68" s="413"/>
      <c r="AB68" s="413"/>
      <c r="AC68" s="413"/>
      <c r="AD68" s="413"/>
      <c r="AE68" s="413"/>
      <c r="AF68" s="413"/>
      <c r="AG68" s="178"/>
    </row>
    <row r="69" spans="1:33" x14ac:dyDescent="0.15">
      <c r="A69" s="634" t="s">
        <v>1623</v>
      </c>
      <c r="B69" s="634" t="s">
        <v>662</v>
      </c>
      <c r="C69" s="634" t="s">
        <v>663</v>
      </c>
      <c r="D69" s="634" t="s">
        <v>576</v>
      </c>
      <c r="E69" s="634" t="s">
        <v>577</v>
      </c>
      <c r="F69" s="634" t="s">
        <v>578</v>
      </c>
      <c r="G69" s="634" t="s">
        <v>579</v>
      </c>
      <c r="H69" s="634" t="s">
        <v>580</v>
      </c>
      <c r="I69" s="192"/>
      <c r="J69" s="634" t="s">
        <v>581</v>
      </c>
      <c r="K69" s="634" t="s">
        <v>582</v>
      </c>
      <c r="L69" s="634" t="s">
        <v>583</v>
      </c>
      <c r="M69" s="634" t="s">
        <v>584</v>
      </c>
      <c r="N69" s="634" t="s">
        <v>585</v>
      </c>
      <c r="O69" s="634" t="s">
        <v>586</v>
      </c>
      <c r="R69" s="413"/>
      <c r="S69" s="413"/>
      <c r="T69" s="413"/>
      <c r="U69" s="413"/>
      <c r="V69" s="413"/>
      <c r="W69" s="413"/>
      <c r="X69" s="413"/>
      <c r="Y69" s="413"/>
      <c r="Z69" s="413"/>
      <c r="AA69" s="413"/>
      <c r="AB69" s="413"/>
      <c r="AC69" s="413"/>
      <c r="AD69" s="499"/>
      <c r="AE69" s="499"/>
      <c r="AF69" s="413"/>
      <c r="AG69" s="178"/>
    </row>
    <row r="70" spans="1:33" x14ac:dyDescent="0.15">
      <c r="A70" s="235">
        <v>1022.7</v>
      </c>
      <c r="B70" s="235">
        <v>1022.7</v>
      </c>
      <c r="C70" s="635">
        <v>2006</v>
      </c>
      <c r="D70" s="235">
        <v>1022.7</v>
      </c>
      <c r="E70" s="235">
        <v>1022.7</v>
      </c>
      <c r="F70" s="235">
        <v>1022.7</v>
      </c>
      <c r="G70" s="235">
        <v>1022.7</v>
      </c>
      <c r="H70" s="235">
        <v>1022.7</v>
      </c>
      <c r="I70" s="192"/>
      <c r="J70" s="235"/>
      <c r="K70" s="235"/>
      <c r="L70" s="235"/>
      <c r="M70" s="235"/>
      <c r="N70" s="235"/>
      <c r="O70" s="235"/>
      <c r="R70" s="413"/>
      <c r="S70" s="413"/>
      <c r="T70" s="413"/>
      <c r="U70" s="413"/>
      <c r="V70" s="413"/>
      <c r="W70" s="413"/>
      <c r="X70" s="413"/>
      <c r="Y70" s="413"/>
      <c r="Z70" s="413"/>
      <c r="AA70" s="413"/>
      <c r="AB70" s="413"/>
      <c r="AC70" s="413"/>
      <c r="AD70" s="413"/>
      <c r="AE70" s="499"/>
      <c r="AF70" s="413"/>
      <c r="AG70" s="178"/>
    </row>
    <row r="71" spans="1:33" x14ac:dyDescent="0.15">
      <c r="A71" s="192">
        <v>776.55</v>
      </c>
      <c r="B71" s="192">
        <v>776.55</v>
      </c>
      <c r="C71" s="635">
        <v>2007</v>
      </c>
      <c r="D71" s="192">
        <v>776.55</v>
      </c>
      <c r="E71" s="192">
        <v>776.55</v>
      </c>
      <c r="F71" s="192">
        <v>776.55</v>
      </c>
      <c r="G71" s="192">
        <v>776.55</v>
      </c>
      <c r="H71" s="192">
        <v>776.55</v>
      </c>
      <c r="I71" s="192"/>
      <c r="J71" s="192"/>
      <c r="K71" s="192"/>
      <c r="L71" s="235"/>
      <c r="M71" s="192"/>
      <c r="N71" s="192"/>
      <c r="O71" s="192"/>
      <c r="R71" s="229"/>
      <c r="S71" s="230"/>
      <c r="T71" s="234"/>
      <c r="U71" s="231"/>
      <c r="V71" s="231"/>
      <c r="X71" s="229"/>
      <c r="Y71" s="232"/>
      <c r="AE71" s="166"/>
      <c r="AG71" s="204"/>
    </row>
    <row r="72" spans="1:33" x14ac:dyDescent="0.15">
      <c r="A72" s="235">
        <v>2006.84</v>
      </c>
      <c r="B72" s="235">
        <v>2006.84</v>
      </c>
      <c r="C72" s="635">
        <v>2008</v>
      </c>
      <c r="D72" s="235">
        <v>2006.84</v>
      </c>
      <c r="E72" s="235">
        <v>2006.84</v>
      </c>
      <c r="F72" s="235">
        <v>2006.84</v>
      </c>
      <c r="G72" s="235">
        <v>2006.84</v>
      </c>
      <c r="H72" s="235">
        <v>2006.84</v>
      </c>
      <c r="I72" s="192"/>
      <c r="J72" s="235"/>
      <c r="K72" s="235"/>
      <c r="L72" s="235"/>
      <c r="M72" s="235"/>
      <c r="N72" s="235"/>
      <c r="O72" s="235"/>
      <c r="S72" s="180"/>
      <c r="U72" s="236"/>
      <c r="V72" s="236"/>
      <c r="W72" s="236"/>
      <c r="X72" s="237" t="s">
        <v>664</v>
      </c>
      <c r="Y72" s="180"/>
      <c r="Z72" s="180"/>
      <c r="AA72" s="236"/>
      <c r="AB72" s="180"/>
      <c r="AC72" s="180"/>
      <c r="AD72" s="180"/>
      <c r="AE72" s="236"/>
      <c r="AG72" s="204"/>
    </row>
    <row r="73" spans="1:33" ht="9.4" customHeight="1" x14ac:dyDescent="0.15">
      <c r="A73" s="235">
        <v>2183</v>
      </c>
      <c r="B73" s="235">
        <v>2183</v>
      </c>
      <c r="C73" s="635">
        <v>2009</v>
      </c>
      <c r="D73" s="235">
        <v>2183</v>
      </c>
      <c r="E73" s="235">
        <v>2183</v>
      </c>
      <c r="F73" s="235">
        <v>2183</v>
      </c>
      <c r="G73" s="235">
        <v>2183</v>
      </c>
      <c r="H73" s="235">
        <v>2183</v>
      </c>
      <c r="I73" s="192"/>
      <c r="J73" s="235"/>
      <c r="K73" s="235"/>
      <c r="L73" s="235"/>
      <c r="M73" s="235"/>
      <c r="N73" s="235"/>
      <c r="O73" s="235"/>
      <c r="R73" s="225" t="s">
        <v>665</v>
      </c>
      <c r="S73" s="421" t="s">
        <v>575</v>
      </c>
      <c r="T73" s="421" t="s">
        <v>576</v>
      </c>
      <c r="U73" s="421" t="s">
        <v>577</v>
      </c>
      <c r="V73" s="421" t="s">
        <v>578</v>
      </c>
      <c r="W73" s="421" t="s">
        <v>579</v>
      </c>
      <c r="X73" s="421" t="s">
        <v>580</v>
      </c>
      <c r="Y73" s="421" t="s">
        <v>581</v>
      </c>
      <c r="Z73" s="421" t="s">
        <v>582</v>
      </c>
      <c r="AA73" s="421" t="s">
        <v>583</v>
      </c>
      <c r="AB73" s="421" t="s">
        <v>584</v>
      </c>
      <c r="AC73" s="421" t="s">
        <v>585</v>
      </c>
      <c r="AD73" s="421" t="s">
        <v>586</v>
      </c>
      <c r="AE73" s="210" t="s">
        <v>484</v>
      </c>
    </row>
    <row r="74" spans="1:33" x14ac:dyDescent="0.15">
      <c r="A74" s="235">
        <v>6288.69</v>
      </c>
      <c r="B74" s="235">
        <v>6288.69</v>
      </c>
      <c r="C74" s="635">
        <v>2010</v>
      </c>
      <c r="D74" s="235">
        <v>6288.69</v>
      </c>
      <c r="E74" s="235">
        <v>6288.69</v>
      </c>
      <c r="F74" s="235">
        <v>6288.69</v>
      </c>
      <c r="G74" s="235">
        <v>6288.69</v>
      </c>
      <c r="H74" s="235">
        <v>6288.69</v>
      </c>
      <c r="I74" s="192"/>
      <c r="J74" s="235"/>
      <c r="K74" s="235"/>
      <c r="L74" s="235"/>
      <c r="M74" s="235"/>
      <c r="N74" s="235"/>
      <c r="O74" s="235"/>
      <c r="R74" s="225" t="s">
        <v>666</v>
      </c>
      <c r="S74" s="173">
        <f>S56</f>
        <v>12691443.33</v>
      </c>
      <c r="T74" s="173">
        <f t="shared" ref="T74:AD74" si="34">T56</f>
        <v>15742593.219999999</v>
      </c>
      <c r="U74" s="173">
        <f t="shared" si="34"/>
        <v>16162565.32</v>
      </c>
      <c r="V74" s="173">
        <f t="shared" si="34"/>
        <v>16178912.629999999</v>
      </c>
      <c r="W74" s="173">
        <f t="shared" si="34"/>
        <v>16399267.330000002</v>
      </c>
      <c r="X74" s="173">
        <f t="shared" si="34"/>
        <v>17926467.550000001</v>
      </c>
      <c r="Y74" s="173">
        <f t="shared" si="34"/>
        <v>0</v>
      </c>
      <c r="Z74" s="173">
        <f t="shared" si="34"/>
        <v>0</v>
      </c>
      <c r="AA74" s="173">
        <f t="shared" si="34"/>
        <v>0</v>
      </c>
      <c r="AB74" s="173">
        <f t="shared" si="34"/>
        <v>0</v>
      </c>
      <c r="AC74" s="173">
        <f t="shared" si="34"/>
        <v>0</v>
      </c>
      <c r="AD74" s="173">
        <f t="shared" si="34"/>
        <v>0</v>
      </c>
      <c r="AE74" s="173">
        <f>SUM(S74:AD74)</f>
        <v>95101249.379999995</v>
      </c>
    </row>
    <row r="75" spans="1:33" x14ac:dyDescent="0.15">
      <c r="A75" s="235">
        <v>13860.18</v>
      </c>
      <c r="B75" s="235">
        <v>13860.18</v>
      </c>
      <c r="C75" s="635">
        <v>2011</v>
      </c>
      <c r="D75" s="235">
        <v>13860.18</v>
      </c>
      <c r="E75" s="235">
        <v>13860.18</v>
      </c>
      <c r="F75" s="235">
        <v>13860.18</v>
      </c>
      <c r="G75" s="235">
        <v>13860.18</v>
      </c>
      <c r="H75" s="235">
        <v>13860.18</v>
      </c>
      <c r="I75" s="192"/>
      <c r="J75" s="235"/>
      <c r="K75" s="235"/>
      <c r="L75" s="235"/>
      <c r="M75" s="235"/>
      <c r="N75" s="235"/>
      <c r="O75" s="235"/>
      <c r="R75" s="225" t="s">
        <v>667</v>
      </c>
      <c r="S75" s="238">
        <f>RCL!N4</f>
        <v>13392188.359999999</v>
      </c>
      <c r="T75" s="238">
        <f>RCL!M4</f>
        <v>13231557.350000001</v>
      </c>
      <c r="U75" s="238">
        <f>RCL!L4</f>
        <v>15025272.9</v>
      </c>
      <c r="V75" s="238">
        <f>RCL!K4</f>
        <v>13047855.34</v>
      </c>
      <c r="W75" s="174">
        <f>RCL!J4</f>
        <v>19207974.18</v>
      </c>
      <c r="X75" s="174">
        <f>RCL!I4</f>
        <v>16149725.890000001</v>
      </c>
      <c r="Y75" s="174">
        <f>RCL!H4</f>
        <v>14461756.689999999</v>
      </c>
      <c r="Z75" s="174">
        <f>RCL!G4</f>
        <v>12846807.84</v>
      </c>
      <c r="AA75" s="174">
        <f>RCL!F4</f>
        <v>14797259.33</v>
      </c>
      <c r="AB75" s="174">
        <f>RCL!E4</f>
        <v>16280992.049999999</v>
      </c>
      <c r="AC75" s="174">
        <f>RCL!D4</f>
        <v>15319791.859999999</v>
      </c>
      <c r="AD75" s="174">
        <f>RCL!F4</f>
        <v>14797259.33</v>
      </c>
      <c r="AE75" s="173">
        <f>SUM(S75:AD75)</f>
        <v>178558441.12000003</v>
      </c>
    </row>
    <row r="76" spans="1:33" x14ac:dyDescent="0.15">
      <c r="A76" s="235">
        <v>26270.19</v>
      </c>
      <c r="B76" s="235">
        <v>26270.19</v>
      </c>
      <c r="C76" s="635">
        <v>2012</v>
      </c>
      <c r="D76" s="235">
        <v>26270.19</v>
      </c>
      <c r="E76" s="235">
        <v>26270.19</v>
      </c>
      <c r="F76" s="235">
        <v>26270.19</v>
      </c>
      <c r="G76" s="235">
        <v>26270.19</v>
      </c>
      <c r="H76" s="235">
        <v>26270.19</v>
      </c>
      <c r="I76" s="192"/>
      <c r="J76" s="235"/>
      <c r="K76" s="235"/>
      <c r="L76" s="235"/>
      <c r="M76" s="235"/>
      <c r="N76" s="235"/>
      <c r="O76" s="235"/>
      <c r="R76" s="225" t="s">
        <v>668</v>
      </c>
      <c r="S76" s="177">
        <f t="shared" ref="S76:AE76" si="35">S74/S75</f>
        <v>0.94767509154120055</v>
      </c>
      <c r="T76" s="177">
        <f t="shared" si="35"/>
        <v>1.1897762903926044</v>
      </c>
      <c r="U76" s="177">
        <f t="shared" si="35"/>
        <v>1.07569196430369</v>
      </c>
      <c r="V76" s="177">
        <f t="shared" si="35"/>
        <v>1.239967198318126</v>
      </c>
      <c r="W76" s="177">
        <f t="shared" si="35"/>
        <v>0.85377391578730255</v>
      </c>
      <c r="X76" s="177">
        <f t="shared" si="35"/>
        <v>1.1100168307562526</v>
      </c>
      <c r="Y76" s="177">
        <f t="shared" si="35"/>
        <v>0</v>
      </c>
      <c r="Z76" s="177">
        <f t="shared" si="35"/>
        <v>0</v>
      </c>
      <c r="AA76" s="177">
        <f t="shared" si="35"/>
        <v>0</v>
      </c>
      <c r="AB76" s="177">
        <f t="shared" si="35"/>
        <v>0</v>
      </c>
      <c r="AC76" s="177">
        <f t="shared" si="35"/>
        <v>0</v>
      </c>
      <c r="AD76" s="177">
        <f t="shared" si="35"/>
        <v>0</v>
      </c>
      <c r="AE76" s="177">
        <f t="shared" si="35"/>
        <v>0.53260573279807755</v>
      </c>
      <c r="AF76" s="204"/>
    </row>
    <row r="77" spans="1:33" x14ac:dyDescent="0.15">
      <c r="A77" s="235">
        <v>1837.44</v>
      </c>
      <c r="B77" s="235">
        <v>1837.44</v>
      </c>
      <c r="C77" s="635">
        <v>2013</v>
      </c>
      <c r="D77" s="235">
        <v>1837.44</v>
      </c>
      <c r="E77" s="235">
        <v>1837.44</v>
      </c>
      <c r="F77" s="235">
        <v>1837.44</v>
      </c>
      <c r="G77" s="235">
        <v>1837.44</v>
      </c>
      <c r="H77" s="235">
        <v>1837.44</v>
      </c>
      <c r="I77" s="192"/>
      <c r="J77" s="235"/>
      <c r="K77" s="235"/>
      <c r="L77" s="235"/>
      <c r="M77" s="235"/>
      <c r="N77" s="235"/>
      <c r="O77" s="235"/>
      <c r="S77" s="437"/>
      <c r="T77" s="437"/>
      <c r="U77" s="437"/>
      <c r="V77" s="437"/>
      <c r="W77" s="437"/>
      <c r="X77" s="437"/>
      <c r="Y77" s="437"/>
      <c r="Z77" s="437"/>
      <c r="AA77" s="437"/>
      <c r="AB77" s="437"/>
      <c r="AC77" s="437"/>
    </row>
    <row r="78" spans="1:33" x14ac:dyDescent="0.15">
      <c r="A78" s="235">
        <v>5278.94</v>
      </c>
      <c r="B78" s="235">
        <v>5278.94</v>
      </c>
      <c r="C78" s="635">
        <v>2014</v>
      </c>
      <c r="D78" s="235">
        <v>5278.94</v>
      </c>
      <c r="E78" s="235">
        <v>5278.94</v>
      </c>
      <c r="F78" s="235">
        <v>5278.94</v>
      </c>
      <c r="G78" s="235">
        <v>5278.94</v>
      </c>
      <c r="H78" s="235">
        <v>5278.94</v>
      </c>
      <c r="I78" s="192"/>
      <c r="J78" s="235"/>
      <c r="K78" s="235"/>
      <c r="L78" s="235"/>
      <c r="M78" s="235"/>
      <c r="N78" s="235"/>
      <c r="O78" s="235"/>
      <c r="T78" s="182" t="s">
        <v>669</v>
      </c>
    </row>
    <row r="79" spans="1:33" x14ac:dyDescent="0.15">
      <c r="A79" s="235">
        <v>2129488.73</v>
      </c>
      <c r="B79" s="235">
        <v>2116834.65</v>
      </c>
      <c r="C79" s="635">
        <v>2015</v>
      </c>
      <c r="D79" s="235">
        <v>2104180.5699999998</v>
      </c>
      <c r="E79" s="235">
        <v>2104180.5699999998</v>
      </c>
      <c r="F79" s="235">
        <v>2066218.33</v>
      </c>
      <c r="G79" s="235">
        <v>2066218.33</v>
      </c>
      <c r="H79" s="235">
        <v>2053564.25</v>
      </c>
      <c r="I79" s="192"/>
      <c r="J79" s="235"/>
      <c r="K79" s="235"/>
      <c r="L79" s="235"/>
      <c r="M79" s="235"/>
      <c r="N79" s="235"/>
      <c r="O79" s="235"/>
    </row>
    <row r="80" spans="1:33" x14ac:dyDescent="0.15">
      <c r="A80" s="235">
        <v>1368228.66</v>
      </c>
      <c r="B80" s="235">
        <v>1353951</v>
      </c>
      <c r="C80" s="635">
        <v>2016</v>
      </c>
      <c r="D80" s="235">
        <v>1339673.3400000001</v>
      </c>
      <c r="E80" s="235">
        <v>1339673.3400000001</v>
      </c>
      <c r="F80" s="235">
        <v>1296840.3600000001</v>
      </c>
      <c r="G80" s="235">
        <v>1296840.3600000001</v>
      </c>
      <c r="H80" s="235">
        <v>1282562.7</v>
      </c>
      <c r="I80" s="192"/>
      <c r="J80" s="235"/>
      <c r="K80" s="235"/>
      <c r="L80" s="235"/>
      <c r="M80" s="235"/>
      <c r="N80" s="235"/>
      <c r="O80" s="235"/>
      <c r="T80" s="182" t="s">
        <v>670</v>
      </c>
    </row>
    <row r="81" spans="1:33" x14ac:dyDescent="0.15">
      <c r="A81" s="235">
        <v>143620.51999999999</v>
      </c>
      <c r="B81" s="235">
        <v>143620.51999999999</v>
      </c>
      <c r="C81" s="635">
        <v>2017</v>
      </c>
      <c r="D81" s="235">
        <v>143620.51999999999</v>
      </c>
      <c r="E81" s="235">
        <v>42076.36</v>
      </c>
      <c r="F81" s="235">
        <v>42076.36</v>
      </c>
      <c r="G81" s="235">
        <v>42076.36</v>
      </c>
      <c r="H81" s="235">
        <v>42076.36</v>
      </c>
      <c r="I81" s="192"/>
      <c r="J81" s="235"/>
      <c r="K81" s="235"/>
      <c r="L81" s="235"/>
      <c r="M81" s="235"/>
      <c r="N81" s="235"/>
      <c r="O81" s="235"/>
      <c r="Q81" s="421" t="s">
        <v>593</v>
      </c>
      <c r="R81" s="421" t="s">
        <v>671</v>
      </c>
      <c r="S81" s="421" t="str">
        <f t="shared" ref="S81:AE81" si="36">S3</f>
        <v>JANEIRO</v>
      </c>
      <c r="T81" s="421" t="str">
        <f t="shared" si="36"/>
        <v>FEVEREIRO</v>
      </c>
      <c r="U81" s="421" t="str">
        <f t="shared" si="36"/>
        <v>MARÇO</v>
      </c>
      <c r="V81" s="421" t="str">
        <f t="shared" si="36"/>
        <v>ABRIL</v>
      </c>
      <c r="W81" s="421" t="str">
        <f t="shared" si="36"/>
        <v>MAIO</v>
      </c>
      <c r="X81" s="421" t="str">
        <f t="shared" si="36"/>
        <v>JUNHO</v>
      </c>
      <c r="Y81" s="421" t="str">
        <f t="shared" si="36"/>
        <v>JULHO</v>
      </c>
      <c r="Z81" s="421" t="str">
        <f t="shared" si="36"/>
        <v>AGOSTO</v>
      </c>
      <c r="AA81" s="421" t="str">
        <f t="shared" si="36"/>
        <v>SETEMBRO</v>
      </c>
      <c r="AB81" s="421" t="str">
        <f t="shared" si="36"/>
        <v>OUTUBRO</v>
      </c>
      <c r="AC81" s="421" t="str">
        <f t="shared" si="36"/>
        <v>NOVEMBRO</v>
      </c>
      <c r="AD81" s="421" t="str">
        <f t="shared" si="36"/>
        <v>DEZEMBRO</v>
      </c>
      <c r="AE81" s="421" t="str">
        <f t="shared" si="36"/>
        <v>TOTAL</v>
      </c>
    </row>
    <row r="82" spans="1:33" x14ac:dyDescent="0.15">
      <c r="A82" s="235">
        <v>20100.47</v>
      </c>
      <c r="B82" s="235">
        <v>20100.47</v>
      </c>
      <c r="C82" s="635">
        <v>2018</v>
      </c>
      <c r="D82" s="235">
        <v>20100.47</v>
      </c>
      <c r="E82" s="235">
        <v>20100.47</v>
      </c>
      <c r="F82" s="235">
        <v>20100.47</v>
      </c>
      <c r="G82" s="235">
        <v>20100.47</v>
      </c>
      <c r="H82" s="235">
        <v>20100.47</v>
      </c>
      <c r="I82" s="192"/>
      <c r="J82" s="235"/>
      <c r="K82" s="235"/>
      <c r="L82" s="235"/>
      <c r="M82" s="235"/>
      <c r="N82" s="235"/>
      <c r="O82" s="235"/>
      <c r="Q82" s="422" t="s">
        <v>672</v>
      </c>
      <c r="R82" s="421" t="s">
        <v>58</v>
      </c>
      <c r="S82" s="210">
        <f t="shared" ref="S82:AE82" si="37">S20</f>
        <v>17023800.307404868</v>
      </c>
      <c r="T82" s="210">
        <f t="shared" si="37"/>
        <v>17908200.606792063</v>
      </c>
      <c r="U82" s="210">
        <f t="shared" si="37"/>
        <v>19408932.269503661</v>
      </c>
      <c r="V82" s="210">
        <f t="shared" si="37"/>
        <v>20631603.690022945</v>
      </c>
      <c r="W82" s="210">
        <f t="shared" si="37"/>
        <v>20310781.381694693</v>
      </c>
      <c r="X82" s="210">
        <f t="shared" si="37"/>
        <v>18159181.400256921</v>
      </c>
      <c r="Y82" s="210">
        <f t="shared" si="37"/>
        <v>20265170.058246572</v>
      </c>
      <c r="Z82" s="210">
        <f t="shared" si="37"/>
        <v>19438215.594733074</v>
      </c>
      <c r="AA82" s="210">
        <f t="shared" si="37"/>
        <v>18291644.494183101</v>
      </c>
      <c r="AB82" s="210">
        <f t="shared" si="37"/>
        <v>19241507.82307633</v>
      </c>
      <c r="AC82" s="210">
        <f t="shared" si="37"/>
        <v>20444884.975883853</v>
      </c>
      <c r="AD82" s="210">
        <f t="shared" si="37"/>
        <v>27710044.868201904</v>
      </c>
      <c r="AE82" s="210">
        <f t="shared" si="37"/>
        <v>238833967.46999994</v>
      </c>
      <c r="AG82" s="157"/>
    </row>
    <row r="83" spans="1:33" x14ac:dyDescent="0.15">
      <c r="A83" s="235">
        <v>37522.42</v>
      </c>
      <c r="B83" s="235">
        <v>37522.42</v>
      </c>
      <c r="C83" s="635">
        <v>2019</v>
      </c>
      <c r="D83" s="235">
        <v>37522.42</v>
      </c>
      <c r="E83" s="235">
        <v>37522.42</v>
      </c>
      <c r="F83" s="235">
        <v>37522.42</v>
      </c>
      <c r="G83" s="235">
        <v>37522.42</v>
      </c>
      <c r="H83" s="235">
        <v>37522.42</v>
      </c>
      <c r="I83" s="192"/>
      <c r="J83" s="235"/>
      <c r="K83" s="235"/>
      <c r="L83" s="235"/>
      <c r="M83" s="235"/>
      <c r="N83" s="235"/>
      <c r="O83" s="235"/>
    </row>
    <row r="84" spans="1:33" x14ac:dyDescent="0.15">
      <c r="A84" s="235">
        <v>1993779.56</v>
      </c>
      <c r="B84" s="235">
        <v>1898529.47</v>
      </c>
      <c r="C84" s="635">
        <v>2020</v>
      </c>
      <c r="D84" s="235">
        <v>1803279.38</v>
      </c>
      <c r="E84" s="235">
        <v>1708029.29</v>
      </c>
      <c r="F84" s="235">
        <v>1803279.38</v>
      </c>
      <c r="G84" s="235">
        <v>1001397.02</v>
      </c>
      <c r="H84" s="235">
        <v>847626.54</v>
      </c>
      <c r="I84" s="192"/>
      <c r="J84" s="235"/>
      <c r="K84" s="235"/>
      <c r="L84" s="235"/>
      <c r="M84" s="235"/>
      <c r="N84" s="235"/>
      <c r="O84" s="235"/>
      <c r="Q84" s="422">
        <f t="shared" ref="Q84:AE84" si="38">Q13</f>
        <v>10</v>
      </c>
      <c r="R84" s="422" t="str">
        <f t="shared" si="38"/>
        <v>SMS</v>
      </c>
      <c r="S84" s="210">
        <f t="shared" si="38"/>
        <v>2980869.2924406836</v>
      </c>
      <c r="T84" s="210">
        <f t="shared" si="38"/>
        <v>3140693.4992727749</v>
      </c>
      <c r="U84" s="210">
        <f t="shared" si="38"/>
        <v>3411897.8937385883</v>
      </c>
      <c r="V84" s="210">
        <f t="shared" si="38"/>
        <v>3632852.6923022754</v>
      </c>
      <c r="W84" s="210">
        <f t="shared" si="38"/>
        <v>3574875.3589633643</v>
      </c>
      <c r="X84" s="210">
        <f t="shared" si="38"/>
        <v>3186049.4385159039</v>
      </c>
      <c r="Y84" s="210">
        <f t="shared" si="38"/>
        <v>3566632.7186140693</v>
      </c>
      <c r="Z84" s="210">
        <f t="shared" si="38"/>
        <v>3417189.8234580159</v>
      </c>
      <c r="AA84" s="210">
        <f t="shared" si="38"/>
        <v>3209987.4775870638</v>
      </c>
      <c r="AB84" s="210">
        <f t="shared" si="38"/>
        <v>3381641.8214904321</v>
      </c>
      <c r="AC84" s="210">
        <f t="shared" si="38"/>
        <v>3599109.8606810444</v>
      </c>
      <c r="AD84" s="210">
        <f t="shared" si="38"/>
        <v>4912031.6429357827</v>
      </c>
      <c r="AE84" s="210">
        <f t="shared" si="38"/>
        <v>42013831.519999996</v>
      </c>
    </row>
    <row r="85" spans="1:33" x14ac:dyDescent="0.15">
      <c r="A85" s="235">
        <v>217206.55</v>
      </c>
      <c r="B85" s="235">
        <v>217206.55</v>
      </c>
      <c r="C85" s="635">
        <v>2021</v>
      </c>
      <c r="D85" s="235">
        <v>215311.65</v>
      </c>
      <c r="E85" s="235">
        <v>215311.65</v>
      </c>
      <c r="F85" s="235">
        <v>215311.65</v>
      </c>
      <c r="G85" s="235">
        <v>215311.65</v>
      </c>
      <c r="H85" s="235">
        <v>215311.65</v>
      </c>
      <c r="I85" s="192"/>
      <c r="J85" s="235"/>
      <c r="K85" s="235"/>
      <c r="L85" s="235"/>
      <c r="M85" s="235"/>
      <c r="N85" s="235"/>
      <c r="O85" s="235"/>
      <c r="Q85" s="192"/>
      <c r="R85" s="192" t="s">
        <v>673</v>
      </c>
      <c r="S85" s="210">
        <f t="shared" ref="S85:AE85" si="39">(S84/S82)*100</f>
        <v>17.510010917739034</v>
      </c>
      <c r="T85" s="210">
        <f t="shared" si="39"/>
        <v>17.537739096364604</v>
      </c>
      <c r="U85" s="210">
        <f t="shared" si="39"/>
        <v>17.579008707756387</v>
      </c>
      <c r="V85" s="210">
        <f t="shared" si="39"/>
        <v>17.608193463211268</v>
      </c>
      <c r="W85" s="210">
        <f t="shared" si="39"/>
        <v>17.600875573331013</v>
      </c>
      <c r="X85" s="210">
        <f t="shared" si="39"/>
        <v>17.545115984527953</v>
      </c>
      <c r="Y85" s="210">
        <f t="shared" si="39"/>
        <v>17.599816376387565</v>
      </c>
      <c r="Z85" s="210">
        <f t="shared" si="39"/>
        <v>17.579750604185747</v>
      </c>
      <c r="AA85" s="210">
        <f t="shared" si="39"/>
        <v>17.548927755554551</v>
      </c>
      <c r="AB85" s="210">
        <f t="shared" si="39"/>
        <v>17.57472362656959</v>
      </c>
      <c r="AC85" s="210">
        <f t="shared" si="39"/>
        <v>17.603962384363825</v>
      </c>
      <c r="AD85" s="210">
        <f t="shared" si="39"/>
        <v>17.726538034489018</v>
      </c>
      <c r="AE85" s="210">
        <f t="shared" si="39"/>
        <v>17.591229574694971</v>
      </c>
    </row>
    <row r="86" spans="1:33" ht="8.4499999999999993" customHeight="1" x14ac:dyDescent="0.15">
      <c r="A86" s="235">
        <v>3757551.7</v>
      </c>
      <c r="B86" s="235">
        <v>3547985.47</v>
      </c>
      <c r="C86" s="635">
        <v>2022</v>
      </c>
      <c r="D86" s="235">
        <v>3533200.47</v>
      </c>
      <c r="E86" s="235">
        <v>3533200.47</v>
      </c>
      <c r="F86" s="235">
        <v>3533200.47</v>
      </c>
      <c r="G86" s="235">
        <v>2844301.01</v>
      </c>
      <c r="H86" s="235">
        <v>2844301.01</v>
      </c>
      <c r="I86" s="192"/>
      <c r="J86" s="235"/>
      <c r="K86" s="235"/>
      <c r="L86" s="235"/>
      <c r="M86" s="235"/>
      <c r="N86" s="235"/>
      <c r="O86" s="235"/>
      <c r="U86" s="204"/>
      <c r="V86" s="204"/>
      <c r="W86" s="204"/>
      <c r="X86" s="157"/>
      <c r="Y86" s="204"/>
      <c r="Z86" s="157"/>
      <c r="AA86" s="182"/>
    </row>
    <row r="87" spans="1:33" x14ac:dyDescent="0.15">
      <c r="A87" s="235">
        <v>23351225.379999999</v>
      </c>
      <c r="B87" s="235">
        <v>23218984.210000001</v>
      </c>
      <c r="C87" s="635">
        <v>2023</v>
      </c>
      <c r="D87" s="235">
        <v>23255741.57</v>
      </c>
      <c r="E87" s="235">
        <v>23255741.57</v>
      </c>
      <c r="F87" s="235">
        <v>23217504.210000001</v>
      </c>
      <c r="G87" s="235">
        <v>23217504.210000001</v>
      </c>
      <c r="H87" s="235">
        <v>23217504.210000001</v>
      </c>
      <c r="I87" s="192"/>
      <c r="J87" s="235"/>
      <c r="K87" s="235"/>
      <c r="L87" s="235"/>
      <c r="M87" s="235"/>
      <c r="N87" s="235"/>
      <c r="O87" s="235"/>
      <c r="R87" s="421" t="s">
        <v>674</v>
      </c>
      <c r="S87" s="192" t="s">
        <v>675</v>
      </c>
      <c r="T87" s="192" t="s">
        <v>676</v>
      </c>
      <c r="U87" s="192" t="s">
        <v>677</v>
      </c>
      <c r="V87" s="421" t="s">
        <v>678</v>
      </c>
      <c r="W87" s="421" t="s">
        <v>679</v>
      </c>
      <c r="X87" s="421" t="s">
        <v>680</v>
      </c>
      <c r="Y87" s="421" t="s">
        <v>681</v>
      </c>
      <c r="Z87" s="192" t="s">
        <v>682</v>
      </c>
      <c r="AA87" s="421" t="s">
        <v>683</v>
      </c>
    </row>
    <row r="88" spans="1:33" x14ac:dyDescent="0.15">
      <c r="A88" s="456">
        <f>22711113.44+53388.74</f>
        <v>22764502.18</v>
      </c>
      <c r="B88" s="235">
        <v>17261751.34</v>
      </c>
      <c r="C88" s="635">
        <v>2024</v>
      </c>
      <c r="D88" s="235">
        <v>15704816.68</v>
      </c>
      <c r="E88" s="235">
        <v>15381993.92</v>
      </c>
      <c r="F88" s="235">
        <v>14942445.74</v>
      </c>
      <c r="G88" s="235">
        <v>14208602.699999999</v>
      </c>
      <c r="H88" s="235">
        <v>14001505.060000001</v>
      </c>
      <c r="I88" s="192"/>
      <c r="J88" s="235"/>
      <c r="K88" s="235"/>
      <c r="L88" s="235"/>
      <c r="M88" s="192"/>
      <c r="N88" s="235"/>
      <c r="O88" s="235"/>
      <c r="R88" s="421" t="s">
        <v>684</v>
      </c>
      <c r="S88" s="137">
        <f>Cruz!I27</f>
        <v>250047181.18000004</v>
      </c>
      <c r="T88" s="173">
        <f>S88-U88</f>
        <v>136969063.41000003</v>
      </c>
      <c r="U88" s="137">
        <f>AE67</f>
        <v>113078117.77</v>
      </c>
      <c r="V88" s="137">
        <f>AE64</f>
        <v>97993239.479999989</v>
      </c>
      <c r="W88" s="137">
        <f>U88-V88</f>
        <v>15084878.290000007</v>
      </c>
      <c r="X88" s="137">
        <v>89091323.640000001</v>
      </c>
      <c r="Y88" s="173">
        <f>V88-X88</f>
        <v>8901915.8399999887</v>
      </c>
      <c r="Z88" s="173">
        <f>W88+Y88</f>
        <v>23986794.129999995</v>
      </c>
      <c r="AA88" s="239">
        <f>Z88-W88</f>
        <v>8901915.8399999887</v>
      </c>
    </row>
    <row r="89" spans="1:33" ht="10.35" customHeight="1" x14ac:dyDescent="0.25">
      <c r="A89" s="240">
        <f>SUM(A70:A88)</f>
        <v>55842750.700000003</v>
      </c>
      <c r="B89" s="240">
        <f>SUM(B70:B88)</f>
        <v>49876010.629999995</v>
      </c>
      <c r="C89" s="637">
        <f>49876010.63-B89</f>
        <v>0</v>
      </c>
      <c r="D89" s="456">
        <f>SUM(D70:D88)</f>
        <v>48216971.600000001</v>
      </c>
      <c r="E89" s="661">
        <f t="shared" ref="E89:O89" si="40">SUM(E70:E88)</f>
        <v>47697354.590000004</v>
      </c>
      <c r="F89" s="456">
        <f t="shared" si="40"/>
        <v>47234023.920000002</v>
      </c>
      <c r="G89" s="456">
        <f t="shared" si="40"/>
        <v>45009399.060000002</v>
      </c>
      <c r="H89" s="456">
        <f t="shared" si="40"/>
        <v>44621599.200000003</v>
      </c>
      <c r="I89" s="637">
        <f t="shared" si="40"/>
        <v>0</v>
      </c>
      <c r="J89" s="637">
        <f t="shared" si="40"/>
        <v>0</v>
      </c>
      <c r="K89" s="637">
        <f t="shared" si="40"/>
        <v>0</v>
      </c>
      <c r="L89" s="637">
        <f t="shared" si="40"/>
        <v>0</v>
      </c>
      <c r="M89" s="637">
        <f t="shared" si="40"/>
        <v>0</v>
      </c>
      <c r="N89" s="637">
        <f t="shared" si="40"/>
        <v>0</v>
      </c>
      <c r="O89" s="637">
        <f t="shared" si="40"/>
        <v>0</v>
      </c>
      <c r="T89" s="182" t="s">
        <v>685</v>
      </c>
    </row>
    <row r="90" spans="1:33" x14ac:dyDescent="0.15">
      <c r="A90" s="199" t="s">
        <v>1624</v>
      </c>
      <c r="B90" s="167">
        <f>A89-B89</f>
        <v>5966740.0700000077</v>
      </c>
      <c r="C90" s="437">
        <f>55842750.7-A89</f>
        <v>0</v>
      </c>
      <c r="D90" s="167">
        <f>B89-D89</f>
        <v>1659039.0299999937</v>
      </c>
      <c r="E90" s="167">
        <f>D89-E89</f>
        <v>519617.00999999791</v>
      </c>
      <c r="F90" s="167">
        <f>E89-F89</f>
        <v>463330.67000000179</v>
      </c>
      <c r="G90" s="167">
        <f t="shared" ref="G90:H90" si="41">F89-G89</f>
        <v>2224624.8599999994</v>
      </c>
      <c r="H90" s="167">
        <f t="shared" si="41"/>
        <v>387799.8599999994</v>
      </c>
      <c r="J90" s="167"/>
      <c r="K90" s="167"/>
      <c r="L90" s="437"/>
      <c r="M90" s="498"/>
      <c r="N90" s="498"/>
      <c r="O90" s="498"/>
      <c r="Q90" s="421" t="s">
        <v>593</v>
      </c>
      <c r="R90" s="421" t="s">
        <v>686</v>
      </c>
      <c r="S90" s="173">
        <f t="shared" ref="S90:AE90" si="42">S40</f>
        <v>12744051.449999999</v>
      </c>
      <c r="T90" s="173">
        <f t="shared" si="42"/>
        <v>16032944.450000001</v>
      </c>
      <c r="U90" s="173">
        <f t="shared" si="42"/>
        <v>16911497.409999996</v>
      </c>
      <c r="V90" s="173">
        <f t="shared" si="42"/>
        <v>17042345.690000001</v>
      </c>
      <c r="W90" s="173">
        <f t="shared" si="42"/>
        <v>16921239.140000001</v>
      </c>
      <c r="X90" s="173">
        <f t="shared" si="42"/>
        <v>18341161.34</v>
      </c>
      <c r="Y90" s="173">
        <f t="shared" si="42"/>
        <v>0</v>
      </c>
      <c r="Z90" s="173">
        <f t="shared" si="42"/>
        <v>0</v>
      </c>
      <c r="AA90" s="173">
        <f t="shared" si="42"/>
        <v>0</v>
      </c>
      <c r="AB90" s="173">
        <f t="shared" si="42"/>
        <v>0</v>
      </c>
      <c r="AC90" s="173">
        <f>AC40</f>
        <v>0</v>
      </c>
      <c r="AD90" s="173">
        <f t="shared" si="42"/>
        <v>0</v>
      </c>
      <c r="AE90" s="173">
        <f t="shared" si="42"/>
        <v>97993239.480000004</v>
      </c>
      <c r="AF90" s="157"/>
    </row>
    <row r="91" spans="1:33" x14ac:dyDescent="0.15">
      <c r="A91" s="422" t="s">
        <v>588</v>
      </c>
      <c r="B91" s="422" t="s">
        <v>662</v>
      </c>
      <c r="C91" s="422" t="s">
        <v>663</v>
      </c>
      <c r="D91" s="422" t="s">
        <v>576</v>
      </c>
      <c r="E91" s="422" t="s">
        <v>577</v>
      </c>
      <c r="F91" s="422" t="s">
        <v>578</v>
      </c>
      <c r="G91" s="422" t="s">
        <v>579</v>
      </c>
      <c r="H91" s="510" t="s">
        <v>580</v>
      </c>
      <c r="I91" s="192"/>
      <c r="J91" s="422" t="s">
        <v>581</v>
      </c>
      <c r="K91" s="422" t="s">
        <v>582</v>
      </c>
      <c r="L91" s="422" t="s">
        <v>583</v>
      </c>
      <c r="M91" s="422" t="s">
        <v>584</v>
      </c>
      <c r="N91" s="422" t="s">
        <v>585</v>
      </c>
      <c r="O91" s="422" t="s">
        <v>586</v>
      </c>
    </row>
    <row r="92" spans="1:33" x14ac:dyDescent="0.15">
      <c r="A92" s="192"/>
      <c r="B92" s="235">
        <v>1022.7</v>
      </c>
      <c r="C92" s="470">
        <v>2006</v>
      </c>
      <c r="D92" s="235">
        <v>1022.7</v>
      </c>
      <c r="E92" s="235">
        <v>1022.7</v>
      </c>
      <c r="F92" s="235">
        <v>1022.7</v>
      </c>
      <c r="G92" s="235">
        <v>376.17</v>
      </c>
      <c r="H92" s="235">
        <v>1022.7</v>
      </c>
      <c r="I92" s="192"/>
      <c r="J92" s="235">
        <v>1022.7</v>
      </c>
      <c r="K92" s="235">
        <v>1022.7</v>
      </c>
      <c r="L92" s="235">
        <v>1022.7</v>
      </c>
      <c r="M92" s="235">
        <v>1022.7</v>
      </c>
      <c r="N92" s="235">
        <v>1022.7</v>
      </c>
      <c r="O92" s="235">
        <v>1022.7</v>
      </c>
      <c r="Q92" s="421">
        <f t="shared" ref="Q92:AE92" si="43">Q33</f>
        <v>10</v>
      </c>
      <c r="R92" s="421" t="str">
        <f t="shared" si="43"/>
        <v>SMS</v>
      </c>
      <c r="S92" s="210">
        <f t="shared" si="43"/>
        <v>2044082.71</v>
      </c>
      <c r="T92" s="210">
        <f t="shared" si="43"/>
        <v>2854652.17</v>
      </c>
      <c r="U92" s="210">
        <f t="shared" si="43"/>
        <v>3035748.09</v>
      </c>
      <c r="V92" s="210">
        <f t="shared" si="43"/>
        <v>3167908.95</v>
      </c>
      <c r="W92" s="210">
        <f t="shared" si="43"/>
        <v>2908615.64</v>
      </c>
      <c r="X92" s="210">
        <f t="shared" si="43"/>
        <v>3223429.66</v>
      </c>
      <c r="Y92" s="210">
        <f t="shared" si="43"/>
        <v>0</v>
      </c>
      <c r="Z92" s="210">
        <f t="shared" si="43"/>
        <v>0</v>
      </c>
      <c r="AA92" s="210">
        <f t="shared" si="43"/>
        <v>0</v>
      </c>
      <c r="AB92" s="210">
        <f t="shared" si="43"/>
        <v>0</v>
      </c>
      <c r="AC92" s="210">
        <f t="shared" si="43"/>
        <v>0</v>
      </c>
      <c r="AD92" s="210">
        <f t="shared" si="43"/>
        <v>0</v>
      </c>
      <c r="AE92" s="210">
        <f t="shared" si="43"/>
        <v>17234437.219999999</v>
      </c>
    </row>
    <row r="93" spans="1:33" x14ac:dyDescent="0.15">
      <c r="A93" s="192"/>
      <c r="B93" s="192">
        <v>776.55</v>
      </c>
      <c r="C93" s="470">
        <v>2007</v>
      </c>
      <c r="D93" s="192">
        <v>776.55</v>
      </c>
      <c r="E93" s="192">
        <v>776.55</v>
      </c>
      <c r="F93" s="192">
        <v>776.55</v>
      </c>
      <c r="G93" s="192">
        <v>776.55</v>
      </c>
      <c r="H93" s="192">
        <v>776.55</v>
      </c>
      <c r="I93" s="192"/>
      <c r="J93" s="192">
        <v>776.55</v>
      </c>
      <c r="K93" s="192">
        <v>776.55</v>
      </c>
      <c r="L93" s="235">
        <v>776.55</v>
      </c>
      <c r="M93" s="192">
        <v>776.55</v>
      </c>
      <c r="N93" s="192">
        <v>776.55</v>
      </c>
      <c r="O93" s="192">
        <v>776.55</v>
      </c>
      <c r="Q93" s="422" t="s">
        <v>687</v>
      </c>
      <c r="R93" s="192" t="s">
        <v>673</v>
      </c>
      <c r="S93" s="210">
        <f t="shared" ref="S93:AE93" si="44">(S92/S90)*100</f>
        <v>16.039504532916808</v>
      </c>
      <c r="T93" s="210">
        <f t="shared" si="44"/>
        <v>17.804915241255014</v>
      </c>
      <c r="U93" s="210">
        <f t="shared" si="44"/>
        <v>17.950794163294617</v>
      </c>
      <c r="V93" s="210">
        <f t="shared" si="44"/>
        <v>18.588456117627313</v>
      </c>
      <c r="W93" s="210">
        <f t="shared" si="44"/>
        <v>17.189140912998173</v>
      </c>
      <c r="X93" s="210">
        <f t="shared" si="44"/>
        <v>17.574839456703671</v>
      </c>
      <c r="Y93" s="210" t="e">
        <f t="shared" si="44"/>
        <v>#DIV/0!</v>
      </c>
      <c r="Z93" s="210" t="e">
        <f t="shared" si="44"/>
        <v>#DIV/0!</v>
      </c>
      <c r="AA93" s="210" t="e">
        <f t="shared" si="44"/>
        <v>#DIV/0!</v>
      </c>
      <c r="AB93" s="210" t="e">
        <f t="shared" si="44"/>
        <v>#DIV/0!</v>
      </c>
      <c r="AC93" s="210" t="e">
        <f t="shared" si="44"/>
        <v>#DIV/0!</v>
      </c>
      <c r="AD93" s="210" t="e">
        <f t="shared" si="44"/>
        <v>#DIV/0!</v>
      </c>
      <c r="AE93" s="211">
        <f t="shared" si="44"/>
        <v>17.587373691750923</v>
      </c>
    </row>
    <row r="94" spans="1:33" x14ac:dyDescent="0.15">
      <c r="A94" s="192"/>
      <c r="B94" s="235">
        <v>2006.84</v>
      </c>
      <c r="C94" s="470">
        <v>2008</v>
      </c>
      <c r="D94" s="235">
        <v>2006.84</v>
      </c>
      <c r="E94" s="235">
        <v>2006.84</v>
      </c>
      <c r="F94" s="235">
        <v>2006.84</v>
      </c>
      <c r="G94" s="235">
        <v>1697.95</v>
      </c>
      <c r="H94" s="235">
        <v>2006.84</v>
      </c>
      <c r="I94" s="192"/>
      <c r="J94" s="235">
        <v>2006.84</v>
      </c>
      <c r="K94" s="235">
        <v>2006.84</v>
      </c>
      <c r="L94" s="235">
        <v>2006.84</v>
      </c>
      <c r="M94" s="235">
        <v>2006.84</v>
      </c>
      <c r="N94" s="235">
        <v>2006.84</v>
      </c>
      <c r="O94" s="235">
        <v>2006.84</v>
      </c>
    </row>
    <row r="95" spans="1:33" x14ac:dyDescent="0.15">
      <c r="A95" s="192"/>
      <c r="B95" s="235">
        <v>2183</v>
      </c>
      <c r="C95" s="470">
        <v>2009</v>
      </c>
      <c r="D95" s="235">
        <v>2183</v>
      </c>
      <c r="E95" s="235">
        <v>2183</v>
      </c>
      <c r="F95" s="235">
        <v>2183</v>
      </c>
      <c r="G95" s="235">
        <v>1731.18</v>
      </c>
      <c r="H95" s="235">
        <v>2183</v>
      </c>
      <c r="I95" s="192"/>
      <c r="J95" s="235">
        <v>2183</v>
      </c>
      <c r="K95" s="235">
        <v>2183</v>
      </c>
      <c r="L95" s="235">
        <v>2183</v>
      </c>
      <c r="M95" s="235">
        <v>2183</v>
      </c>
      <c r="N95" s="235">
        <v>2183</v>
      </c>
      <c r="O95" s="235">
        <v>2183</v>
      </c>
    </row>
    <row r="96" spans="1:33" x14ac:dyDescent="0.15">
      <c r="A96" s="192"/>
      <c r="B96" s="235">
        <v>6288.69</v>
      </c>
      <c r="C96" s="470">
        <v>2010</v>
      </c>
      <c r="D96" s="235">
        <v>6288.69</v>
      </c>
      <c r="E96" s="235">
        <v>6288.69</v>
      </c>
      <c r="F96" s="235">
        <v>6288.69</v>
      </c>
      <c r="G96" s="235">
        <v>4788.47</v>
      </c>
      <c r="H96" s="235">
        <v>6288.69</v>
      </c>
      <c r="I96" s="192"/>
      <c r="J96" s="235">
        <v>6288.69</v>
      </c>
      <c r="K96" s="235">
        <v>6288.69</v>
      </c>
      <c r="L96" s="235">
        <v>6288.69</v>
      </c>
      <c r="M96" s="235">
        <v>6288.69</v>
      </c>
      <c r="N96" s="235">
        <v>6288.69</v>
      </c>
      <c r="O96" s="235">
        <v>6288.69</v>
      </c>
    </row>
    <row r="97" spans="1:31" x14ac:dyDescent="0.15">
      <c r="A97" s="192"/>
      <c r="B97" s="235">
        <v>13860.18</v>
      </c>
      <c r="C97" s="470">
        <v>2011</v>
      </c>
      <c r="D97" s="235">
        <v>13860.18</v>
      </c>
      <c r="E97" s="235">
        <v>13860.18</v>
      </c>
      <c r="F97" s="235">
        <v>13860.18</v>
      </c>
      <c r="G97" s="235">
        <v>10707.45</v>
      </c>
      <c r="H97" s="235">
        <v>13860.18</v>
      </c>
      <c r="I97" s="192"/>
      <c r="J97" s="235">
        <v>13860.18</v>
      </c>
      <c r="K97" s="235">
        <v>13860.18</v>
      </c>
      <c r="L97" s="235">
        <v>13860.18</v>
      </c>
      <c r="M97" s="235">
        <v>13860.18</v>
      </c>
      <c r="N97" s="235">
        <v>13860.18</v>
      </c>
      <c r="O97" s="235">
        <v>13860.18</v>
      </c>
      <c r="R97" s="422" t="s">
        <v>688</v>
      </c>
      <c r="S97" s="421" t="str">
        <f t="shared" ref="S97:AE97" si="45">S43</f>
        <v>Janeiro</v>
      </c>
      <c r="T97" s="421" t="str">
        <f t="shared" si="45"/>
        <v>Fevereiro</v>
      </c>
      <c r="U97" s="421" t="str">
        <f t="shared" si="45"/>
        <v>Março</v>
      </c>
      <c r="V97" s="421" t="str">
        <f t="shared" si="45"/>
        <v>Abril</v>
      </c>
      <c r="W97" s="421" t="str">
        <f t="shared" si="45"/>
        <v>Maio</v>
      </c>
      <c r="X97" s="421" t="str">
        <f t="shared" si="45"/>
        <v>Junho</v>
      </c>
      <c r="Y97" s="421" t="str">
        <f t="shared" si="45"/>
        <v>Julho</v>
      </c>
      <c r="Z97" s="421" t="str">
        <f t="shared" si="45"/>
        <v>Agosto</v>
      </c>
      <c r="AA97" s="421" t="str">
        <f t="shared" si="45"/>
        <v>Setembro</v>
      </c>
      <c r="AB97" s="421" t="str">
        <f t="shared" si="45"/>
        <v>Outubro</v>
      </c>
      <c r="AC97" s="421" t="str">
        <f t="shared" si="45"/>
        <v>Novembro</v>
      </c>
      <c r="AD97" s="421" t="str">
        <f t="shared" si="45"/>
        <v>Dezembro</v>
      </c>
      <c r="AE97" s="421" t="str">
        <f t="shared" si="45"/>
        <v>TOTAL</v>
      </c>
    </row>
    <row r="98" spans="1:31" x14ac:dyDescent="0.15">
      <c r="A98" s="192"/>
      <c r="B98" s="235">
        <v>106129.79</v>
      </c>
      <c r="C98" s="470">
        <v>2012</v>
      </c>
      <c r="D98" s="235">
        <v>69450.960000000006</v>
      </c>
      <c r="E98" s="235">
        <v>32772.129999999997</v>
      </c>
      <c r="F98" s="235">
        <v>26531.17</v>
      </c>
      <c r="G98" s="235">
        <v>12263.79</v>
      </c>
      <c r="H98" s="235">
        <v>26270.19</v>
      </c>
      <c r="I98" s="192"/>
      <c r="J98" s="235">
        <v>26270.19</v>
      </c>
      <c r="K98" s="235">
        <v>26270.19</v>
      </c>
      <c r="L98" s="235">
        <v>26270.19</v>
      </c>
      <c r="M98" s="235">
        <v>26270.19</v>
      </c>
      <c r="N98" s="235">
        <v>26270.19</v>
      </c>
      <c r="O98" s="235">
        <v>26270.19</v>
      </c>
      <c r="Q98" s="420"/>
      <c r="R98" s="205" t="s">
        <v>624</v>
      </c>
      <c r="S98" s="177">
        <f t="shared" ref="S98:AD98" si="46">S92/$AE$92</f>
        <v>0.11860455226399322</v>
      </c>
      <c r="T98" s="177">
        <f t="shared" si="46"/>
        <v>0.16563651795297787</v>
      </c>
      <c r="U98" s="177">
        <f t="shared" si="46"/>
        <v>0.17614431218427684</v>
      </c>
      <c r="V98" s="177">
        <f t="shared" si="46"/>
        <v>0.18381272968540835</v>
      </c>
      <c r="W98" s="177">
        <f t="shared" si="46"/>
        <v>0.16876765993987011</v>
      </c>
      <c r="X98" s="177">
        <f t="shared" si="46"/>
        <v>0.18703422797347372</v>
      </c>
      <c r="Y98" s="177">
        <f t="shared" si="46"/>
        <v>0</v>
      </c>
      <c r="Z98" s="177">
        <f t="shared" si="46"/>
        <v>0</v>
      </c>
      <c r="AA98" s="177">
        <f t="shared" si="46"/>
        <v>0</v>
      </c>
      <c r="AB98" s="177">
        <f t="shared" si="46"/>
        <v>0</v>
      </c>
      <c r="AC98" s="177">
        <f t="shared" si="46"/>
        <v>0</v>
      </c>
      <c r="AD98" s="177">
        <f t="shared" si="46"/>
        <v>0</v>
      </c>
      <c r="AE98" s="177">
        <f>AE92/$AE$20</f>
        <v>7.2160745820900984E-2</v>
      </c>
    </row>
    <row r="99" spans="1:31" x14ac:dyDescent="0.15">
      <c r="A99" s="192"/>
      <c r="B99" s="235">
        <v>1837.44</v>
      </c>
      <c r="C99" s="470">
        <v>2013</v>
      </c>
      <c r="D99" s="235">
        <v>1837.44</v>
      </c>
      <c r="E99" s="235">
        <v>1837.44</v>
      </c>
      <c r="F99" s="235">
        <v>1837.44</v>
      </c>
      <c r="G99" s="235">
        <v>659.73</v>
      </c>
      <c r="H99" s="235">
        <v>1837.44</v>
      </c>
      <c r="I99" s="192"/>
      <c r="J99" s="235">
        <v>1837.44</v>
      </c>
      <c r="K99" s="235">
        <v>1837.44</v>
      </c>
      <c r="L99" s="235">
        <v>1837.44</v>
      </c>
      <c r="M99" s="235">
        <v>1837.44</v>
      </c>
      <c r="N99" s="235">
        <v>1837.44</v>
      </c>
      <c r="O99" s="235">
        <v>1837.44</v>
      </c>
    </row>
    <row r="100" spans="1:31" x14ac:dyDescent="0.15">
      <c r="A100" s="192"/>
      <c r="B100" s="235">
        <v>10782.56</v>
      </c>
      <c r="C100" s="470">
        <v>2014</v>
      </c>
      <c r="D100" s="235">
        <v>10782.56</v>
      </c>
      <c r="E100" s="235">
        <v>10782.56</v>
      </c>
      <c r="F100" s="235">
        <v>10782.56</v>
      </c>
      <c r="G100" s="235">
        <v>2959.66</v>
      </c>
      <c r="H100" s="235">
        <v>5278.94</v>
      </c>
      <c r="I100" s="192"/>
      <c r="J100" s="235">
        <v>5278.94</v>
      </c>
      <c r="K100" s="235">
        <v>5278.94</v>
      </c>
      <c r="L100" s="235">
        <v>5278.94</v>
      </c>
      <c r="M100" s="235">
        <v>5278.94</v>
      </c>
      <c r="N100" s="235">
        <v>5278.94</v>
      </c>
      <c r="O100" s="235">
        <v>5278.94</v>
      </c>
    </row>
    <row r="101" spans="1:31" x14ac:dyDescent="0.15">
      <c r="A101" s="192"/>
      <c r="B101" s="235">
        <v>2268683.61</v>
      </c>
      <c r="C101" s="470">
        <v>2015</v>
      </c>
      <c r="D101" s="235">
        <v>2256029.5299999998</v>
      </c>
      <c r="E101" s="235">
        <v>2243375.4500000002</v>
      </c>
      <c r="F101" s="235">
        <v>2230721.37</v>
      </c>
      <c r="G101" s="235">
        <v>2205413.21</v>
      </c>
      <c r="H101" s="235">
        <v>2205413.21</v>
      </c>
      <c r="I101" s="192"/>
      <c r="J101" s="235">
        <v>2192759.13</v>
      </c>
      <c r="K101" s="235">
        <v>2180105.0499999998</v>
      </c>
      <c r="L101" s="235">
        <v>2167450.9700000002</v>
      </c>
      <c r="M101" s="235">
        <v>2154796.89</v>
      </c>
      <c r="N101" s="235">
        <v>2142142.81</v>
      </c>
      <c r="O101" s="235">
        <v>2129488.73</v>
      </c>
      <c r="S101" s="182" t="s">
        <v>1625</v>
      </c>
    </row>
    <row r="102" spans="1:31" x14ac:dyDescent="0.15">
      <c r="A102" s="192"/>
      <c r="B102" s="235">
        <v>1525282.92</v>
      </c>
      <c r="C102" s="470">
        <v>2016</v>
      </c>
      <c r="D102" s="235">
        <v>1511005.26</v>
      </c>
      <c r="E102" s="235">
        <v>1496727.6</v>
      </c>
      <c r="F102" s="235">
        <v>1482449.94</v>
      </c>
      <c r="G102" s="235">
        <v>1452380.92</v>
      </c>
      <c r="H102" s="235">
        <v>1453894.62</v>
      </c>
      <c r="I102" s="192"/>
      <c r="J102" s="235">
        <v>1439616.96</v>
      </c>
      <c r="K102" s="235">
        <v>1425339.3</v>
      </c>
      <c r="L102" s="235">
        <v>1411061.64</v>
      </c>
      <c r="M102" s="235">
        <v>1396783.98</v>
      </c>
      <c r="N102" s="235">
        <v>1382506.32</v>
      </c>
      <c r="O102" s="235">
        <v>1368228.66</v>
      </c>
      <c r="Q102" s="206" t="s">
        <v>625</v>
      </c>
      <c r="R102" s="207"/>
      <c r="S102" s="177" t="s">
        <v>31</v>
      </c>
      <c r="T102" s="208">
        <f>S92+T92</f>
        <v>4898734.88</v>
      </c>
      <c r="U102" s="177" t="s">
        <v>7</v>
      </c>
      <c r="V102" s="209">
        <f>U92+V92</f>
        <v>6203657.04</v>
      </c>
      <c r="W102" s="177" t="s">
        <v>8</v>
      </c>
      <c r="X102" s="209">
        <f>W92+X92</f>
        <v>6132045.3000000007</v>
      </c>
      <c r="Y102" s="177" t="s">
        <v>9</v>
      </c>
      <c r="Z102" s="209">
        <f>Y92+Z92</f>
        <v>0</v>
      </c>
      <c r="AA102" s="177" t="s">
        <v>626</v>
      </c>
      <c r="AB102" s="209">
        <f>AA92+AB92</f>
        <v>0</v>
      </c>
      <c r="AC102" s="177" t="s">
        <v>627</v>
      </c>
      <c r="AD102" s="209">
        <f>AC92+AD92</f>
        <v>0</v>
      </c>
      <c r="AE102" s="137">
        <f>SUM(S102:AD102)</f>
        <v>17234437.219999999</v>
      </c>
    </row>
    <row r="103" spans="1:31" x14ac:dyDescent="0.15">
      <c r="A103" s="192"/>
      <c r="B103" s="235">
        <v>224362.07</v>
      </c>
      <c r="C103" s="470">
        <v>2017</v>
      </c>
      <c r="D103" s="235">
        <v>217955.58</v>
      </c>
      <c r="E103" s="235">
        <v>217955.58</v>
      </c>
      <c r="F103" s="235">
        <v>217955.58</v>
      </c>
      <c r="G103" s="235">
        <v>217955.58</v>
      </c>
      <c r="H103" s="235">
        <v>217955.58</v>
      </c>
      <c r="I103" s="192"/>
      <c r="J103" s="235">
        <v>217955.58</v>
      </c>
      <c r="K103" s="235">
        <v>217955.58</v>
      </c>
      <c r="L103" s="235">
        <v>217955.58</v>
      </c>
      <c r="M103" s="235">
        <v>217955.58</v>
      </c>
      <c r="N103" s="235">
        <v>217955.58</v>
      </c>
      <c r="O103" s="235">
        <v>143620.51999999999</v>
      </c>
    </row>
    <row r="104" spans="1:31" x14ac:dyDescent="0.15">
      <c r="A104" s="192"/>
      <c r="B104" s="235">
        <v>20100.47</v>
      </c>
      <c r="C104" s="470">
        <v>2018</v>
      </c>
      <c r="D104" s="235">
        <v>20100.47</v>
      </c>
      <c r="E104" s="235">
        <v>20100.47</v>
      </c>
      <c r="F104" s="235">
        <v>20100.47</v>
      </c>
      <c r="G104" s="235">
        <v>18483.759999999998</v>
      </c>
      <c r="H104" s="235">
        <v>20100.47</v>
      </c>
      <c r="I104" s="192"/>
      <c r="J104" s="235">
        <v>20100.47</v>
      </c>
      <c r="K104" s="235">
        <v>20100.47</v>
      </c>
      <c r="L104" s="235">
        <v>20100.47</v>
      </c>
      <c r="M104" s="235">
        <v>20100.47</v>
      </c>
      <c r="N104" s="235">
        <v>20100.47</v>
      </c>
      <c r="O104" s="235">
        <v>20100.47</v>
      </c>
      <c r="T104" s="182" t="s">
        <v>951</v>
      </c>
    </row>
    <row r="105" spans="1:31" x14ac:dyDescent="0.15">
      <c r="A105" s="192"/>
      <c r="B105" s="235">
        <v>37830</v>
      </c>
      <c r="C105" s="470">
        <v>2019</v>
      </c>
      <c r="D105" s="235">
        <v>37830</v>
      </c>
      <c r="E105" s="235">
        <v>37830</v>
      </c>
      <c r="F105" s="235">
        <v>37830</v>
      </c>
      <c r="G105" s="235">
        <v>34110.230000000003</v>
      </c>
      <c r="H105" s="235">
        <v>37684.5</v>
      </c>
      <c r="I105" s="192"/>
      <c r="J105" s="235">
        <v>37684.5</v>
      </c>
      <c r="K105" s="235">
        <v>37684.5</v>
      </c>
      <c r="L105" s="235">
        <v>37684.5</v>
      </c>
      <c r="M105" s="235">
        <v>37684.5</v>
      </c>
      <c r="N105" s="235">
        <v>37684.5</v>
      </c>
      <c r="O105" s="235">
        <v>37522.42</v>
      </c>
      <c r="R105" s="192" t="s">
        <v>689</v>
      </c>
      <c r="S105" s="137">
        <f t="shared" ref="S105:AE105" si="47">S84-S92</f>
        <v>936786.58244068362</v>
      </c>
      <c r="T105" s="137">
        <f t="shared" si="47"/>
        <v>286041.32927277498</v>
      </c>
      <c r="U105" s="137">
        <f t="shared" si="47"/>
        <v>376149.80373858847</v>
      </c>
      <c r="V105" s="137">
        <f t="shared" si="47"/>
        <v>464943.74230227526</v>
      </c>
      <c r="W105" s="137">
        <f t="shared" si="47"/>
        <v>666259.71896336414</v>
      </c>
      <c r="X105" s="137">
        <f t="shared" si="47"/>
        <v>-37380.221484096255</v>
      </c>
      <c r="Y105" s="137">
        <f t="shared" si="47"/>
        <v>3566632.7186140693</v>
      </c>
      <c r="Z105" s="137">
        <f t="shared" si="47"/>
        <v>3417189.8234580159</v>
      </c>
      <c r="AA105" s="137">
        <f t="shared" si="47"/>
        <v>3209987.4775870638</v>
      </c>
      <c r="AB105" s="137">
        <f t="shared" si="47"/>
        <v>3381641.8214904321</v>
      </c>
      <c r="AC105" s="137">
        <f t="shared" si="47"/>
        <v>3599109.8606810444</v>
      </c>
      <c r="AD105" s="137">
        <f t="shared" si="47"/>
        <v>4912031.6429357827</v>
      </c>
      <c r="AE105" s="137">
        <f t="shared" si="47"/>
        <v>24779394.299999997</v>
      </c>
    </row>
    <row r="106" spans="1:31" x14ac:dyDescent="0.15">
      <c r="A106" s="192"/>
      <c r="B106" s="235">
        <v>3041530.55</v>
      </c>
      <c r="C106" s="470">
        <v>2020</v>
      </c>
      <c r="D106" s="235">
        <v>2946280.46</v>
      </c>
      <c r="E106" s="235">
        <v>2851030.37</v>
      </c>
      <c r="F106" s="235">
        <v>2755780.28</v>
      </c>
      <c r="G106" s="235">
        <v>2657867.5499999998</v>
      </c>
      <c r="H106" s="235">
        <v>2660530.19</v>
      </c>
      <c r="I106" s="192"/>
      <c r="J106" s="235">
        <v>2470030.0099999998</v>
      </c>
      <c r="K106" s="235">
        <v>2374779.92</v>
      </c>
      <c r="L106" s="235">
        <v>2279529.83</v>
      </c>
      <c r="M106" s="235">
        <v>2184279.7400000002</v>
      </c>
      <c r="N106" s="235">
        <v>2089029.65</v>
      </c>
      <c r="O106" s="235">
        <v>1993779.56</v>
      </c>
    </row>
    <row r="107" spans="1:31" x14ac:dyDescent="0.15">
      <c r="A107" s="192"/>
      <c r="B107" s="235">
        <v>227011.6</v>
      </c>
      <c r="C107" s="470">
        <v>2021</v>
      </c>
      <c r="D107" s="235">
        <v>218554.6</v>
      </c>
      <c r="E107" s="235">
        <v>218554.6</v>
      </c>
      <c r="F107" s="235">
        <v>218554.6</v>
      </c>
      <c r="G107" s="235">
        <v>217761.71</v>
      </c>
      <c r="H107" s="235">
        <v>218554.6</v>
      </c>
      <c r="I107" s="192"/>
      <c r="J107" s="235">
        <v>217369.60000000001</v>
      </c>
      <c r="K107" s="235">
        <v>217369.60000000001</v>
      </c>
      <c r="L107" s="235">
        <v>217369.60000000001</v>
      </c>
      <c r="M107" s="235">
        <v>217369.60000000001</v>
      </c>
      <c r="N107" s="235">
        <v>217369.60000000001</v>
      </c>
      <c r="O107" s="235">
        <v>217206.55</v>
      </c>
    </row>
    <row r="108" spans="1:31" x14ac:dyDescent="0.15">
      <c r="A108" s="192"/>
      <c r="B108" s="235">
        <v>5872161.54</v>
      </c>
      <c r="C108" s="470">
        <v>2022</v>
      </c>
      <c r="D108" s="235">
        <v>5643844.75</v>
      </c>
      <c r="E108" s="235">
        <v>5643844.75</v>
      </c>
      <c r="F108" s="235">
        <v>5224712.29</v>
      </c>
      <c r="G108" s="235">
        <v>5008027.43</v>
      </c>
      <c r="H108" s="235">
        <v>5014971.0599999996</v>
      </c>
      <c r="I108" s="192"/>
      <c r="J108" s="235">
        <v>4805404.83</v>
      </c>
      <c r="K108" s="235">
        <v>4595816.62</v>
      </c>
      <c r="L108" s="235">
        <v>4176684.16</v>
      </c>
      <c r="M108" s="235">
        <v>4176684.16</v>
      </c>
      <c r="N108" s="235">
        <v>3967117.93</v>
      </c>
      <c r="O108" s="235">
        <v>3757551.7</v>
      </c>
      <c r="T108" s="182" t="s">
        <v>690</v>
      </c>
    </row>
    <row r="109" spans="1:31" x14ac:dyDescent="0.15">
      <c r="A109" s="192"/>
      <c r="B109" s="235">
        <v>29146071.710000001</v>
      </c>
      <c r="C109" s="470">
        <v>2023</v>
      </c>
      <c r="D109" s="235">
        <v>28477876.079999998</v>
      </c>
      <c r="E109" s="235">
        <v>27647841.140000001</v>
      </c>
      <c r="F109" s="235">
        <v>26341681.940000001</v>
      </c>
      <c r="G109" s="235">
        <v>26002117.260000002</v>
      </c>
      <c r="H109" s="235">
        <v>26005288.780000001</v>
      </c>
      <c r="I109" s="192"/>
      <c r="J109" s="235">
        <v>25245952.940000001</v>
      </c>
      <c r="K109" s="235">
        <v>25321926.780000001</v>
      </c>
      <c r="L109" s="235">
        <v>24645412.489999998</v>
      </c>
      <c r="M109" s="192">
        <f>24125176.63</f>
        <v>24125176.629999999</v>
      </c>
      <c r="N109" s="235">
        <v>23943308.359999999</v>
      </c>
      <c r="O109" s="235">
        <v>23351225.379999999</v>
      </c>
    </row>
    <row r="110" spans="1:31" x14ac:dyDescent="0.15">
      <c r="A110" s="235"/>
      <c r="B110" s="240">
        <f>SUM(B92:B109)</f>
        <v>42507922.219999999</v>
      </c>
      <c r="C110" s="192"/>
      <c r="D110" s="456">
        <f>SUM(D92:D109)</f>
        <v>41437685.649999999</v>
      </c>
      <c r="E110" s="456">
        <f>SUM(E92:E109)</f>
        <v>40448790.049999997</v>
      </c>
      <c r="F110" s="456">
        <f>SUM(F92:F109)</f>
        <v>38595075.600000001</v>
      </c>
      <c r="G110" s="456">
        <f t="shared" ref="G110:O110" si="48">SUM(G92:G109)</f>
        <v>37850078.600000001</v>
      </c>
      <c r="H110" s="456">
        <f t="shared" ref="H110" si="49">SUM(H92:H109)</f>
        <v>37893917.539999999</v>
      </c>
      <c r="I110" s="456">
        <f t="shared" si="48"/>
        <v>0</v>
      </c>
      <c r="J110" s="456">
        <f t="shared" si="48"/>
        <v>36706398.549999997</v>
      </c>
      <c r="K110" s="456">
        <f t="shared" si="48"/>
        <v>36450602.350000001</v>
      </c>
      <c r="L110" s="456">
        <f t="shared" si="48"/>
        <v>35232773.769999996</v>
      </c>
      <c r="M110" s="456">
        <f t="shared" si="48"/>
        <v>34590356.079999998</v>
      </c>
      <c r="N110" s="456">
        <f t="shared" si="48"/>
        <v>34076739.75</v>
      </c>
      <c r="O110" s="456">
        <f t="shared" si="48"/>
        <v>33078248.52</v>
      </c>
      <c r="S110" s="182" t="s">
        <v>692</v>
      </c>
    </row>
    <row r="111" spans="1:31" x14ac:dyDescent="0.15">
      <c r="B111" s="167">
        <f>42507922.22-B110</f>
        <v>0</v>
      </c>
      <c r="D111" s="167">
        <f>41437685.65-D110</f>
        <v>0</v>
      </c>
      <c r="E111" s="167">
        <f>40448790.05-E110</f>
        <v>0</v>
      </c>
      <c r="F111" s="167">
        <f>38595075.6-F110</f>
        <v>0</v>
      </c>
      <c r="G111" s="204">
        <f>37850078.6-G110</f>
        <v>0</v>
      </c>
      <c r="H111" s="204">
        <f>37893917.54-H110</f>
        <v>0</v>
      </c>
      <c r="J111" s="167">
        <f>36706398.55-J110</f>
        <v>0</v>
      </c>
      <c r="K111" s="167">
        <f>36450602.35-K110</f>
        <v>0</v>
      </c>
      <c r="L111" s="437">
        <f>35232773.77-L110</f>
        <v>0</v>
      </c>
      <c r="M111" s="414">
        <f>34590356.08-M110</f>
        <v>0</v>
      </c>
      <c r="N111" s="414">
        <f>34076739.75-N110</f>
        <v>0</v>
      </c>
      <c r="O111" s="414">
        <f>33078248.52-O110</f>
        <v>0</v>
      </c>
      <c r="S111" s="438" t="s">
        <v>693</v>
      </c>
      <c r="T111" s="438" t="s">
        <v>694</v>
      </c>
      <c r="U111" s="438" t="s">
        <v>695</v>
      </c>
      <c r="V111" s="438" t="s">
        <v>696</v>
      </c>
      <c r="W111" s="438" t="s">
        <v>697</v>
      </c>
      <c r="X111" s="438" t="s">
        <v>698</v>
      </c>
      <c r="Y111" s="438" t="s">
        <v>699</v>
      </c>
      <c r="Z111" s="438" t="s">
        <v>700</v>
      </c>
      <c r="AA111" s="438" t="s">
        <v>701</v>
      </c>
      <c r="AB111" s="438" t="s">
        <v>702</v>
      </c>
      <c r="AC111" s="438" t="s">
        <v>703</v>
      </c>
      <c r="AD111" s="438" t="s">
        <v>704</v>
      </c>
      <c r="AE111" s="438" t="s">
        <v>705</v>
      </c>
    </row>
    <row r="112" spans="1:31" x14ac:dyDescent="0.15">
      <c r="A112" s="469" t="s">
        <v>587</v>
      </c>
      <c r="B112" s="469" t="s">
        <v>662</v>
      </c>
      <c r="C112" s="469" t="s">
        <v>663</v>
      </c>
      <c r="D112" s="469" t="s">
        <v>576</v>
      </c>
      <c r="E112" s="469" t="s">
        <v>577</v>
      </c>
      <c r="F112" s="469" t="s">
        <v>578</v>
      </c>
      <c r="G112" s="469" t="s">
        <v>579</v>
      </c>
      <c r="H112" s="469" t="s">
        <v>580</v>
      </c>
      <c r="I112" s="192"/>
      <c r="J112" s="469" t="s">
        <v>581</v>
      </c>
      <c r="K112" s="469" t="s">
        <v>582</v>
      </c>
      <c r="L112" s="469" t="s">
        <v>583</v>
      </c>
      <c r="M112" s="469" t="s">
        <v>584</v>
      </c>
      <c r="N112" s="469" t="s">
        <v>585</v>
      </c>
      <c r="O112" s="469" t="s">
        <v>586</v>
      </c>
      <c r="Q112" s="439" t="s">
        <v>672</v>
      </c>
      <c r="R112" s="438" t="s">
        <v>58</v>
      </c>
      <c r="S112" s="210">
        <f t="shared" ref="S112:AE112" si="50">S12</f>
        <v>4468633.9647337431</v>
      </c>
      <c r="T112" s="210">
        <f t="shared" si="50"/>
        <v>4708227.1199410772</v>
      </c>
      <c r="U112" s="210">
        <f t="shared" si="50"/>
        <v>5114790.7930173595</v>
      </c>
      <c r="V112" s="210">
        <f t="shared" si="50"/>
        <v>5446025.0809603091</v>
      </c>
      <c r="W112" s="210">
        <f t="shared" si="50"/>
        <v>5359111.0114303362</v>
      </c>
      <c r="X112" s="210">
        <f t="shared" si="50"/>
        <v>4776220.4033494536</v>
      </c>
      <c r="Y112" s="210">
        <f t="shared" si="50"/>
        <v>5346754.4338650769</v>
      </c>
      <c r="Z112" s="210">
        <f t="shared" si="50"/>
        <v>5122723.9475985365</v>
      </c>
      <c r="AA112" s="210">
        <f t="shared" si="50"/>
        <v>4812106.0205798969</v>
      </c>
      <c r="AB112" s="210">
        <f t="shared" si="50"/>
        <v>5069433.7851034533</v>
      </c>
      <c r="AC112" s="210">
        <f t="shared" si="50"/>
        <v>5395441.0570880426</v>
      </c>
      <c r="AD112" s="210">
        <f t="shared" si="50"/>
        <v>7363647.7423327072</v>
      </c>
      <c r="AE112" s="210">
        <f t="shared" si="50"/>
        <v>62983115.359999992</v>
      </c>
    </row>
    <row r="113" spans="1:31" x14ac:dyDescent="0.15">
      <c r="A113" s="192"/>
      <c r="B113" s="235">
        <v>1022.7</v>
      </c>
      <c r="C113" s="470">
        <v>2006</v>
      </c>
      <c r="D113" s="235">
        <v>1022.7</v>
      </c>
      <c r="E113" s="235">
        <v>1022.7</v>
      </c>
      <c r="F113" s="174">
        <v>1022.7</v>
      </c>
      <c r="G113" s="235">
        <v>1022.7</v>
      </c>
      <c r="H113" s="235">
        <v>1022.7</v>
      </c>
      <c r="I113" s="192"/>
      <c r="J113" s="235">
        <v>1022.7</v>
      </c>
      <c r="K113" s="235">
        <v>1022.7</v>
      </c>
      <c r="L113" s="235">
        <f>1022.7</f>
        <v>1022.7</v>
      </c>
      <c r="M113" s="235">
        <v>1022.7</v>
      </c>
      <c r="N113" s="235">
        <v>1022.7</v>
      </c>
      <c r="O113" s="235">
        <v>1022.7</v>
      </c>
      <c r="R113" s="192" t="s">
        <v>673</v>
      </c>
      <c r="S113" s="210">
        <f t="shared" ref="S113:AE113" si="51">(S112/S82)*100</f>
        <v>26.24933260518813</v>
      </c>
      <c r="T113" s="210">
        <f t="shared" si="51"/>
        <v>26.290900036910369</v>
      </c>
      <c r="U113" s="210">
        <f t="shared" si="51"/>
        <v>26.352767488678335</v>
      </c>
      <c r="V113" s="210">
        <f t="shared" si="51"/>
        <v>26.39651848098412</v>
      </c>
      <c r="W113" s="210">
        <f t="shared" si="51"/>
        <v>26.385548200820537</v>
      </c>
      <c r="X113" s="210">
        <f t="shared" si="51"/>
        <v>26.301958761653644</v>
      </c>
      <c r="Y113" s="210">
        <f t="shared" si="51"/>
        <v>26.383960354131368</v>
      </c>
      <c r="Z113" s="210">
        <f t="shared" si="51"/>
        <v>26.353879668803426</v>
      </c>
      <c r="AA113" s="210">
        <f t="shared" si="51"/>
        <v>26.307673003978334</v>
      </c>
      <c r="AB113" s="210">
        <f t="shared" si="51"/>
        <v>26.346343705058729</v>
      </c>
      <c r="AC113" s="210">
        <f t="shared" si="51"/>
        <v>26.39017565250348</v>
      </c>
      <c r="AD113" s="210">
        <f t="shared" si="51"/>
        <v>26.573929336298953</v>
      </c>
      <c r="AE113" s="211">
        <f t="shared" si="51"/>
        <v>26.371087842817559</v>
      </c>
    </row>
    <row r="114" spans="1:31" x14ac:dyDescent="0.15">
      <c r="A114" s="192"/>
      <c r="B114" s="192">
        <v>776.55</v>
      </c>
      <c r="C114" s="470">
        <v>2007</v>
      </c>
      <c r="D114" s="192">
        <v>776.55</v>
      </c>
      <c r="E114" s="192">
        <v>776.55</v>
      </c>
      <c r="F114" s="174">
        <v>776.55</v>
      </c>
      <c r="G114" s="192">
        <v>776.55</v>
      </c>
      <c r="H114" s="192">
        <v>776.55</v>
      </c>
      <c r="I114" s="192"/>
      <c r="J114" s="192">
        <v>776.55</v>
      </c>
      <c r="K114" s="192">
        <v>776.55</v>
      </c>
      <c r="L114" s="235">
        <v>776.55</v>
      </c>
      <c r="M114" s="192">
        <v>776.55</v>
      </c>
      <c r="N114" s="192">
        <v>776.55</v>
      </c>
      <c r="O114" s="192">
        <v>776.55</v>
      </c>
    </row>
    <row r="115" spans="1:31" x14ac:dyDescent="0.15">
      <c r="A115" s="192"/>
      <c r="B115" s="235">
        <v>2006.84</v>
      </c>
      <c r="C115" s="470">
        <v>2008</v>
      </c>
      <c r="D115" s="235">
        <v>2006.84</v>
      </c>
      <c r="E115" s="235">
        <v>2006.84</v>
      </c>
      <c r="F115" s="174">
        <v>2006.84</v>
      </c>
      <c r="G115" s="235">
        <v>2006.84</v>
      </c>
      <c r="H115" s="235">
        <v>2006.84</v>
      </c>
      <c r="I115" s="192"/>
      <c r="J115" s="235">
        <v>2006.84</v>
      </c>
      <c r="K115" s="235">
        <v>2006.84</v>
      </c>
      <c r="L115" s="235">
        <f>2006.84</f>
        <v>2006.84</v>
      </c>
      <c r="M115" s="235">
        <v>2006.84</v>
      </c>
      <c r="N115" s="235">
        <v>2006.84</v>
      </c>
      <c r="O115" s="235">
        <v>2006.84</v>
      </c>
      <c r="T115" s="182" t="s">
        <v>708</v>
      </c>
    </row>
    <row r="116" spans="1:31" x14ac:dyDescent="0.15">
      <c r="A116" s="192"/>
      <c r="B116" s="235">
        <v>2183</v>
      </c>
      <c r="C116" s="470">
        <v>2009</v>
      </c>
      <c r="D116" s="235">
        <v>2183</v>
      </c>
      <c r="E116" s="235">
        <v>2183</v>
      </c>
      <c r="F116" s="174">
        <v>2183</v>
      </c>
      <c r="G116" s="235">
        <v>2183</v>
      </c>
      <c r="H116" s="235">
        <v>2183</v>
      </c>
      <c r="I116" s="192"/>
      <c r="J116" s="235">
        <v>2183</v>
      </c>
      <c r="K116" s="235">
        <v>2183</v>
      </c>
      <c r="L116" s="235">
        <f>2183</f>
        <v>2183</v>
      </c>
      <c r="M116" s="235">
        <v>2183</v>
      </c>
      <c r="N116" s="235">
        <v>2183</v>
      </c>
      <c r="O116" s="235">
        <v>2183</v>
      </c>
      <c r="S116" s="438" t="s">
        <v>693</v>
      </c>
      <c r="T116" s="438" t="s">
        <v>694</v>
      </c>
      <c r="U116" s="438" t="s">
        <v>695</v>
      </c>
      <c r="V116" s="438" t="s">
        <v>696</v>
      </c>
      <c r="W116" s="438" t="s">
        <v>697</v>
      </c>
      <c r="X116" s="438" t="s">
        <v>698</v>
      </c>
      <c r="Y116" s="438" t="s">
        <v>699</v>
      </c>
      <c r="Z116" s="438" t="s">
        <v>700</v>
      </c>
      <c r="AA116" s="438" t="s">
        <v>701</v>
      </c>
      <c r="AB116" s="438" t="s">
        <v>702</v>
      </c>
      <c r="AC116" s="438" t="s">
        <v>703</v>
      </c>
      <c r="AD116" s="438" t="s">
        <v>704</v>
      </c>
      <c r="AE116" s="438" t="s">
        <v>705</v>
      </c>
    </row>
    <row r="117" spans="1:31" x14ac:dyDescent="0.15">
      <c r="A117" s="192"/>
      <c r="B117" s="235">
        <v>6288.69</v>
      </c>
      <c r="C117" s="470">
        <v>2010</v>
      </c>
      <c r="D117" s="235">
        <v>6288.69</v>
      </c>
      <c r="E117" s="235">
        <v>6288.69</v>
      </c>
      <c r="F117" s="174">
        <v>6288.69</v>
      </c>
      <c r="G117" s="235">
        <v>6288.69</v>
      </c>
      <c r="H117" s="235">
        <v>6288.69</v>
      </c>
      <c r="I117" s="192"/>
      <c r="J117" s="235">
        <v>6288.69</v>
      </c>
      <c r="K117" s="235">
        <v>6288.69</v>
      </c>
      <c r="L117" s="235">
        <f>6288.69</f>
        <v>6288.69</v>
      </c>
      <c r="M117" s="235">
        <v>6288.69</v>
      </c>
      <c r="N117" s="235">
        <v>6288.69</v>
      </c>
      <c r="O117" s="235">
        <v>6288.69</v>
      </c>
      <c r="Q117" s="438" t="s">
        <v>593</v>
      </c>
      <c r="R117" s="438" t="s">
        <v>591</v>
      </c>
      <c r="S117" s="173">
        <f t="shared" ref="S117:AD117" si="52">S12</f>
        <v>4468633.9647337431</v>
      </c>
      <c r="T117" s="173">
        <f t="shared" si="52"/>
        <v>4708227.1199410772</v>
      </c>
      <c r="U117" s="173">
        <f t="shared" si="52"/>
        <v>5114790.7930173595</v>
      </c>
      <c r="V117" s="173">
        <f t="shared" si="52"/>
        <v>5446025.0809603091</v>
      </c>
      <c r="W117" s="173">
        <f t="shared" si="52"/>
        <v>5359111.0114303362</v>
      </c>
      <c r="X117" s="173">
        <f t="shared" si="52"/>
        <v>4776220.4033494536</v>
      </c>
      <c r="Y117" s="173">
        <f t="shared" si="52"/>
        <v>5346754.4338650769</v>
      </c>
      <c r="Z117" s="173">
        <f t="shared" si="52"/>
        <v>5122723.9475985365</v>
      </c>
      <c r="AA117" s="173">
        <f t="shared" si="52"/>
        <v>4812106.0205798969</v>
      </c>
      <c r="AB117" s="173">
        <f t="shared" si="52"/>
        <v>5069433.7851034533</v>
      </c>
      <c r="AC117" s="173">
        <f t="shared" si="52"/>
        <v>5395441.0570880426</v>
      </c>
      <c r="AD117" s="173">
        <f t="shared" si="52"/>
        <v>7363647.7423327072</v>
      </c>
      <c r="AE117" s="173">
        <f>SUM(S117:AD117)</f>
        <v>62983115.359999992</v>
      </c>
    </row>
    <row r="118" spans="1:31" x14ac:dyDescent="0.15">
      <c r="A118" s="192"/>
      <c r="B118" s="235">
        <v>15642.83</v>
      </c>
      <c r="C118" s="470">
        <v>2011</v>
      </c>
      <c r="D118" s="235">
        <v>15642.83</v>
      </c>
      <c r="E118" s="235">
        <v>15642.83</v>
      </c>
      <c r="F118" s="174">
        <v>15642.83</v>
      </c>
      <c r="G118" s="235">
        <v>15642.83</v>
      </c>
      <c r="H118" s="235">
        <v>15642.83</v>
      </c>
      <c r="I118" s="192"/>
      <c r="J118" s="235">
        <v>15642.83</v>
      </c>
      <c r="K118" s="235">
        <v>15642.83</v>
      </c>
      <c r="L118" s="235">
        <f>15642.83</f>
        <v>15642.83</v>
      </c>
      <c r="M118" s="235">
        <v>15642.83</v>
      </c>
      <c r="N118" s="235">
        <v>15642.83</v>
      </c>
      <c r="O118" s="235">
        <v>13860.18</v>
      </c>
    </row>
    <row r="119" spans="1:31" x14ac:dyDescent="0.15">
      <c r="A119" s="192"/>
      <c r="B119" s="235">
        <v>552537.96</v>
      </c>
      <c r="C119" s="470">
        <v>2012</v>
      </c>
      <c r="D119" s="235">
        <v>515859.13</v>
      </c>
      <c r="E119" s="235">
        <v>479180.3</v>
      </c>
      <c r="F119" s="174">
        <v>442501.47</v>
      </c>
      <c r="G119" s="235">
        <v>405822.64</v>
      </c>
      <c r="H119" s="235">
        <v>369143.81</v>
      </c>
      <c r="I119" s="192"/>
      <c r="J119" s="235">
        <v>369143.81</v>
      </c>
      <c r="K119" s="235">
        <v>332464.98</v>
      </c>
      <c r="L119" s="235">
        <f>259107.32</f>
        <v>259107.32</v>
      </c>
      <c r="M119" s="235">
        <v>222428.49</v>
      </c>
      <c r="N119" s="235">
        <v>185749.66</v>
      </c>
      <c r="O119" s="235">
        <v>142808.62</v>
      </c>
    </row>
    <row r="120" spans="1:31" x14ac:dyDescent="0.15">
      <c r="A120" s="192"/>
      <c r="B120" s="235">
        <v>2038.08</v>
      </c>
      <c r="C120" s="470">
        <v>2013</v>
      </c>
      <c r="D120" s="235">
        <v>2038.08</v>
      </c>
      <c r="E120" s="235">
        <v>2038.08</v>
      </c>
      <c r="F120" s="174">
        <v>2038.08</v>
      </c>
      <c r="G120" s="235">
        <v>2038.08</v>
      </c>
      <c r="H120" s="235">
        <v>2038.08</v>
      </c>
      <c r="I120" s="192"/>
      <c r="J120" s="235">
        <v>2038.08</v>
      </c>
      <c r="K120" s="235">
        <v>2038.08</v>
      </c>
      <c r="L120" s="235">
        <f>2038.08</f>
        <v>2038.08</v>
      </c>
      <c r="M120" s="235">
        <v>2038.08</v>
      </c>
      <c r="N120" s="235">
        <v>2038.08</v>
      </c>
      <c r="O120" s="235">
        <v>1837.44</v>
      </c>
      <c r="R120" s="439" t="s">
        <v>688</v>
      </c>
      <c r="S120" s="438" t="s">
        <v>693</v>
      </c>
      <c r="T120" s="438" t="s">
        <v>694</v>
      </c>
      <c r="U120" s="438" t="s">
        <v>695</v>
      </c>
      <c r="V120" s="438" t="s">
        <v>696</v>
      </c>
      <c r="W120" s="438" t="s">
        <v>697</v>
      </c>
      <c r="X120" s="438" t="s">
        <v>698</v>
      </c>
      <c r="Y120" s="438" t="s">
        <v>699</v>
      </c>
      <c r="Z120" s="438" t="s">
        <v>700</v>
      </c>
      <c r="AA120" s="438" t="s">
        <v>701</v>
      </c>
      <c r="AB120" s="438" t="s">
        <v>702</v>
      </c>
      <c r="AC120" s="438" t="s">
        <v>703</v>
      </c>
      <c r="AD120" s="438" t="s">
        <v>704</v>
      </c>
      <c r="AE120" s="438" t="s">
        <v>705</v>
      </c>
    </row>
    <row r="121" spans="1:31" x14ac:dyDescent="0.15">
      <c r="A121" s="192"/>
      <c r="B121" s="235">
        <v>10782.56</v>
      </c>
      <c r="C121" s="470">
        <v>2014</v>
      </c>
      <c r="D121" s="235">
        <v>10782.56</v>
      </c>
      <c r="E121" s="235">
        <v>10782.56</v>
      </c>
      <c r="F121" s="174">
        <v>10782.56</v>
      </c>
      <c r="G121" s="235">
        <v>10782.56</v>
      </c>
      <c r="H121" s="235">
        <v>10782.56</v>
      </c>
      <c r="I121" s="192"/>
      <c r="J121" s="235">
        <v>10782.56</v>
      </c>
      <c r="K121" s="235">
        <v>10782.56</v>
      </c>
      <c r="L121" s="235">
        <f>10782.56</f>
        <v>10782.56</v>
      </c>
      <c r="M121" s="235">
        <v>10782.56</v>
      </c>
      <c r="N121" s="235">
        <v>10782.56</v>
      </c>
      <c r="O121" s="235">
        <v>10782.56</v>
      </c>
      <c r="Q121" s="438">
        <v>9</v>
      </c>
      <c r="R121" s="438" t="s">
        <v>614</v>
      </c>
      <c r="S121" s="210">
        <f t="shared" ref="S121:AD121" si="53">S32</f>
        <v>4053512.07</v>
      </c>
      <c r="T121" s="210">
        <f t="shared" si="53"/>
        <v>4237008.37</v>
      </c>
      <c r="U121" s="210">
        <f t="shared" si="53"/>
        <v>4799249.1900000004</v>
      </c>
      <c r="V121" s="210">
        <f t="shared" si="53"/>
        <v>4948855.6100000003</v>
      </c>
      <c r="W121" s="210">
        <f t="shared" si="53"/>
        <v>4607360.6399999997</v>
      </c>
      <c r="X121" s="210">
        <f t="shared" si="53"/>
        <v>5112247.3</v>
      </c>
      <c r="Y121" s="210">
        <f t="shared" si="53"/>
        <v>0</v>
      </c>
      <c r="Z121" s="210">
        <f t="shared" si="53"/>
        <v>0</v>
      </c>
      <c r="AA121" s="210">
        <f t="shared" si="53"/>
        <v>0</v>
      </c>
      <c r="AB121" s="210">
        <f t="shared" si="53"/>
        <v>0</v>
      </c>
      <c r="AC121" s="210">
        <f t="shared" si="53"/>
        <v>0</v>
      </c>
      <c r="AD121" s="210">
        <f t="shared" si="53"/>
        <v>0</v>
      </c>
      <c r="AE121" s="173">
        <f>SUM(S121:AD121)</f>
        <v>27758233.18</v>
      </c>
    </row>
    <row r="122" spans="1:31" x14ac:dyDescent="0.15">
      <c r="A122" s="192"/>
      <c r="B122" s="235">
        <v>2407878.4900000002</v>
      </c>
      <c r="C122" s="470">
        <v>2015</v>
      </c>
      <c r="D122" s="235">
        <v>2395224.41</v>
      </c>
      <c r="E122" s="235">
        <v>2382570.33</v>
      </c>
      <c r="F122" s="174">
        <v>2369916.25</v>
      </c>
      <c r="G122" s="235">
        <v>2357262.17</v>
      </c>
      <c r="H122" s="235">
        <v>2344608.09</v>
      </c>
      <c r="I122" s="192"/>
      <c r="J122" s="235">
        <v>2331954.0099999998</v>
      </c>
      <c r="K122" s="235">
        <v>2331954.0099999998</v>
      </c>
      <c r="L122" s="235">
        <f>2306645.85</f>
        <v>2306645.85</v>
      </c>
      <c r="M122" s="235">
        <v>2293991.77</v>
      </c>
      <c r="N122" s="235">
        <v>2281337.69</v>
      </c>
      <c r="O122" s="235">
        <v>2281337.69</v>
      </c>
      <c r="Q122" s="439" t="s">
        <v>687</v>
      </c>
      <c r="R122" s="192" t="s">
        <v>673</v>
      </c>
      <c r="S122" s="210">
        <f t="shared" ref="S122:AE122" si="54">(S121/S90)*100</f>
        <v>31.807091221371365</v>
      </c>
      <c r="T122" s="210">
        <f t="shared" si="54"/>
        <v>26.426888605604816</v>
      </c>
      <c r="U122" s="210">
        <f t="shared" si="54"/>
        <v>28.378617656660843</v>
      </c>
      <c r="V122" s="210">
        <f t="shared" si="54"/>
        <v>29.03858248165837</v>
      </c>
      <c r="W122" s="210">
        <f t="shared" si="54"/>
        <v>27.228269761336165</v>
      </c>
      <c r="X122" s="210">
        <f t="shared" si="54"/>
        <v>27.873083962522955</v>
      </c>
      <c r="Y122" s="210" t="e">
        <f t="shared" si="54"/>
        <v>#DIV/0!</v>
      </c>
      <c r="Z122" s="210" t="e">
        <f t="shared" si="54"/>
        <v>#DIV/0!</v>
      </c>
      <c r="AA122" s="210" t="e">
        <f t="shared" si="54"/>
        <v>#DIV/0!</v>
      </c>
      <c r="AB122" s="210" t="e">
        <f t="shared" si="54"/>
        <v>#DIV/0!</v>
      </c>
      <c r="AC122" s="210" t="e">
        <f t="shared" si="54"/>
        <v>#DIV/0!</v>
      </c>
      <c r="AD122" s="210" t="e">
        <f t="shared" si="54"/>
        <v>#DIV/0!</v>
      </c>
      <c r="AE122" s="211">
        <f t="shared" si="54"/>
        <v>28.326681847950681</v>
      </c>
    </row>
    <row r="123" spans="1:31" x14ac:dyDescent="0.15">
      <c r="A123" s="192"/>
      <c r="B123" s="235">
        <v>1763877.48</v>
      </c>
      <c r="C123" s="470">
        <v>2016</v>
      </c>
      <c r="D123" s="235">
        <v>1749599.82</v>
      </c>
      <c r="E123" s="235">
        <v>1735322.16</v>
      </c>
      <c r="F123" s="174">
        <v>1721044.5</v>
      </c>
      <c r="G123" s="235">
        <v>1706766.84</v>
      </c>
      <c r="H123" s="235">
        <v>1692489.18</v>
      </c>
      <c r="I123" s="192"/>
      <c r="J123" s="235">
        <v>1678211.52</v>
      </c>
      <c r="K123" s="235">
        <v>1678211.52</v>
      </c>
      <c r="L123" s="235">
        <f>1649656.2</f>
        <v>1649656.2</v>
      </c>
      <c r="M123" s="235">
        <v>1635378.54</v>
      </c>
      <c r="N123" s="235">
        <v>1621100.88</v>
      </c>
      <c r="O123" s="235">
        <v>1539560.58</v>
      </c>
      <c r="R123" s="273"/>
      <c r="S123" s="438"/>
      <c r="T123" s="438"/>
      <c r="U123" s="438"/>
      <c r="V123" s="438"/>
      <c r="W123" s="438"/>
      <c r="X123" s="438"/>
      <c r="Y123" s="438"/>
      <c r="Z123" s="438"/>
      <c r="AA123" s="438"/>
      <c r="AB123" s="438"/>
      <c r="AC123" s="438"/>
      <c r="AD123" s="438"/>
      <c r="AE123" s="438"/>
    </row>
    <row r="124" spans="1:31" x14ac:dyDescent="0.15">
      <c r="A124" s="192"/>
      <c r="B124" s="235">
        <v>670372.43000000005</v>
      </c>
      <c r="C124" s="470">
        <v>2017</v>
      </c>
      <c r="D124" s="235">
        <v>633204.9</v>
      </c>
      <c r="E124" s="235">
        <v>596037.37</v>
      </c>
      <c r="F124" s="174">
        <v>558869.84</v>
      </c>
      <c r="G124" s="235">
        <v>521702.31</v>
      </c>
      <c r="H124" s="235">
        <v>484534.78</v>
      </c>
      <c r="I124" s="192"/>
      <c r="J124" s="235">
        <v>447367.25</v>
      </c>
      <c r="K124" s="235">
        <v>447367.25</v>
      </c>
      <c r="L124" s="235">
        <f>374541.89</f>
        <v>374541.89</v>
      </c>
      <c r="M124" s="235">
        <v>335864.66</v>
      </c>
      <c r="N124" s="235">
        <v>298697.13</v>
      </c>
      <c r="O124" s="235">
        <v>298697.13</v>
      </c>
      <c r="Q124" s="438" t="s">
        <v>709</v>
      </c>
      <c r="R124" s="438"/>
      <c r="S124" s="177">
        <f t="shared" ref="S124:AE124" si="55">S121/$AE$121</f>
        <v>0.14602918145815502</v>
      </c>
      <c r="T124" s="177">
        <f t="shared" si="55"/>
        <v>0.15263969945510775</v>
      </c>
      <c r="U124" s="177">
        <f t="shared" si="55"/>
        <v>0.17289462044932646</v>
      </c>
      <c r="V124" s="177">
        <f t="shared" si="55"/>
        <v>0.17828424373802312</v>
      </c>
      <c r="W124" s="177">
        <f t="shared" si="55"/>
        <v>0.16598176872869685</v>
      </c>
      <c r="X124" s="177">
        <f t="shared" si="55"/>
        <v>0.18417048617069079</v>
      </c>
      <c r="Y124" s="177">
        <f t="shared" si="55"/>
        <v>0</v>
      </c>
      <c r="Z124" s="177">
        <f t="shared" si="55"/>
        <v>0</v>
      </c>
      <c r="AA124" s="177">
        <f t="shared" si="55"/>
        <v>0</v>
      </c>
      <c r="AB124" s="177">
        <f t="shared" si="55"/>
        <v>0</v>
      </c>
      <c r="AC124" s="177">
        <f t="shared" si="55"/>
        <v>0</v>
      </c>
      <c r="AD124" s="177">
        <f t="shared" si="55"/>
        <v>0</v>
      </c>
      <c r="AE124" s="177">
        <f t="shared" si="55"/>
        <v>1</v>
      </c>
    </row>
    <row r="125" spans="1:31" ht="12.75" customHeight="1" x14ac:dyDescent="0.15">
      <c r="A125" s="192"/>
      <c r="B125" s="235">
        <v>437406.15</v>
      </c>
      <c r="C125" s="470">
        <v>2018</v>
      </c>
      <c r="D125" s="235">
        <v>437406.15</v>
      </c>
      <c r="E125" s="235">
        <v>437406.15</v>
      </c>
      <c r="F125" s="174">
        <v>437406.15</v>
      </c>
      <c r="G125" s="235">
        <v>435511.15</v>
      </c>
      <c r="H125" s="235">
        <v>435511.15</v>
      </c>
      <c r="I125" s="192"/>
      <c r="J125" s="235">
        <v>435511.15</v>
      </c>
      <c r="K125" s="235">
        <v>435511.15</v>
      </c>
      <c r="L125" s="235">
        <f>435511.15</f>
        <v>435511.15</v>
      </c>
      <c r="M125" s="235">
        <v>435511.15</v>
      </c>
      <c r="N125" s="235">
        <v>435511.15</v>
      </c>
      <c r="O125" s="235">
        <v>120179.98</v>
      </c>
    </row>
    <row r="126" spans="1:31" x14ac:dyDescent="0.15">
      <c r="A126" s="192"/>
      <c r="B126" s="235">
        <v>40266.400000000001</v>
      </c>
      <c r="C126" s="470">
        <v>2019</v>
      </c>
      <c r="D126" s="235">
        <v>40266.400000000001</v>
      </c>
      <c r="E126" s="235">
        <v>40266.400000000001</v>
      </c>
      <c r="F126" s="174">
        <v>40266.400000000001</v>
      </c>
      <c r="G126" s="235">
        <v>40266.400000000001</v>
      </c>
      <c r="H126" s="235">
        <v>40266.400000000001</v>
      </c>
      <c r="I126" s="192"/>
      <c r="J126" s="235">
        <v>40266.400000000001</v>
      </c>
      <c r="K126" s="235">
        <v>40266.400000000001</v>
      </c>
      <c r="L126" s="235">
        <f>40266.4</f>
        <v>40266.400000000001</v>
      </c>
      <c r="M126" s="235">
        <v>40266.400000000001</v>
      </c>
      <c r="N126" s="235">
        <v>40266.400000000001</v>
      </c>
      <c r="O126" s="235">
        <v>40234.5</v>
      </c>
      <c r="S126" s="182" t="s">
        <v>1626</v>
      </c>
      <c r="AE126" s="225" t="s">
        <v>710</v>
      </c>
    </row>
    <row r="127" spans="1:31" x14ac:dyDescent="0.15">
      <c r="A127" s="192"/>
      <c r="B127" s="235">
        <v>4378455.01</v>
      </c>
      <c r="C127" s="470">
        <v>2020</v>
      </c>
      <c r="D127" s="235">
        <v>4283204.92</v>
      </c>
      <c r="E127" s="235">
        <v>4187907.22</v>
      </c>
      <c r="F127" s="174">
        <v>4092657.13</v>
      </c>
      <c r="G127" s="235">
        <v>3997407.04</v>
      </c>
      <c r="H127" s="235">
        <v>3902082.95</v>
      </c>
      <c r="I127" s="192"/>
      <c r="J127" s="235">
        <v>3806277.81</v>
      </c>
      <c r="K127" s="235">
        <v>3711027.72</v>
      </c>
      <c r="L127" s="235">
        <f>3615777.63</f>
        <v>3615777.63</v>
      </c>
      <c r="M127" s="235">
        <v>3510516.17</v>
      </c>
      <c r="N127" s="235">
        <v>3414350.83</v>
      </c>
      <c r="O127" s="235">
        <v>3136780.64</v>
      </c>
      <c r="Q127" s="206" t="s">
        <v>625</v>
      </c>
      <c r="R127" s="207"/>
      <c r="S127" s="177" t="s">
        <v>31</v>
      </c>
      <c r="T127" s="208">
        <f>S121+T121</f>
        <v>8290520.4399999995</v>
      </c>
      <c r="U127" s="177" t="s">
        <v>7</v>
      </c>
      <c r="V127" s="209">
        <f>U121+V121</f>
        <v>9748104.8000000007</v>
      </c>
      <c r="W127" s="177" t="s">
        <v>8</v>
      </c>
      <c r="X127" s="209">
        <f>W121+X121</f>
        <v>9719607.9399999995</v>
      </c>
      <c r="Y127" s="177" t="s">
        <v>9</v>
      </c>
      <c r="Z127" s="209">
        <f>Y121+Z121</f>
        <v>0</v>
      </c>
      <c r="AA127" s="177" t="s">
        <v>626</v>
      </c>
      <c r="AB127" s="209">
        <f>AA121+AB121</f>
        <v>0</v>
      </c>
      <c r="AC127" s="177" t="s">
        <v>627</v>
      </c>
      <c r="AD127" s="209">
        <f>AC121+AD121</f>
        <v>0</v>
      </c>
      <c r="AE127" s="137">
        <f>SUM(S127:AD127)</f>
        <v>27758233.18</v>
      </c>
    </row>
    <row r="128" spans="1:31" x14ac:dyDescent="0.15">
      <c r="A128" s="192"/>
      <c r="B128" s="235">
        <v>286579.53000000003</v>
      </c>
      <c r="C128" s="470">
        <v>2021</v>
      </c>
      <c r="D128" s="235">
        <v>286579.53000000003</v>
      </c>
      <c r="E128" s="235">
        <v>285684.53000000003</v>
      </c>
      <c r="F128" s="174">
        <v>502483.33</v>
      </c>
      <c r="G128" s="235">
        <v>275432.53000000003</v>
      </c>
      <c r="H128" s="235">
        <v>336718.42</v>
      </c>
      <c r="I128" s="192"/>
      <c r="J128" s="235">
        <v>261470.53</v>
      </c>
      <c r="K128" s="235">
        <v>261200.53</v>
      </c>
      <c r="L128" s="235">
        <f>241688.53</f>
        <v>241688.53</v>
      </c>
      <c r="M128" s="235">
        <v>241688.53</v>
      </c>
      <c r="N128" s="235">
        <v>241688.53</v>
      </c>
      <c r="O128" s="235">
        <v>240388.53</v>
      </c>
    </row>
    <row r="129" spans="1:34" x14ac:dyDescent="0.15">
      <c r="A129" s="192"/>
      <c r="B129" s="235">
        <v>9269331.7100000009</v>
      </c>
      <c r="C129" s="470">
        <v>2022</v>
      </c>
      <c r="D129" s="235">
        <v>7892141.8200000003</v>
      </c>
      <c r="E129" s="235">
        <v>7467860.5800000001</v>
      </c>
      <c r="F129" s="174">
        <v>7538047.8899999997</v>
      </c>
      <c r="G129" s="235">
        <v>7381769.6200000001</v>
      </c>
      <c r="H129" s="235">
        <v>7300569.4299999997</v>
      </c>
      <c r="I129" s="192"/>
      <c r="J129" s="235">
        <v>7274036.8700000001</v>
      </c>
      <c r="K129" s="235">
        <v>7227178.6399999997</v>
      </c>
      <c r="L129" s="235">
        <f>6957890.92</f>
        <v>6957890.9199999999</v>
      </c>
      <c r="M129" s="235">
        <v>6529308.46</v>
      </c>
      <c r="N129" s="235">
        <v>6317754.2300000004</v>
      </c>
      <c r="O129" s="235">
        <v>6296106.1799999997</v>
      </c>
      <c r="S129" s="229" t="s">
        <v>1452</v>
      </c>
      <c r="T129" s="230"/>
      <c r="U129" s="230"/>
      <c r="V129" s="231" t="s">
        <v>1627</v>
      </c>
      <c r="W129" s="231"/>
      <c r="Y129" s="229"/>
      <c r="Z129" s="232" t="s">
        <v>98</v>
      </c>
    </row>
    <row r="130" spans="1:34" x14ac:dyDescent="0.15">
      <c r="A130" s="192"/>
      <c r="B130" s="240">
        <f>SUM(B113:B129)</f>
        <v>19847446.41</v>
      </c>
      <c r="C130" s="192"/>
      <c r="D130" s="240">
        <f>SUM(D113:D129)</f>
        <v>18274228.329999998</v>
      </c>
      <c r="E130" s="240">
        <f>SUM(E113:E129)</f>
        <v>17652976.289999999</v>
      </c>
      <c r="F130" s="241">
        <f>SUM(F113:F129)</f>
        <v>17743934.210000001</v>
      </c>
      <c r="G130" s="241">
        <f>SUM(G113:G129)</f>
        <v>17162681.949999999</v>
      </c>
      <c r="H130" s="241">
        <f>SUM(H113:H129)</f>
        <v>16946665.460000001</v>
      </c>
      <c r="I130" s="192"/>
      <c r="J130" s="241">
        <f t="shared" ref="J130:O130" si="56">SUM(J113:J129)</f>
        <v>16684980.600000001</v>
      </c>
      <c r="K130" s="241">
        <f t="shared" si="56"/>
        <v>16505923.449999999</v>
      </c>
      <c r="L130" s="241">
        <f t="shared" si="56"/>
        <v>15921827.140000001</v>
      </c>
      <c r="M130" s="241">
        <f t="shared" si="56"/>
        <v>15285695.419999998</v>
      </c>
      <c r="N130" s="241">
        <f t="shared" si="56"/>
        <v>14877197.750000002</v>
      </c>
      <c r="O130" s="1050">
        <f t="shared" si="56"/>
        <v>14134851.810000002</v>
      </c>
      <c r="S130" s="229" t="s">
        <v>99</v>
      </c>
      <c r="T130" s="230"/>
      <c r="U130" s="230"/>
      <c r="V130" s="231" t="s">
        <v>100</v>
      </c>
      <c r="W130" s="231"/>
      <c r="Y130" s="229"/>
      <c r="Z130" s="232" t="s">
        <v>101</v>
      </c>
    </row>
    <row r="131" spans="1:34" x14ac:dyDescent="0.15">
      <c r="B131" s="167">
        <f>19847446.41-B130</f>
        <v>0</v>
      </c>
      <c r="D131" s="167">
        <f>18274228.33-D130</f>
        <v>0</v>
      </c>
      <c r="E131" s="167">
        <f>17652976.29-E130</f>
        <v>0</v>
      </c>
      <c r="F131" s="167">
        <f>17743934.21-F130</f>
        <v>0</v>
      </c>
      <c r="G131" s="204">
        <f>17162681.95-G130</f>
        <v>0</v>
      </c>
      <c r="H131" s="204">
        <f>16946665.46-H130</f>
        <v>0</v>
      </c>
      <c r="J131" s="167">
        <f>J130-16684980.6</f>
        <v>0</v>
      </c>
      <c r="K131" s="167">
        <f>K130-16505923.45</f>
        <v>0</v>
      </c>
      <c r="L131" s="437">
        <f>15921827.14-L130</f>
        <v>0</v>
      </c>
      <c r="M131" s="414">
        <f>15285695.42-M130</f>
        <v>0</v>
      </c>
      <c r="N131" s="414">
        <f>14877197.75-N130</f>
        <v>0</v>
      </c>
      <c r="O131" s="414">
        <f>14134851.81-O130</f>
        <v>0</v>
      </c>
    </row>
    <row r="132" spans="1:34" x14ac:dyDescent="0.15">
      <c r="A132" s="242" t="s">
        <v>574</v>
      </c>
      <c r="B132" s="469" t="s">
        <v>662</v>
      </c>
      <c r="C132" s="242" t="s">
        <v>663</v>
      </c>
      <c r="D132" s="243" t="s">
        <v>576</v>
      </c>
      <c r="E132" s="242" t="s">
        <v>577</v>
      </c>
      <c r="F132" s="243" t="s">
        <v>578</v>
      </c>
      <c r="G132" s="242" t="s">
        <v>579</v>
      </c>
      <c r="H132" s="243" t="s">
        <v>580</v>
      </c>
      <c r="I132" s="244"/>
      <c r="J132" s="243" t="s">
        <v>581</v>
      </c>
      <c r="K132" s="242" t="s">
        <v>582</v>
      </c>
      <c r="L132" s="245" t="s">
        <v>583</v>
      </c>
      <c r="M132" s="242" t="s">
        <v>584</v>
      </c>
      <c r="N132" s="243" t="s">
        <v>585</v>
      </c>
      <c r="O132" s="242" t="s">
        <v>586</v>
      </c>
    </row>
    <row r="133" spans="1:34" x14ac:dyDescent="0.15">
      <c r="A133" s="246">
        <f t="shared" ref="A133:A149" si="57">O157</f>
        <v>4383.53</v>
      </c>
      <c r="B133" s="247">
        <v>4383.53</v>
      </c>
      <c r="C133" s="248">
        <v>2004</v>
      </c>
      <c r="D133" s="247">
        <v>4383.53</v>
      </c>
      <c r="E133" s="249">
        <v>4383.53</v>
      </c>
      <c r="F133" s="247">
        <v>4383.53</v>
      </c>
      <c r="G133" s="249">
        <v>4383.53</v>
      </c>
      <c r="H133" s="247">
        <v>4383.53</v>
      </c>
      <c r="I133" s="244"/>
      <c r="J133" s="247">
        <v>4383.53</v>
      </c>
      <c r="K133" s="249">
        <v>4383.53</v>
      </c>
      <c r="L133" s="247">
        <v>4383.53</v>
      </c>
      <c r="M133" s="250">
        <v>4383.53</v>
      </c>
      <c r="N133" s="247">
        <v>4383.53</v>
      </c>
      <c r="O133" s="251"/>
      <c r="R133" s="56"/>
      <c r="AB133" s="56"/>
    </row>
    <row r="134" spans="1:34" x14ac:dyDescent="0.15">
      <c r="A134" s="252">
        <f t="shared" si="57"/>
        <v>57.84</v>
      </c>
      <c r="B134" s="253">
        <v>57.84</v>
      </c>
      <c r="C134" s="194">
        <v>2005</v>
      </c>
      <c r="D134" s="253">
        <v>57.84</v>
      </c>
      <c r="E134" s="254">
        <v>57.84</v>
      </c>
      <c r="F134" s="253">
        <v>57.84</v>
      </c>
      <c r="G134" s="254">
        <v>57.84</v>
      </c>
      <c r="H134" s="253">
        <v>57.84</v>
      </c>
      <c r="I134" s="254"/>
      <c r="J134" s="253">
        <v>57.84</v>
      </c>
      <c r="K134" s="255">
        <v>57.84</v>
      </c>
      <c r="L134" s="256">
        <v>57.84</v>
      </c>
      <c r="M134" s="257">
        <v>57.84</v>
      </c>
      <c r="N134" s="256">
        <v>57.84</v>
      </c>
      <c r="O134" s="251">
        <v>57.84</v>
      </c>
      <c r="Q134" s="413"/>
      <c r="R134" s="413"/>
      <c r="S134" s="413"/>
      <c r="T134" s="413"/>
      <c r="U134" s="413"/>
      <c r="V134" s="413"/>
      <c r="W134" s="413"/>
      <c r="X134" s="413"/>
      <c r="Y134" s="413"/>
      <c r="Z134" s="413"/>
      <c r="AA134" s="413"/>
      <c r="AB134" s="413"/>
      <c r="AC134" s="413"/>
      <c r="AD134" s="413"/>
      <c r="AE134" s="413"/>
      <c r="AF134" s="413"/>
      <c r="AG134" s="413"/>
      <c r="AH134" s="413"/>
    </row>
    <row r="135" spans="1:34" x14ac:dyDescent="0.15">
      <c r="A135" s="252">
        <f t="shared" si="57"/>
        <v>1022.7</v>
      </c>
      <c r="B135" s="256">
        <v>1022.7</v>
      </c>
      <c r="C135" s="194">
        <v>2006</v>
      </c>
      <c r="D135" s="256">
        <v>1022.7</v>
      </c>
      <c r="E135" s="255">
        <v>1022.7</v>
      </c>
      <c r="F135" s="256">
        <v>376.17</v>
      </c>
      <c r="G135" s="255">
        <v>1022.7</v>
      </c>
      <c r="H135" s="256">
        <v>1022.7</v>
      </c>
      <c r="I135" s="254"/>
      <c r="J135" s="256">
        <v>1022.7</v>
      </c>
      <c r="K135" s="255">
        <v>1022.7</v>
      </c>
      <c r="L135" s="256">
        <v>1022.7</v>
      </c>
      <c r="M135" s="257">
        <v>376.17</v>
      </c>
      <c r="N135" s="256">
        <v>1022.7</v>
      </c>
      <c r="O135" s="258">
        <v>1022.7</v>
      </c>
    </row>
    <row r="136" spans="1:34" x14ac:dyDescent="0.15">
      <c r="A136" s="252">
        <f t="shared" si="57"/>
        <v>776.55</v>
      </c>
      <c r="B136" s="256">
        <v>776.55</v>
      </c>
      <c r="C136" s="194">
        <v>2007</v>
      </c>
      <c r="D136" s="256">
        <v>776.55</v>
      </c>
      <c r="E136" s="255">
        <v>776.55</v>
      </c>
      <c r="F136" s="256">
        <v>776.55</v>
      </c>
      <c r="G136" s="255">
        <v>776.55</v>
      </c>
      <c r="H136" s="256">
        <v>776.55</v>
      </c>
      <c r="I136" s="254"/>
      <c r="J136" s="256">
        <v>776.55</v>
      </c>
      <c r="K136" s="255">
        <v>776.55</v>
      </c>
      <c r="L136" s="256">
        <v>776.55</v>
      </c>
      <c r="M136" s="257">
        <v>776.55</v>
      </c>
      <c r="N136" s="256">
        <v>776.55</v>
      </c>
      <c r="O136" s="258">
        <v>776.55</v>
      </c>
    </row>
    <row r="137" spans="1:34" x14ac:dyDescent="0.15">
      <c r="A137" s="252">
        <f t="shared" si="57"/>
        <v>2046.08</v>
      </c>
      <c r="B137" s="256">
        <v>2046.08</v>
      </c>
      <c r="C137" s="194">
        <v>2008</v>
      </c>
      <c r="D137" s="256">
        <v>2046.08</v>
      </c>
      <c r="E137" s="255">
        <v>2046.08</v>
      </c>
      <c r="F137" s="256">
        <v>1737.19</v>
      </c>
      <c r="G137" s="255">
        <v>2046.08</v>
      </c>
      <c r="H137" s="256">
        <v>2046.08</v>
      </c>
      <c r="I137" s="254"/>
      <c r="J137" s="256">
        <v>2046.08</v>
      </c>
      <c r="K137" s="255">
        <v>2046.08</v>
      </c>
      <c r="L137" s="256">
        <v>2046.08</v>
      </c>
      <c r="M137" s="257">
        <v>1737.19</v>
      </c>
      <c r="N137" s="256">
        <v>2006.84</v>
      </c>
      <c r="O137" s="258">
        <v>2006.84</v>
      </c>
    </row>
    <row r="138" spans="1:34" x14ac:dyDescent="0.15">
      <c r="A138" s="252">
        <f t="shared" si="57"/>
        <v>2230.9</v>
      </c>
      <c r="B138" s="256">
        <v>2230.9</v>
      </c>
      <c r="C138" s="194">
        <v>2009</v>
      </c>
      <c r="D138" s="256">
        <v>2230.9</v>
      </c>
      <c r="E138" s="255">
        <v>2230.9</v>
      </c>
      <c r="F138" s="256">
        <v>1779.08</v>
      </c>
      <c r="G138" s="255">
        <v>2230.9</v>
      </c>
      <c r="H138" s="256">
        <v>2230.9</v>
      </c>
      <c r="I138" s="254"/>
      <c r="J138" s="256">
        <v>2230.9</v>
      </c>
      <c r="K138" s="255">
        <v>2230.9</v>
      </c>
      <c r="L138" s="256">
        <v>2230.9</v>
      </c>
      <c r="M138" s="257">
        <v>1779.08</v>
      </c>
      <c r="N138" s="256">
        <v>2183</v>
      </c>
      <c r="O138" s="258">
        <v>2183</v>
      </c>
    </row>
    <row r="139" spans="1:34" x14ac:dyDescent="0.15">
      <c r="A139" s="252">
        <f t="shared" si="57"/>
        <v>7980.88</v>
      </c>
      <c r="B139" s="256">
        <v>7980.88</v>
      </c>
      <c r="C139" s="194">
        <v>2010</v>
      </c>
      <c r="D139" s="256">
        <v>7980.88</v>
      </c>
      <c r="E139" s="255">
        <v>7980.88</v>
      </c>
      <c r="F139" s="256">
        <v>6480.66</v>
      </c>
      <c r="G139" s="255">
        <v>7980.88</v>
      </c>
      <c r="H139" s="256">
        <v>7980.88</v>
      </c>
      <c r="I139" s="254"/>
      <c r="J139" s="256">
        <v>7980.88</v>
      </c>
      <c r="K139" s="255">
        <v>7980.88</v>
      </c>
      <c r="L139" s="256">
        <v>7980.88</v>
      </c>
      <c r="M139" s="257">
        <v>6480.66</v>
      </c>
      <c r="N139" s="256">
        <v>6544.49</v>
      </c>
      <c r="O139" s="258">
        <v>6288.69</v>
      </c>
    </row>
    <row r="140" spans="1:34" x14ac:dyDescent="0.15">
      <c r="A140" s="252">
        <f t="shared" si="57"/>
        <v>172953.87</v>
      </c>
      <c r="B140" s="256">
        <v>172953.87</v>
      </c>
      <c r="C140" s="194">
        <v>2011</v>
      </c>
      <c r="D140" s="256">
        <v>172953.87</v>
      </c>
      <c r="E140" s="255">
        <v>172953.87</v>
      </c>
      <c r="F140" s="256">
        <v>169801.14</v>
      </c>
      <c r="G140" s="255">
        <v>172953.87</v>
      </c>
      <c r="H140" s="256">
        <v>172953.87</v>
      </c>
      <c r="I140" s="254"/>
      <c r="J140" s="256">
        <v>172953.87</v>
      </c>
      <c r="K140" s="255">
        <v>172953.87</v>
      </c>
      <c r="L140" s="256">
        <v>172953.87</v>
      </c>
      <c r="M140" s="257">
        <v>169801.14</v>
      </c>
      <c r="N140" s="256">
        <v>161659.35999999999</v>
      </c>
      <c r="O140" s="258">
        <v>15642.83</v>
      </c>
    </row>
    <row r="141" spans="1:34" x14ac:dyDescent="0.15">
      <c r="A141" s="252">
        <f t="shared" si="57"/>
        <v>1853617.76</v>
      </c>
      <c r="B141" s="256">
        <v>1840064.14</v>
      </c>
      <c r="C141" s="194">
        <v>2012</v>
      </c>
      <c r="D141" s="256">
        <v>1826510.52</v>
      </c>
      <c r="E141" s="255">
        <v>1812792.97</v>
      </c>
      <c r="F141" s="256">
        <v>1798786.57</v>
      </c>
      <c r="G141" s="255">
        <v>1782458.96</v>
      </c>
      <c r="H141" s="256">
        <v>1768905.34</v>
      </c>
      <c r="I141" s="254"/>
      <c r="J141" s="256">
        <v>1755351.72</v>
      </c>
      <c r="K141" s="255">
        <v>1741666.83</v>
      </c>
      <c r="L141" s="256">
        <v>1727981.94</v>
      </c>
      <c r="M141" s="257">
        <v>1681493.98</v>
      </c>
      <c r="N141" s="256">
        <v>1617481.78</v>
      </c>
      <c r="O141" s="258">
        <v>589216.79</v>
      </c>
    </row>
    <row r="142" spans="1:34" x14ac:dyDescent="0.15">
      <c r="A142" s="252">
        <f t="shared" si="57"/>
        <v>10667.58</v>
      </c>
      <c r="B142" s="256">
        <v>10667.58</v>
      </c>
      <c r="C142" s="194">
        <v>2013</v>
      </c>
      <c r="D142" s="256">
        <v>10667.58</v>
      </c>
      <c r="E142" s="255">
        <v>10667.58</v>
      </c>
      <c r="F142" s="256">
        <v>9489.8700000000008</v>
      </c>
      <c r="G142" s="255">
        <v>10667.58</v>
      </c>
      <c r="H142" s="256">
        <v>10667.58</v>
      </c>
      <c r="I142" s="254"/>
      <c r="J142" s="256">
        <v>10667.58</v>
      </c>
      <c r="K142" s="255">
        <v>10667.58</v>
      </c>
      <c r="L142" s="256">
        <v>10667.58</v>
      </c>
      <c r="M142" s="257">
        <v>9489.8700000000008</v>
      </c>
      <c r="N142" s="256">
        <v>6526.33</v>
      </c>
      <c r="O142" s="258">
        <v>2038.08</v>
      </c>
    </row>
    <row r="143" spans="1:34" x14ac:dyDescent="0.15">
      <c r="A143" s="252">
        <f t="shared" si="57"/>
        <v>262666.27</v>
      </c>
      <c r="B143" s="256">
        <v>239850.34</v>
      </c>
      <c r="C143" s="194">
        <v>2014</v>
      </c>
      <c r="D143" s="256">
        <v>217034.41</v>
      </c>
      <c r="E143" s="255">
        <v>194218.48</v>
      </c>
      <c r="F143" s="256">
        <v>191899.2</v>
      </c>
      <c r="G143" s="255">
        <v>148586.62</v>
      </c>
      <c r="H143" s="256">
        <v>125770.69</v>
      </c>
      <c r="I143" s="254"/>
      <c r="J143" s="256">
        <v>102954.76</v>
      </c>
      <c r="K143" s="255">
        <v>79925.05</v>
      </c>
      <c r="L143" s="256">
        <v>56895.34</v>
      </c>
      <c r="M143" s="257">
        <v>50378.79</v>
      </c>
      <c r="N143" s="256">
        <v>29189.14</v>
      </c>
      <c r="O143" s="258">
        <v>10782.56</v>
      </c>
    </row>
    <row r="144" spans="1:34" x14ac:dyDescent="0.15">
      <c r="A144" s="252">
        <f t="shared" si="57"/>
        <v>2976030.69</v>
      </c>
      <c r="B144" s="256">
        <v>2963376.61</v>
      </c>
      <c r="C144" s="194">
        <v>2015</v>
      </c>
      <c r="D144" s="256">
        <v>2950722.53</v>
      </c>
      <c r="E144" s="255">
        <v>2938068.45</v>
      </c>
      <c r="F144" s="256">
        <v>2938068.45</v>
      </c>
      <c r="G144" s="255">
        <v>2912760.29</v>
      </c>
      <c r="H144" s="256">
        <v>2900106.21</v>
      </c>
      <c r="I144" s="254"/>
      <c r="J144" s="256">
        <v>2887452.13</v>
      </c>
      <c r="K144" s="255">
        <v>2874662.04</v>
      </c>
      <c r="L144" s="256">
        <v>2861871.95</v>
      </c>
      <c r="M144" s="257">
        <v>2849217.87</v>
      </c>
      <c r="N144" s="256">
        <v>2815379.34</v>
      </c>
      <c r="O144" s="258">
        <v>2420532.5699999998</v>
      </c>
    </row>
    <row r="145" spans="1:15" x14ac:dyDescent="0.15">
      <c r="A145" s="252">
        <f t="shared" si="57"/>
        <v>3090443.38</v>
      </c>
      <c r="B145" s="256">
        <v>3076165.72</v>
      </c>
      <c r="C145" s="194">
        <v>2016</v>
      </c>
      <c r="D145" s="256">
        <v>3061888.06</v>
      </c>
      <c r="E145" s="255">
        <v>3047610.4</v>
      </c>
      <c r="F145" s="256">
        <v>3046096.7</v>
      </c>
      <c r="G145" s="255">
        <v>3019055.08</v>
      </c>
      <c r="H145" s="256">
        <v>3004777.42</v>
      </c>
      <c r="I145" s="254"/>
      <c r="J145" s="256">
        <v>2990499.76</v>
      </c>
      <c r="K145" s="255">
        <v>2976151.94</v>
      </c>
      <c r="L145" s="256">
        <v>2961804.12</v>
      </c>
      <c r="M145" s="257">
        <v>2946012.76</v>
      </c>
      <c r="N145" s="256">
        <v>2933248.8</v>
      </c>
      <c r="O145" s="258">
        <v>1778155.14</v>
      </c>
    </row>
    <row r="146" spans="1:15" x14ac:dyDescent="0.15">
      <c r="A146" s="252">
        <f t="shared" si="57"/>
        <v>1983979.69</v>
      </c>
      <c r="B146" s="256">
        <v>1946694.19</v>
      </c>
      <c r="C146" s="194">
        <v>2017</v>
      </c>
      <c r="D146" s="256">
        <v>1909408.69</v>
      </c>
      <c r="E146" s="255">
        <v>1872123.19</v>
      </c>
      <c r="F146" s="256">
        <v>1872123.19</v>
      </c>
      <c r="G146" s="255">
        <v>1797552.19</v>
      </c>
      <c r="H146" s="256">
        <v>1760285.38</v>
      </c>
      <c r="I146" s="254"/>
      <c r="J146" s="256">
        <v>1723018.57</v>
      </c>
      <c r="K146" s="255">
        <v>1685664.02</v>
      </c>
      <c r="L146" s="256">
        <v>1648309.47</v>
      </c>
      <c r="M146" s="257">
        <v>1611141.94</v>
      </c>
      <c r="N146" s="256">
        <v>1573974.41</v>
      </c>
      <c r="O146" s="258">
        <v>707539.96</v>
      </c>
    </row>
    <row r="147" spans="1:15" x14ac:dyDescent="0.15">
      <c r="A147" s="252">
        <f t="shared" si="57"/>
        <v>1947123.88</v>
      </c>
      <c r="B147" s="256">
        <v>1947123.88</v>
      </c>
      <c r="C147" s="194">
        <v>2018</v>
      </c>
      <c r="D147" s="256">
        <v>1947123.88</v>
      </c>
      <c r="E147" s="255">
        <v>1947123.88</v>
      </c>
      <c r="F147" s="256">
        <v>1945507.17</v>
      </c>
      <c r="G147" s="255">
        <v>1942352.88</v>
      </c>
      <c r="H147" s="256">
        <v>1942352.88</v>
      </c>
      <c r="I147" s="254"/>
      <c r="J147" s="256">
        <v>1942352.88</v>
      </c>
      <c r="K147" s="255">
        <v>1942352.88</v>
      </c>
      <c r="L147" s="256">
        <v>1942352.88</v>
      </c>
      <c r="M147" s="257">
        <v>1940736.17</v>
      </c>
      <c r="N147" s="256">
        <v>1942352.88</v>
      </c>
      <c r="O147" s="258">
        <v>437406.15</v>
      </c>
    </row>
    <row r="148" spans="1:15" x14ac:dyDescent="0.15">
      <c r="A148" s="252">
        <f t="shared" si="57"/>
        <v>1589682.36</v>
      </c>
      <c r="B148" s="256">
        <v>1589682.36</v>
      </c>
      <c r="C148" s="194">
        <v>2019</v>
      </c>
      <c r="D148" s="256">
        <v>1589682.36</v>
      </c>
      <c r="E148" s="255">
        <v>1589682.36</v>
      </c>
      <c r="F148" s="256">
        <v>1586108.09</v>
      </c>
      <c r="G148" s="255">
        <v>1587718.75</v>
      </c>
      <c r="H148" s="256">
        <v>1581519.24</v>
      </c>
      <c r="I148" s="254"/>
      <c r="J148" s="256">
        <v>1581519.24</v>
      </c>
      <c r="K148" s="255">
        <v>1581519.24</v>
      </c>
      <c r="L148" s="256">
        <v>1581519.24</v>
      </c>
      <c r="M148" s="257">
        <v>1577944.97</v>
      </c>
      <c r="N148" s="256">
        <v>1581519.24</v>
      </c>
      <c r="O148" s="258">
        <v>40266.400000000001</v>
      </c>
    </row>
    <row r="149" spans="1:15" x14ac:dyDescent="0.15">
      <c r="A149" s="252">
        <f t="shared" si="57"/>
        <v>5680688.5700000003</v>
      </c>
      <c r="B149" s="256">
        <v>5574403.1600000001</v>
      </c>
      <c r="C149" s="194">
        <v>2020</v>
      </c>
      <c r="D149" s="256">
        <v>5452349.8099999996</v>
      </c>
      <c r="E149" s="255">
        <v>5428351.1900000004</v>
      </c>
      <c r="F149" s="256">
        <v>5425688.5499999998</v>
      </c>
      <c r="G149" s="255">
        <v>5160820.26</v>
      </c>
      <c r="H149" s="256">
        <v>5071879.8</v>
      </c>
      <c r="I149" s="254"/>
      <c r="J149" s="256">
        <v>4974185.5599999996</v>
      </c>
      <c r="K149" s="255">
        <v>4878471.75</v>
      </c>
      <c r="L149" s="256">
        <v>4765345.7</v>
      </c>
      <c r="M149" s="252">
        <v>4667432.97</v>
      </c>
      <c r="N149" s="256">
        <v>4574845.5199999996</v>
      </c>
      <c r="O149" s="258">
        <v>4473705.0999999996</v>
      </c>
    </row>
    <row r="150" spans="1:15" x14ac:dyDescent="0.15">
      <c r="A150" s="259">
        <v>1358407.71</v>
      </c>
      <c r="B150" s="260">
        <v>1358407.71</v>
      </c>
      <c r="C150" s="88">
        <v>2021</v>
      </c>
      <c r="D150" s="260">
        <v>1101746.45</v>
      </c>
      <c r="E150" s="261">
        <v>1192060.05</v>
      </c>
      <c r="F150" s="260">
        <v>1191267.1599999999</v>
      </c>
      <c r="G150" s="261">
        <v>774491.43</v>
      </c>
      <c r="H150" s="260">
        <v>721135.3</v>
      </c>
      <c r="I150" s="262"/>
      <c r="J150" s="260">
        <v>545689.11</v>
      </c>
      <c r="K150" s="261">
        <v>531930.01</v>
      </c>
      <c r="L150" s="260">
        <v>462235.07</v>
      </c>
      <c r="M150" s="252">
        <v>458930.18</v>
      </c>
      <c r="N150" s="263">
        <v>563972.44999999995</v>
      </c>
      <c r="O150" s="258">
        <v>469683.20000000001</v>
      </c>
    </row>
    <row r="151" spans="1:15" x14ac:dyDescent="0.15">
      <c r="A151" s="259">
        <f>SUM(A133:A150)</f>
        <v>20944760.240000002</v>
      </c>
      <c r="B151" s="260">
        <f>SUM(B133:B150)</f>
        <v>20737888.039999999</v>
      </c>
      <c r="C151" s="264">
        <f>20737888.04-B151</f>
        <v>0</v>
      </c>
      <c r="D151" s="260">
        <f>SUM(D133:D150)</f>
        <v>20258586.639999997</v>
      </c>
      <c r="E151" s="261">
        <f>SUM(E133:E150)</f>
        <v>20224150.900000002</v>
      </c>
      <c r="F151" s="261">
        <f>SUM(F133:F150)</f>
        <v>20190427.109999999</v>
      </c>
      <c r="G151" s="261">
        <f>SUM(G133:G150)</f>
        <v>19327916.390000001</v>
      </c>
      <c r="H151" s="261">
        <f>SUM(H133:H150)</f>
        <v>19078852.189999998</v>
      </c>
      <c r="I151" s="262"/>
      <c r="J151" s="260">
        <f t="shared" ref="J151:O151" si="58">SUM(J133:J150)</f>
        <v>18705143.66</v>
      </c>
      <c r="K151" s="265">
        <f t="shared" si="58"/>
        <v>18494463.690000001</v>
      </c>
      <c r="L151" s="265">
        <f t="shared" si="58"/>
        <v>18210435.640000001</v>
      </c>
      <c r="M151" s="266">
        <f t="shared" si="58"/>
        <v>17978171.66</v>
      </c>
      <c r="N151" s="174">
        <f t="shared" si="58"/>
        <v>17817124.199999999</v>
      </c>
      <c r="O151" s="267">
        <f t="shared" si="58"/>
        <v>10957304.399999999</v>
      </c>
    </row>
    <row r="152" spans="1:15" x14ac:dyDescent="0.15">
      <c r="A152" s="268" t="s">
        <v>691</v>
      </c>
      <c r="B152" s="269">
        <f>A151-B151</f>
        <v>206872.20000000298</v>
      </c>
      <c r="C152" s="269"/>
      <c r="D152" s="137">
        <f>B151-D151</f>
        <v>479301.40000000224</v>
      </c>
      <c r="E152" s="269">
        <f>D151-E151</f>
        <v>34435.739999994636</v>
      </c>
      <c r="F152" s="137">
        <f>E151-F151</f>
        <v>33723.790000002831</v>
      </c>
      <c r="G152" s="269">
        <f>F151-G151</f>
        <v>862510.71999999881</v>
      </c>
      <c r="H152" s="137">
        <f>G151-H151</f>
        <v>249064.20000000298</v>
      </c>
      <c r="I152" s="223"/>
      <c r="J152" s="137">
        <f>H151-J151</f>
        <v>373708.52999999747</v>
      </c>
      <c r="K152" s="269">
        <f>J151-K151</f>
        <v>210679.96999999881</v>
      </c>
      <c r="L152" s="137">
        <f>K151-L151</f>
        <v>284028.05000000075</v>
      </c>
      <c r="M152" s="269">
        <f>L151-M151</f>
        <v>232263.98000000045</v>
      </c>
      <c r="N152" s="269">
        <f>M151-N151</f>
        <v>161047.46000000089</v>
      </c>
      <c r="O152" s="218">
        <f>N151-O151</f>
        <v>6859819.8000000007</v>
      </c>
    </row>
    <row r="155" spans="1:15" x14ac:dyDescent="0.15">
      <c r="C155" s="182" t="s">
        <v>706</v>
      </c>
    </row>
    <row r="156" spans="1:15" x14ac:dyDescent="0.15">
      <c r="A156" s="227" t="s">
        <v>707</v>
      </c>
      <c r="B156" s="270" t="s">
        <v>662</v>
      </c>
      <c r="C156" s="227" t="s">
        <v>663</v>
      </c>
      <c r="D156" s="227" t="s">
        <v>576</v>
      </c>
      <c r="E156" s="270" t="s">
        <v>577</v>
      </c>
      <c r="F156" s="270" t="s">
        <v>578</v>
      </c>
      <c r="G156" s="271" t="s">
        <v>579</v>
      </c>
      <c r="H156" s="469" t="s">
        <v>580</v>
      </c>
      <c r="I156" s="272"/>
      <c r="J156" s="227" t="s">
        <v>581</v>
      </c>
      <c r="K156" s="469" t="s">
        <v>582</v>
      </c>
      <c r="L156" s="273" t="s">
        <v>583</v>
      </c>
      <c r="M156" s="227" t="s">
        <v>584</v>
      </c>
      <c r="N156" s="469" t="s">
        <v>585</v>
      </c>
      <c r="O156" s="227" t="s">
        <v>586</v>
      </c>
    </row>
    <row r="157" spans="1:15" x14ac:dyDescent="0.15">
      <c r="A157" s="252">
        <v>4383.53</v>
      </c>
      <c r="B157" s="252">
        <v>4383.53</v>
      </c>
      <c r="C157" s="199">
        <v>2004</v>
      </c>
      <c r="D157" s="178">
        <v>4383.53</v>
      </c>
      <c r="E157" s="252">
        <v>4383.53</v>
      </c>
      <c r="F157" s="252">
        <v>4383.53</v>
      </c>
      <c r="G157" s="246">
        <v>4383.53</v>
      </c>
      <c r="H157" s="252">
        <v>4383.53</v>
      </c>
      <c r="I157" s="272"/>
      <c r="J157" s="251">
        <v>4383.53</v>
      </c>
      <c r="K157" s="255">
        <v>57.84</v>
      </c>
      <c r="L157" s="274">
        <v>4383.53</v>
      </c>
      <c r="M157" s="178">
        <v>4383.53</v>
      </c>
      <c r="N157" s="247">
        <v>4383.53</v>
      </c>
      <c r="O157" s="247">
        <v>4383.53</v>
      </c>
    </row>
    <row r="158" spans="1:15" x14ac:dyDescent="0.15">
      <c r="A158" s="275">
        <v>57.84</v>
      </c>
      <c r="B158" s="275">
        <v>57.84</v>
      </c>
      <c r="C158" s="199">
        <v>2005</v>
      </c>
      <c r="D158" s="154">
        <v>57.84</v>
      </c>
      <c r="E158" s="275">
        <v>57.84</v>
      </c>
      <c r="F158" s="275">
        <v>57.84</v>
      </c>
      <c r="G158" s="275">
        <v>57.84</v>
      </c>
      <c r="H158" s="275">
        <v>57.84</v>
      </c>
      <c r="I158" s="217"/>
      <c r="J158" s="217">
        <v>57.84</v>
      </c>
      <c r="K158" s="255">
        <v>1022.7</v>
      </c>
      <c r="L158" s="276">
        <v>57.84</v>
      </c>
      <c r="M158" s="154">
        <v>57.84</v>
      </c>
      <c r="N158" s="253">
        <v>57.84</v>
      </c>
      <c r="O158" s="253">
        <v>57.84</v>
      </c>
    </row>
    <row r="159" spans="1:15" x14ac:dyDescent="0.15">
      <c r="A159" s="252">
        <v>1022.7</v>
      </c>
      <c r="B159" s="252">
        <v>1022.7</v>
      </c>
      <c r="C159" s="199">
        <v>2006</v>
      </c>
      <c r="D159" s="178">
        <v>1022.7</v>
      </c>
      <c r="E159" s="252">
        <v>1022.7</v>
      </c>
      <c r="F159" s="252">
        <v>1022.7</v>
      </c>
      <c r="G159" s="252">
        <v>1022.7</v>
      </c>
      <c r="H159" s="252">
        <v>1022.7</v>
      </c>
      <c r="I159" s="217"/>
      <c r="J159" s="258">
        <v>1022.7</v>
      </c>
      <c r="K159" s="255">
        <v>776.55</v>
      </c>
      <c r="L159" s="276">
        <v>1022.7</v>
      </c>
      <c r="M159" s="178">
        <v>376.17</v>
      </c>
      <c r="N159" s="256">
        <v>376.17</v>
      </c>
      <c r="O159" s="256">
        <v>1022.7</v>
      </c>
    </row>
    <row r="160" spans="1:15" x14ac:dyDescent="0.15">
      <c r="A160" s="252">
        <v>776.55</v>
      </c>
      <c r="B160" s="252">
        <v>776.55</v>
      </c>
      <c r="C160" s="199">
        <v>2007</v>
      </c>
      <c r="D160" s="178">
        <v>776.55</v>
      </c>
      <c r="E160" s="252">
        <v>776.55</v>
      </c>
      <c r="F160" s="252">
        <v>776.55</v>
      </c>
      <c r="G160" s="252">
        <v>776.55</v>
      </c>
      <c r="H160" s="252">
        <v>776.55</v>
      </c>
      <c r="I160" s="217"/>
      <c r="J160" s="258">
        <v>776.55</v>
      </c>
      <c r="K160" s="255">
        <v>2046.08</v>
      </c>
      <c r="L160" s="276">
        <v>776.55</v>
      </c>
      <c r="M160" s="178">
        <v>776.55</v>
      </c>
      <c r="N160" s="256">
        <v>776.55</v>
      </c>
      <c r="O160" s="253">
        <v>776.55</v>
      </c>
    </row>
    <row r="161" spans="1:15" x14ac:dyDescent="0.15">
      <c r="A161" s="252">
        <v>2046.08</v>
      </c>
      <c r="B161" s="252">
        <v>2046.08</v>
      </c>
      <c r="C161" s="199">
        <v>2008</v>
      </c>
      <c r="D161" s="178">
        <v>2046.08</v>
      </c>
      <c r="E161" s="252">
        <v>2046.08</v>
      </c>
      <c r="F161" s="252">
        <v>2046.08</v>
      </c>
      <c r="G161" s="252">
        <v>2046.08</v>
      </c>
      <c r="H161" s="252">
        <v>2046.08</v>
      </c>
      <c r="I161" s="217"/>
      <c r="J161" s="258">
        <v>2046.08</v>
      </c>
      <c r="K161" s="255">
        <v>2230.9</v>
      </c>
      <c r="L161" s="276">
        <v>2046.08</v>
      </c>
      <c r="M161" s="178">
        <v>1737.19</v>
      </c>
      <c r="N161" s="256">
        <v>1737.19</v>
      </c>
      <c r="O161" s="256">
        <v>2046.08</v>
      </c>
    </row>
    <row r="162" spans="1:15" x14ac:dyDescent="0.15">
      <c r="A162" s="252">
        <v>2230.9</v>
      </c>
      <c r="B162" s="252">
        <v>2230.9</v>
      </c>
      <c r="C162" s="199">
        <v>2009</v>
      </c>
      <c r="D162" s="178">
        <v>2230.9</v>
      </c>
      <c r="E162" s="252">
        <v>2230.9</v>
      </c>
      <c r="F162" s="252">
        <v>2230.9</v>
      </c>
      <c r="G162" s="252">
        <v>2230.9</v>
      </c>
      <c r="H162" s="252">
        <v>2230.9</v>
      </c>
      <c r="I162" s="217"/>
      <c r="J162" s="258">
        <v>2230.9</v>
      </c>
      <c r="K162" s="255">
        <v>7980.88</v>
      </c>
      <c r="L162" s="276">
        <v>2230.9</v>
      </c>
      <c r="M162" s="178">
        <v>1779.08</v>
      </c>
      <c r="N162" s="256">
        <v>1779.08</v>
      </c>
      <c r="O162" s="256">
        <v>2230.9</v>
      </c>
    </row>
    <row r="163" spans="1:15" x14ac:dyDescent="0.15">
      <c r="A163" s="252">
        <v>7980.88</v>
      </c>
      <c r="B163" s="252">
        <v>7980.88</v>
      </c>
      <c r="C163" s="199">
        <v>2010</v>
      </c>
      <c r="D163" s="178">
        <v>7980.88</v>
      </c>
      <c r="E163" s="252">
        <v>7980.88</v>
      </c>
      <c r="F163" s="252">
        <v>7980.88</v>
      </c>
      <c r="G163" s="252">
        <v>7980.88</v>
      </c>
      <c r="H163" s="252">
        <v>7980.88</v>
      </c>
      <c r="I163" s="217"/>
      <c r="J163" s="258">
        <v>7980.88</v>
      </c>
      <c r="K163" s="255">
        <v>172953.87</v>
      </c>
      <c r="L163" s="276">
        <v>7980.88</v>
      </c>
      <c r="M163" s="178">
        <v>6480.66</v>
      </c>
      <c r="N163" s="256">
        <v>6480.66</v>
      </c>
      <c r="O163" s="256">
        <v>7980.88</v>
      </c>
    </row>
    <row r="164" spans="1:15" x14ac:dyDescent="0.15">
      <c r="A164" s="252">
        <v>172953.87</v>
      </c>
      <c r="B164" s="252">
        <v>172953.87</v>
      </c>
      <c r="C164" s="199">
        <v>2011</v>
      </c>
      <c r="D164" s="178">
        <v>172953.87</v>
      </c>
      <c r="E164" s="252">
        <v>172953.87</v>
      </c>
      <c r="F164" s="252">
        <v>172953.87</v>
      </c>
      <c r="G164" s="252">
        <v>172953.87</v>
      </c>
      <c r="H164" s="252">
        <v>172953.87</v>
      </c>
      <c r="I164" s="217"/>
      <c r="J164" s="258">
        <v>172953.87</v>
      </c>
      <c r="K164" s="255">
        <v>1907832.24</v>
      </c>
      <c r="L164" s="276">
        <v>172953.87</v>
      </c>
      <c r="M164" s="178">
        <v>169801.14</v>
      </c>
      <c r="N164" s="256">
        <v>169801.14</v>
      </c>
      <c r="O164" s="256">
        <v>172953.87</v>
      </c>
    </row>
    <row r="165" spans="1:15" x14ac:dyDescent="0.15">
      <c r="A165" s="252">
        <v>2016261.2</v>
      </c>
      <c r="B165" s="252">
        <v>2002707.58</v>
      </c>
      <c r="C165" s="199">
        <v>2012</v>
      </c>
      <c r="D165" s="178">
        <v>1989153.96</v>
      </c>
      <c r="E165" s="252">
        <v>1975600.34</v>
      </c>
      <c r="F165" s="252">
        <v>1962046.72</v>
      </c>
      <c r="G165" s="252">
        <v>1948493.1</v>
      </c>
      <c r="H165" s="252">
        <v>1934939.48</v>
      </c>
      <c r="I165" s="217"/>
      <c r="J165" s="258">
        <v>1921385.86</v>
      </c>
      <c r="K165" s="255">
        <v>10667.58</v>
      </c>
      <c r="L165" s="276">
        <v>1894278.62</v>
      </c>
      <c r="M165" s="178">
        <v>1866718.6</v>
      </c>
      <c r="N165" s="256">
        <v>1853164.98</v>
      </c>
      <c r="O165" s="256">
        <v>1853617.76</v>
      </c>
    </row>
    <row r="166" spans="1:15" x14ac:dyDescent="0.15">
      <c r="A166" s="252">
        <v>10667.58</v>
      </c>
      <c r="B166" s="252">
        <v>10667.58</v>
      </c>
      <c r="C166" s="199">
        <v>2013</v>
      </c>
      <c r="D166" s="178">
        <v>10667.58</v>
      </c>
      <c r="E166" s="252">
        <v>10667.58</v>
      </c>
      <c r="F166" s="252">
        <v>10667.58</v>
      </c>
      <c r="G166" s="252">
        <v>10667.58</v>
      </c>
      <c r="H166" s="252">
        <v>10667.58</v>
      </c>
      <c r="I166" s="217"/>
      <c r="J166" s="258">
        <v>10667.58</v>
      </c>
      <c r="K166" s="255">
        <v>353929.99</v>
      </c>
      <c r="L166" s="276">
        <v>10667.58</v>
      </c>
      <c r="M166" s="178">
        <v>9489.8700000000008</v>
      </c>
      <c r="N166" s="256">
        <v>9489.8700000000008</v>
      </c>
      <c r="O166" s="256">
        <v>10667.58</v>
      </c>
    </row>
    <row r="167" spans="1:15" x14ac:dyDescent="0.15">
      <c r="A167" s="252">
        <v>536457.43000000005</v>
      </c>
      <c r="B167" s="252">
        <v>513641.5</v>
      </c>
      <c r="C167" s="199">
        <v>2014</v>
      </c>
      <c r="D167" s="178">
        <v>490825.57</v>
      </c>
      <c r="E167" s="252">
        <v>468009.64</v>
      </c>
      <c r="F167" s="252">
        <v>445193.71</v>
      </c>
      <c r="G167" s="252">
        <v>422377.78</v>
      </c>
      <c r="H167" s="252">
        <v>399561.85</v>
      </c>
      <c r="I167" s="217"/>
      <c r="J167" s="258">
        <v>376745.92</v>
      </c>
      <c r="K167" s="255">
        <v>3106976.28</v>
      </c>
      <c r="L167" s="276">
        <v>331114.06</v>
      </c>
      <c r="M167" s="178">
        <v>305978.84999999998</v>
      </c>
      <c r="N167" s="256">
        <v>283162.92</v>
      </c>
      <c r="O167" s="256">
        <v>262666.27</v>
      </c>
    </row>
    <row r="168" spans="1:15" x14ac:dyDescent="0.15">
      <c r="A168" s="252">
        <v>3209482.31</v>
      </c>
      <c r="B168" s="252">
        <v>3196828.23</v>
      </c>
      <c r="C168" s="199">
        <v>2015</v>
      </c>
      <c r="D168" s="178">
        <v>3184060.76</v>
      </c>
      <c r="E168" s="252">
        <v>3171406.68</v>
      </c>
      <c r="F168" s="252">
        <v>3157592.6</v>
      </c>
      <c r="G168" s="252">
        <v>3144938.52</v>
      </c>
      <c r="H168" s="252">
        <v>3132284.44</v>
      </c>
      <c r="I168" s="217"/>
      <c r="J168" s="258">
        <v>3119630.36</v>
      </c>
      <c r="K168" s="255">
        <v>3147554.02</v>
      </c>
      <c r="L168" s="276">
        <v>3094309.4</v>
      </c>
      <c r="M168" s="178">
        <v>3081655.32</v>
      </c>
      <c r="N168" s="256">
        <v>3013743.68</v>
      </c>
      <c r="O168" s="256">
        <v>2976030.69</v>
      </c>
    </row>
    <row r="169" spans="1:15" x14ac:dyDescent="0.15">
      <c r="A169" s="252">
        <v>3398020.7</v>
      </c>
      <c r="B169" s="252">
        <v>3376054.18</v>
      </c>
      <c r="C169" s="199">
        <v>2016</v>
      </c>
      <c r="D169" s="178">
        <v>3354087.66</v>
      </c>
      <c r="E169" s="252">
        <v>3332121.14</v>
      </c>
      <c r="F169" s="252">
        <v>3255394.06</v>
      </c>
      <c r="G169" s="252">
        <v>3241116.4</v>
      </c>
      <c r="H169" s="252">
        <v>3183940.86</v>
      </c>
      <c r="I169" s="217"/>
      <c r="J169" s="258">
        <v>3161831.68</v>
      </c>
      <c r="K169" s="255">
        <v>2133121.69</v>
      </c>
      <c r="L169" s="276">
        <v>3133276.36</v>
      </c>
      <c r="M169" s="178">
        <v>3117485</v>
      </c>
      <c r="N169" s="256">
        <v>3103207.34</v>
      </c>
      <c r="O169" s="256">
        <v>3090443.38</v>
      </c>
    </row>
    <row r="170" spans="1:15" x14ac:dyDescent="0.15">
      <c r="A170" s="252">
        <v>2431405.69</v>
      </c>
      <c r="B170" s="252">
        <v>2394120.19</v>
      </c>
      <c r="C170" s="199">
        <v>2017</v>
      </c>
      <c r="D170" s="178">
        <v>2356834.69</v>
      </c>
      <c r="E170" s="252">
        <v>2319549.19</v>
      </c>
      <c r="F170" s="252">
        <v>2282263.69</v>
      </c>
      <c r="G170" s="252">
        <v>2244978.19</v>
      </c>
      <c r="H170" s="252">
        <v>2207692.69</v>
      </c>
      <c r="I170" s="217"/>
      <c r="J170" s="258">
        <v>2170407.19</v>
      </c>
      <c r="K170" s="255">
        <v>1950038.57</v>
      </c>
      <c r="L170" s="276">
        <v>2095836.19</v>
      </c>
      <c r="M170" s="178">
        <v>2058550.69</v>
      </c>
      <c r="N170" s="256">
        <v>2021265.19</v>
      </c>
      <c r="O170" s="256">
        <v>1983979.69</v>
      </c>
    </row>
    <row r="171" spans="1:15" x14ac:dyDescent="0.15">
      <c r="A171" s="252">
        <v>1951977.07</v>
      </c>
      <c r="B171" s="252">
        <v>1951977.07</v>
      </c>
      <c r="C171" s="199">
        <v>2018</v>
      </c>
      <c r="D171" s="178">
        <v>1950772.37</v>
      </c>
      <c r="E171" s="252">
        <v>1950772.37</v>
      </c>
      <c r="F171" s="252">
        <v>1950772.37</v>
      </c>
      <c r="G171" s="252">
        <v>1950038.57</v>
      </c>
      <c r="H171" s="252">
        <v>1950038.57</v>
      </c>
      <c r="I171" s="217"/>
      <c r="J171" s="258">
        <v>1950038.57</v>
      </c>
      <c r="K171" s="255">
        <v>1591853.37</v>
      </c>
      <c r="L171" s="276">
        <v>1950038.57</v>
      </c>
      <c r="M171" s="178">
        <v>1948421.86</v>
      </c>
      <c r="N171" s="256">
        <v>1945722.09</v>
      </c>
      <c r="O171" s="256">
        <v>1947123.88</v>
      </c>
    </row>
    <row r="172" spans="1:15" x14ac:dyDescent="0.15">
      <c r="A172" s="252">
        <v>1602004.85</v>
      </c>
      <c r="B172" s="252">
        <v>1602004.85</v>
      </c>
      <c r="C172" s="199">
        <v>2019</v>
      </c>
      <c r="D172" s="178">
        <v>1597163.51</v>
      </c>
      <c r="E172" s="252">
        <v>1595013.1</v>
      </c>
      <c r="F172" s="252">
        <v>1595013.1</v>
      </c>
      <c r="G172" s="252">
        <v>1590916.36</v>
      </c>
      <c r="H172" s="252">
        <v>1590916.36</v>
      </c>
      <c r="I172" s="217"/>
      <c r="J172" s="258">
        <v>1590916.36</v>
      </c>
      <c r="K172" s="255">
        <v>6154226.1600000001</v>
      </c>
      <c r="L172" s="276">
        <v>1589832.36</v>
      </c>
      <c r="M172" s="178">
        <v>1586258.09</v>
      </c>
      <c r="N172" s="256">
        <v>1586258.09</v>
      </c>
      <c r="O172" s="256">
        <v>1589682.36</v>
      </c>
    </row>
    <row r="173" spans="1:15" x14ac:dyDescent="0.15">
      <c r="A173" s="178">
        <v>11681226.07</v>
      </c>
      <c r="B173" s="178">
        <v>8367616.3600000003</v>
      </c>
      <c r="C173" s="199">
        <v>2020</v>
      </c>
      <c r="D173" s="178">
        <v>7165670.71</v>
      </c>
      <c r="E173" s="178">
        <v>7195049.4699999997</v>
      </c>
      <c r="F173" s="252">
        <v>6792191.1500000004</v>
      </c>
      <c r="G173" s="259">
        <v>6524062.2000000002</v>
      </c>
      <c r="H173" s="252">
        <v>6409256.2400000002</v>
      </c>
      <c r="I173" s="277"/>
      <c r="J173" s="278">
        <v>6297433.3700000001</v>
      </c>
      <c r="L173" s="256">
        <v>6043305.2300000004</v>
      </c>
      <c r="M173" s="178">
        <v>5949903.7199999997</v>
      </c>
      <c r="N173" s="256">
        <v>5867876.3899999997</v>
      </c>
      <c r="O173" s="256">
        <v>5680688.5700000003</v>
      </c>
    </row>
    <row r="174" spans="1:15" x14ac:dyDescent="0.15">
      <c r="A174" s="279">
        <f>SUM(A157:A173)</f>
        <v>27028955.25</v>
      </c>
      <c r="B174" s="279">
        <f>SUM(B157:B173)</f>
        <v>23607069.890000001</v>
      </c>
      <c r="C174" s="218">
        <f>23607069.89-B174</f>
        <v>0</v>
      </c>
      <c r="D174" s="280">
        <f>SUM(D157:D173)</f>
        <v>22290689.159999996</v>
      </c>
      <c r="E174" s="280">
        <f>SUM(E157:E173)</f>
        <v>22209641.859999999</v>
      </c>
      <c r="F174" s="279">
        <f>SUM(F157:F173)</f>
        <v>21642587.329999998</v>
      </c>
      <c r="G174" s="261">
        <f>SUM(G157:G173)</f>
        <v>21269041.050000001</v>
      </c>
      <c r="H174" s="235">
        <f>SUM(H157:H173)</f>
        <v>21010750.420000002</v>
      </c>
      <c r="I174" s="277"/>
      <c r="J174" s="280">
        <f t="shared" ref="J174:O174" si="59">SUM(J157:J173)</f>
        <v>20790509.239999998</v>
      </c>
      <c r="K174" s="279">
        <f t="shared" si="59"/>
        <v>20543268.719999999</v>
      </c>
      <c r="L174" s="173">
        <f t="shared" si="59"/>
        <v>20334110.719999999</v>
      </c>
      <c r="M174" s="281">
        <f t="shared" si="59"/>
        <v>20109854.16</v>
      </c>
      <c r="N174" s="173">
        <f t="shared" si="59"/>
        <v>19869282.709999997</v>
      </c>
      <c r="O174" s="173">
        <f t="shared" si="59"/>
        <v>19586352.530000001</v>
      </c>
    </row>
    <row r="175" spans="1:15" x14ac:dyDescent="0.15">
      <c r="A175" s="225" t="s">
        <v>711</v>
      </c>
      <c r="B175" s="157">
        <f>A174-B174</f>
        <v>3421885.3599999994</v>
      </c>
      <c r="C175" s="157"/>
      <c r="D175" s="157">
        <f>B174-D174</f>
        <v>1316380.7300000042</v>
      </c>
      <c r="E175" s="157">
        <f>D174-E174</f>
        <v>81047.29999999702</v>
      </c>
      <c r="F175" s="157">
        <f>E174-F174</f>
        <v>567054.53000000119</v>
      </c>
      <c r="G175" s="157">
        <f>F174-G174</f>
        <v>373546.27999999747</v>
      </c>
      <c r="H175" s="157">
        <f>G174-H174</f>
        <v>258290.62999999896</v>
      </c>
      <c r="J175" s="157">
        <f>H174-J174</f>
        <v>220241.18000000343</v>
      </c>
      <c r="K175" s="157">
        <f>J174-K174</f>
        <v>247240.51999999955</v>
      </c>
      <c r="L175" s="157">
        <f>K174-L174</f>
        <v>209158</v>
      </c>
      <c r="M175" s="157">
        <f>L174-M174</f>
        <v>224256.55999999866</v>
      </c>
      <c r="N175" s="157">
        <f>M174-N174</f>
        <v>240571.45000000298</v>
      </c>
      <c r="O175" s="157">
        <f>N174-O174</f>
        <v>282930.17999999598</v>
      </c>
    </row>
  </sheetData>
  <mergeCells count="8">
    <mergeCell ref="A35:B35"/>
    <mergeCell ref="B3:K3"/>
    <mergeCell ref="L3:M3"/>
    <mergeCell ref="N3:O3"/>
    <mergeCell ref="A18:B18"/>
    <mergeCell ref="B20:K20"/>
    <mergeCell ref="L20:M20"/>
    <mergeCell ref="N20:O20"/>
  </mergeCells>
  <phoneticPr fontId="51" type="noConversion"/>
  <pageMargins left="0.23611111111111099" right="0.23611111111111099" top="0.74791666666666701" bottom="0.196527777777778" header="0.511811023622047" footer="0.511811023622047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K82"/>
  <sheetViews>
    <sheetView topLeftCell="A68" zoomScale="124" zoomScaleNormal="124" workbookViewId="0">
      <selection activeCell="I99" sqref="I99"/>
    </sheetView>
  </sheetViews>
  <sheetFormatPr defaultColWidth="8.7109375" defaultRowHeight="15" x14ac:dyDescent="0.25"/>
  <cols>
    <col min="1" max="1" width="2.7109375" style="282" customWidth="1"/>
    <col min="2" max="3" width="9.140625" style="282" customWidth="1"/>
    <col min="4" max="4" width="10" style="282" customWidth="1"/>
    <col min="5" max="5" width="13" style="282" customWidth="1"/>
    <col min="6" max="6" width="13.85546875" style="282" customWidth="1"/>
    <col min="7" max="7" width="13.28515625" style="282" customWidth="1"/>
    <col min="8" max="8" width="14.28515625" style="282" customWidth="1"/>
    <col min="9" max="9" width="13" style="282" customWidth="1"/>
    <col min="10" max="10" width="12.42578125" style="282" customWidth="1"/>
    <col min="11" max="11" width="9" style="282" customWidth="1"/>
    <col min="12" max="12" width="8.85546875" style="282" bestFit="1" customWidth="1"/>
    <col min="13" max="13" width="11.85546875" style="282" customWidth="1"/>
    <col min="14" max="14" width="2.7109375" style="282" customWidth="1"/>
    <col min="15" max="15" width="40.7109375" style="282" customWidth="1"/>
    <col min="16" max="16" width="12.5703125" style="282" customWidth="1"/>
    <col min="17" max="17" width="7" style="282" customWidth="1"/>
    <col min="18" max="18" width="11.7109375" style="282" customWidth="1"/>
    <col min="19" max="19" width="12.85546875" style="282" customWidth="1"/>
    <col min="20" max="20" width="11.5703125" style="282" customWidth="1"/>
    <col min="21" max="21" width="12.5703125" style="282" customWidth="1"/>
    <col min="22" max="256" width="9.140625" style="282" customWidth="1"/>
    <col min="257" max="257" width="2.7109375" style="282" customWidth="1"/>
    <col min="258" max="259" width="9.140625" style="282" customWidth="1"/>
    <col min="260" max="260" width="10" style="282" customWidth="1"/>
    <col min="261" max="261" width="13" style="282" customWidth="1"/>
    <col min="262" max="262" width="13.85546875" style="282" customWidth="1"/>
    <col min="263" max="263" width="13.28515625" style="282" customWidth="1"/>
    <col min="264" max="264" width="15.140625" style="282" customWidth="1"/>
    <col min="265" max="265" width="14.7109375" style="282" customWidth="1"/>
    <col min="266" max="266" width="13.42578125" style="282" customWidth="1"/>
    <col min="267" max="267" width="12.85546875" style="282" customWidth="1"/>
    <col min="268" max="268" width="9.28515625" style="282" customWidth="1"/>
    <col min="269" max="269" width="11.85546875" style="282" customWidth="1"/>
    <col min="270" max="270" width="2.7109375" style="282" customWidth="1"/>
    <col min="271" max="271" width="40.7109375" style="282" customWidth="1"/>
    <col min="272" max="272" width="12.5703125" style="282" customWidth="1"/>
    <col min="273" max="273" width="7" style="282" customWidth="1"/>
    <col min="274" max="274" width="11.7109375" style="282" customWidth="1"/>
    <col min="275" max="275" width="12.85546875" style="282" customWidth="1"/>
    <col min="276" max="276" width="11.5703125" style="282" customWidth="1"/>
    <col min="277" max="277" width="12.5703125" style="282" customWidth="1"/>
    <col min="278" max="512" width="9.140625" style="282" customWidth="1"/>
    <col min="513" max="513" width="2.7109375" style="282" customWidth="1"/>
    <col min="514" max="515" width="9.140625" style="282" customWidth="1"/>
    <col min="516" max="516" width="10" style="282" customWidth="1"/>
    <col min="517" max="517" width="13" style="282" customWidth="1"/>
    <col min="518" max="518" width="13.85546875" style="282" customWidth="1"/>
    <col min="519" max="519" width="13.28515625" style="282" customWidth="1"/>
    <col min="520" max="520" width="15.140625" style="282" customWidth="1"/>
    <col min="521" max="521" width="14.7109375" style="282" customWidth="1"/>
    <col min="522" max="522" width="13.42578125" style="282" customWidth="1"/>
    <col min="523" max="523" width="12.85546875" style="282" customWidth="1"/>
    <col min="524" max="524" width="9.28515625" style="282" customWidth="1"/>
    <col min="525" max="525" width="11.85546875" style="282" customWidth="1"/>
    <col min="526" max="526" width="2.7109375" style="282" customWidth="1"/>
    <col min="527" max="527" width="40.7109375" style="282" customWidth="1"/>
    <col min="528" max="528" width="12.5703125" style="282" customWidth="1"/>
    <col min="529" max="529" width="7" style="282" customWidth="1"/>
    <col min="530" max="530" width="11.7109375" style="282" customWidth="1"/>
    <col min="531" max="531" width="12.85546875" style="282" customWidth="1"/>
    <col min="532" max="532" width="11.5703125" style="282" customWidth="1"/>
    <col min="533" max="533" width="12.5703125" style="282" customWidth="1"/>
    <col min="534" max="768" width="9.140625" style="282" customWidth="1"/>
    <col min="769" max="769" width="2.7109375" style="282" customWidth="1"/>
    <col min="770" max="771" width="9.140625" style="282" customWidth="1"/>
    <col min="772" max="772" width="10" style="282" customWidth="1"/>
    <col min="773" max="773" width="13" style="282" customWidth="1"/>
    <col min="774" max="774" width="13.85546875" style="282" customWidth="1"/>
    <col min="775" max="775" width="13.28515625" style="282" customWidth="1"/>
    <col min="776" max="776" width="15.140625" style="282" customWidth="1"/>
    <col min="777" max="777" width="14.7109375" style="282" customWidth="1"/>
    <col min="778" max="778" width="13.42578125" style="282" customWidth="1"/>
    <col min="779" max="779" width="12.85546875" style="282" customWidth="1"/>
    <col min="780" max="780" width="9.28515625" style="282" customWidth="1"/>
    <col min="781" max="781" width="11.85546875" style="282" customWidth="1"/>
    <col min="782" max="782" width="2.7109375" style="282" customWidth="1"/>
    <col min="783" max="783" width="40.7109375" style="282" customWidth="1"/>
    <col min="784" max="784" width="12.5703125" style="282" customWidth="1"/>
    <col min="785" max="785" width="7" style="282" customWidth="1"/>
    <col min="786" max="786" width="11.7109375" style="282" customWidth="1"/>
    <col min="787" max="787" width="12.85546875" style="282" customWidth="1"/>
    <col min="788" max="788" width="11.5703125" style="282" customWidth="1"/>
    <col min="789" max="789" width="12.5703125" style="282" customWidth="1"/>
    <col min="790" max="1025" width="9.140625" style="282" customWidth="1"/>
  </cols>
  <sheetData>
    <row r="1" spans="1:1025" x14ac:dyDescent="0.25">
      <c r="D1" s="282" t="s">
        <v>712</v>
      </c>
      <c r="F1" s="283"/>
      <c r="G1" s="284"/>
    </row>
    <row r="2" spans="1:1025" x14ac:dyDescent="0.25">
      <c r="B2" s="285" t="s">
        <v>713</v>
      </c>
      <c r="C2" s="284" t="s">
        <v>714</v>
      </c>
      <c r="D2" s="283"/>
      <c r="E2" s="283" t="s">
        <v>715</v>
      </c>
    </row>
    <row r="3" spans="1:1025" s="182" customFormat="1" ht="8.25" x14ac:dyDescent="0.15"/>
    <row r="4" spans="1:1025" s="417" customFormat="1" ht="11.25" x14ac:dyDescent="0.2">
      <c r="A4" s="283"/>
      <c r="B4" s="283"/>
      <c r="C4" s="283"/>
      <c r="D4" s="283" t="s">
        <v>716</v>
      </c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3"/>
      <c r="DJ4" s="283"/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3"/>
      <c r="FL4" s="283"/>
      <c r="FM4" s="283"/>
      <c r="FN4" s="283"/>
      <c r="FO4" s="283"/>
      <c r="FP4" s="283"/>
      <c r="FQ4" s="283"/>
      <c r="FR4" s="283"/>
      <c r="FS4" s="283"/>
      <c r="FT4" s="283"/>
      <c r="FU4" s="283"/>
      <c r="FV4" s="283"/>
      <c r="FW4" s="283"/>
      <c r="FX4" s="283"/>
      <c r="FY4" s="283"/>
      <c r="FZ4" s="283"/>
      <c r="GA4" s="283"/>
      <c r="GB4" s="283"/>
      <c r="GC4" s="283"/>
      <c r="GD4" s="283"/>
      <c r="GE4" s="283"/>
      <c r="GF4" s="283"/>
      <c r="GG4" s="283"/>
      <c r="GH4" s="283"/>
      <c r="GI4" s="283"/>
      <c r="GJ4" s="283"/>
      <c r="GK4" s="283"/>
      <c r="GL4" s="283"/>
      <c r="GM4" s="283"/>
      <c r="GN4" s="283"/>
      <c r="GO4" s="283"/>
      <c r="GP4" s="283"/>
      <c r="GQ4" s="283"/>
      <c r="GR4" s="283"/>
      <c r="GS4" s="283"/>
      <c r="GT4" s="283"/>
      <c r="GU4" s="283"/>
      <c r="GV4" s="283"/>
      <c r="GW4" s="283"/>
      <c r="GX4" s="283"/>
      <c r="GY4" s="283"/>
      <c r="GZ4" s="283"/>
      <c r="HA4" s="283"/>
      <c r="HB4" s="283"/>
      <c r="HC4" s="283"/>
      <c r="HD4" s="283"/>
      <c r="HE4" s="283"/>
      <c r="HF4" s="283"/>
      <c r="HG4" s="283"/>
      <c r="HH4" s="283"/>
      <c r="HI4" s="283"/>
      <c r="HJ4" s="283"/>
      <c r="HK4" s="283"/>
      <c r="HL4" s="283"/>
      <c r="HM4" s="283"/>
      <c r="HN4" s="283"/>
      <c r="HO4" s="283"/>
      <c r="HP4" s="283"/>
      <c r="HQ4" s="283"/>
      <c r="HR4" s="283"/>
      <c r="HS4" s="283"/>
      <c r="HT4" s="283"/>
      <c r="HU4" s="283"/>
      <c r="HV4" s="283"/>
      <c r="HW4" s="283"/>
      <c r="HX4" s="283"/>
      <c r="HY4" s="283"/>
      <c r="HZ4" s="283"/>
      <c r="IA4" s="283"/>
      <c r="IB4" s="283"/>
      <c r="IC4" s="283"/>
      <c r="ID4" s="283"/>
      <c r="IE4" s="283"/>
      <c r="IF4" s="283"/>
      <c r="IG4" s="283"/>
      <c r="IH4" s="283"/>
      <c r="II4" s="283"/>
      <c r="IJ4" s="283"/>
      <c r="IK4" s="283"/>
      <c r="IL4" s="283"/>
      <c r="IM4" s="283"/>
      <c r="IN4" s="283"/>
      <c r="IO4" s="283"/>
      <c r="IP4" s="283"/>
      <c r="IQ4" s="283"/>
      <c r="IR4" s="283"/>
      <c r="IS4" s="283"/>
      <c r="IT4" s="283"/>
      <c r="IU4" s="283"/>
      <c r="IV4" s="283"/>
      <c r="IW4" s="283"/>
      <c r="IX4" s="283"/>
      <c r="IY4" s="283"/>
      <c r="IZ4" s="283"/>
      <c r="JA4" s="283"/>
      <c r="JB4" s="283"/>
      <c r="JC4" s="283"/>
      <c r="JD4" s="283"/>
      <c r="JE4" s="283"/>
      <c r="JF4" s="283"/>
      <c r="JG4" s="283"/>
      <c r="JH4" s="283"/>
      <c r="JI4" s="283"/>
      <c r="JJ4" s="283"/>
      <c r="JK4" s="283"/>
      <c r="JL4" s="283"/>
      <c r="JM4" s="283"/>
      <c r="JN4" s="283"/>
      <c r="JO4" s="283"/>
      <c r="JP4" s="283"/>
      <c r="JQ4" s="283"/>
      <c r="JR4" s="283"/>
      <c r="JS4" s="283"/>
      <c r="JT4" s="283"/>
      <c r="JU4" s="283"/>
      <c r="JV4" s="283"/>
      <c r="JW4" s="283"/>
      <c r="JX4" s="283"/>
      <c r="JY4" s="283"/>
      <c r="JZ4" s="283"/>
      <c r="KA4" s="283"/>
      <c r="KB4" s="283"/>
      <c r="KC4" s="283"/>
      <c r="KD4" s="283"/>
      <c r="KE4" s="283"/>
      <c r="KF4" s="283"/>
      <c r="KG4" s="283"/>
      <c r="KH4" s="283"/>
      <c r="KI4" s="283"/>
      <c r="KJ4" s="283"/>
      <c r="KK4" s="283"/>
      <c r="KL4" s="283"/>
      <c r="KM4" s="283"/>
      <c r="KN4" s="283"/>
      <c r="KO4" s="283"/>
      <c r="KP4" s="283"/>
      <c r="KQ4" s="283"/>
      <c r="KR4" s="283"/>
      <c r="KS4" s="283"/>
      <c r="KT4" s="283"/>
      <c r="KU4" s="283"/>
      <c r="KV4" s="283"/>
      <c r="KW4" s="283"/>
      <c r="KX4" s="283"/>
      <c r="KY4" s="283"/>
      <c r="KZ4" s="283"/>
      <c r="LA4" s="283"/>
      <c r="LB4" s="283"/>
      <c r="LC4" s="283"/>
      <c r="LD4" s="283"/>
      <c r="LE4" s="283"/>
      <c r="LF4" s="283"/>
      <c r="LG4" s="283"/>
      <c r="LH4" s="283"/>
      <c r="LI4" s="283"/>
      <c r="LJ4" s="283"/>
      <c r="LK4" s="283"/>
      <c r="LL4" s="283"/>
      <c r="LM4" s="283"/>
      <c r="LN4" s="283"/>
      <c r="LO4" s="283"/>
      <c r="LP4" s="283"/>
      <c r="LQ4" s="283"/>
      <c r="LR4" s="283"/>
      <c r="LS4" s="283"/>
      <c r="LT4" s="283"/>
      <c r="LU4" s="283"/>
      <c r="LV4" s="283"/>
      <c r="LW4" s="283"/>
      <c r="LX4" s="283"/>
      <c r="LY4" s="283"/>
      <c r="LZ4" s="283"/>
      <c r="MA4" s="283"/>
      <c r="MB4" s="283"/>
      <c r="MC4" s="283"/>
      <c r="MD4" s="283"/>
      <c r="ME4" s="283"/>
      <c r="MF4" s="283"/>
      <c r="MG4" s="283"/>
      <c r="MH4" s="283"/>
      <c r="MI4" s="283"/>
      <c r="MJ4" s="283"/>
      <c r="MK4" s="283"/>
      <c r="ML4" s="283"/>
      <c r="MM4" s="283"/>
      <c r="MN4" s="283"/>
      <c r="MO4" s="283"/>
      <c r="MP4" s="283"/>
      <c r="MQ4" s="283"/>
      <c r="MR4" s="283"/>
      <c r="MS4" s="283"/>
      <c r="MT4" s="283"/>
      <c r="MU4" s="283"/>
      <c r="MV4" s="283"/>
      <c r="MW4" s="283"/>
      <c r="MX4" s="283"/>
      <c r="MY4" s="283"/>
      <c r="MZ4" s="283"/>
      <c r="NA4" s="283"/>
      <c r="NB4" s="283"/>
      <c r="NC4" s="283"/>
      <c r="ND4" s="283"/>
      <c r="NE4" s="283"/>
      <c r="NF4" s="283"/>
      <c r="NG4" s="283"/>
      <c r="NH4" s="283"/>
      <c r="NI4" s="283"/>
      <c r="NJ4" s="283"/>
      <c r="NK4" s="283"/>
      <c r="NL4" s="283"/>
      <c r="NM4" s="283"/>
      <c r="NN4" s="283"/>
      <c r="NO4" s="283"/>
      <c r="NP4" s="283"/>
      <c r="NQ4" s="283"/>
      <c r="NR4" s="283"/>
      <c r="NS4" s="283"/>
      <c r="NT4" s="283"/>
      <c r="NU4" s="283"/>
      <c r="NV4" s="283"/>
      <c r="NW4" s="283"/>
      <c r="NX4" s="283"/>
      <c r="NY4" s="283"/>
      <c r="NZ4" s="283"/>
      <c r="OA4" s="283"/>
      <c r="OB4" s="283"/>
      <c r="OC4" s="283"/>
      <c r="OD4" s="283"/>
      <c r="OE4" s="283"/>
      <c r="OF4" s="283"/>
      <c r="OG4" s="283"/>
      <c r="OH4" s="283"/>
      <c r="OI4" s="283"/>
      <c r="OJ4" s="283"/>
      <c r="OK4" s="283"/>
      <c r="OL4" s="283"/>
      <c r="OM4" s="283"/>
      <c r="ON4" s="283"/>
      <c r="OO4" s="283"/>
      <c r="OP4" s="283"/>
      <c r="OQ4" s="283"/>
      <c r="OR4" s="283"/>
      <c r="OS4" s="283"/>
      <c r="OT4" s="283"/>
      <c r="OU4" s="283"/>
      <c r="OV4" s="283"/>
      <c r="OW4" s="283"/>
      <c r="OX4" s="283"/>
      <c r="OY4" s="283"/>
      <c r="OZ4" s="283"/>
      <c r="PA4" s="283"/>
      <c r="PB4" s="283"/>
      <c r="PC4" s="283"/>
      <c r="PD4" s="283"/>
      <c r="PE4" s="283"/>
      <c r="PF4" s="283"/>
      <c r="PG4" s="283"/>
      <c r="PH4" s="283"/>
      <c r="PI4" s="283"/>
      <c r="PJ4" s="283"/>
      <c r="PK4" s="283"/>
      <c r="PL4" s="283"/>
      <c r="PM4" s="283"/>
      <c r="PN4" s="283"/>
      <c r="PO4" s="283"/>
      <c r="PP4" s="283"/>
      <c r="PQ4" s="283"/>
      <c r="PR4" s="283"/>
      <c r="PS4" s="283"/>
      <c r="PT4" s="283"/>
      <c r="PU4" s="283"/>
      <c r="PV4" s="283"/>
      <c r="PW4" s="283"/>
      <c r="PX4" s="283"/>
      <c r="PY4" s="283"/>
      <c r="PZ4" s="283"/>
      <c r="QA4" s="283"/>
      <c r="QB4" s="283"/>
      <c r="QC4" s="283"/>
      <c r="QD4" s="283"/>
      <c r="QE4" s="283"/>
      <c r="QF4" s="283"/>
      <c r="QG4" s="283"/>
      <c r="QH4" s="283"/>
      <c r="QI4" s="283"/>
      <c r="QJ4" s="283"/>
      <c r="QK4" s="283"/>
      <c r="QL4" s="283"/>
      <c r="QM4" s="283"/>
      <c r="QN4" s="283"/>
      <c r="QO4" s="283"/>
      <c r="QP4" s="283"/>
      <c r="QQ4" s="283"/>
      <c r="QR4" s="283"/>
      <c r="QS4" s="283"/>
      <c r="QT4" s="283"/>
      <c r="QU4" s="283"/>
      <c r="QV4" s="283"/>
      <c r="QW4" s="283"/>
      <c r="QX4" s="283"/>
      <c r="QY4" s="283"/>
      <c r="QZ4" s="283"/>
      <c r="RA4" s="283"/>
      <c r="RB4" s="283"/>
      <c r="RC4" s="283"/>
      <c r="RD4" s="283"/>
      <c r="RE4" s="283"/>
      <c r="RF4" s="283"/>
      <c r="RG4" s="283"/>
      <c r="RH4" s="283"/>
      <c r="RI4" s="283"/>
      <c r="RJ4" s="283"/>
      <c r="RK4" s="283"/>
      <c r="RL4" s="283"/>
      <c r="RM4" s="283"/>
      <c r="RN4" s="283"/>
      <c r="RO4" s="283"/>
      <c r="RP4" s="283"/>
      <c r="RQ4" s="283"/>
      <c r="RR4" s="283"/>
      <c r="RS4" s="283"/>
      <c r="RT4" s="283"/>
      <c r="RU4" s="283"/>
      <c r="RV4" s="283"/>
      <c r="RW4" s="283"/>
      <c r="RX4" s="283"/>
      <c r="RY4" s="283"/>
      <c r="RZ4" s="283"/>
      <c r="SA4" s="283"/>
      <c r="SB4" s="283"/>
      <c r="SC4" s="283"/>
      <c r="SD4" s="283"/>
      <c r="SE4" s="283"/>
      <c r="SF4" s="283"/>
      <c r="SG4" s="283"/>
      <c r="SH4" s="283"/>
      <c r="SI4" s="283"/>
      <c r="SJ4" s="283"/>
      <c r="SK4" s="283"/>
      <c r="SL4" s="283"/>
      <c r="SM4" s="283"/>
      <c r="SN4" s="283"/>
      <c r="SO4" s="283"/>
      <c r="SP4" s="283"/>
      <c r="SQ4" s="283"/>
      <c r="SR4" s="283"/>
      <c r="SS4" s="283"/>
      <c r="ST4" s="283"/>
      <c r="SU4" s="283"/>
      <c r="SV4" s="283"/>
      <c r="SW4" s="283"/>
      <c r="SX4" s="283"/>
      <c r="SY4" s="283"/>
      <c r="SZ4" s="283"/>
      <c r="TA4" s="283"/>
      <c r="TB4" s="283"/>
      <c r="TC4" s="283"/>
      <c r="TD4" s="283"/>
      <c r="TE4" s="283"/>
      <c r="TF4" s="283"/>
      <c r="TG4" s="283"/>
      <c r="TH4" s="283"/>
      <c r="TI4" s="283"/>
      <c r="TJ4" s="283"/>
      <c r="TK4" s="283"/>
      <c r="TL4" s="283"/>
      <c r="TM4" s="283"/>
      <c r="TN4" s="283"/>
      <c r="TO4" s="283"/>
      <c r="TP4" s="283"/>
      <c r="TQ4" s="283"/>
      <c r="TR4" s="283"/>
      <c r="TS4" s="283"/>
      <c r="TT4" s="283"/>
      <c r="TU4" s="283"/>
      <c r="TV4" s="283"/>
      <c r="TW4" s="283"/>
      <c r="TX4" s="283"/>
      <c r="TY4" s="283"/>
      <c r="TZ4" s="283"/>
      <c r="UA4" s="283"/>
      <c r="UB4" s="283"/>
      <c r="UC4" s="283"/>
      <c r="UD4" s="283"/>
      <c r="UE4" s="283"/>
      <c r="UF4" s="283"/>
      <c r="UG4" s="283"/>
      <c r="UH4" s="283"/>
      <c r="UI4" s="283"/>
      <c r="UJ4" s="283"/>
      <c r="UK4" s="283"/>
      <c r="UL4" s="283"/>
      <c r="UM4" s="283"/>
      <c r="UN4" s="283"/>
      <c r="UO4" s="283"/>
      <c r="UP4" s="283"/>
      <c r="UQ4" s="283"/>
      <c r="UR4" s="283"/>
      <c r="US4" s="283"/>
      <c r="UT4" s="283"/>
      <c r="UU4" s="283"/>
      <c r="UV4" s="283"/>
      <c r="UW4" s="283"/>
      <c r="UX4" s="283"/>
      <c r="UY4" s="283"/>
      <c r="UZ4" s="283"/>
      <c r="VA4" s="283"/>
      <c r="VB4" s="283"/>
      <c r="VC4" s="283"/>
      <c r="VD4" s="283"/>
      <c r="VE4" s="283"/>
      <c r="VF4" s="283"/>
      <c r="VG4" s="283"/>
      <c r="VH4" s="283"/>
      <c r="VI4" s="283"/>
      <c r="VJ4" s="283"/>
      <c r="VK4" s="283"/>
      <c r="VL4" s="283"/>
      <c r="VM4" s="283"/>
      <c r="VN4" s="283"/>
      <c r="VO4" s="283"/>
      <c r="VP4" s="283"/>
      <c r="VQ4" s="283"/>
      <c r="VR4" s="283"/>
      <c r="VS4" s="283"/>
      <c r="VT4" s="283"/>
      <c r="VU4" s="283"/>
      <c r="VV4" s="283"/>
      <c r="VW4" s="283"/>
      <c r="VX4" s="283"/>
      <c r="VY4" s="283"/>
      <c r="VZ4" s="283"/>
      <c r="WA4" s="283"/>
      <c r="WB4" s="283"/>
      <c r="WC4" s="283"/>
      <c r="WD4" s="283"/>
      <c r="WE4" s="283"/>
      <c r="WF4" s="283"/>
      <c r="WG4" s="283"/>
      <c r="WH4" s="283"/>
      <c r="WI4" s="283"/>
      <c r="WJ4" s="283"/>
      <c r="WK4" s="283"/>
      <c r="WL4" s="283"/>
      <c r="WM4" s="283"/>
      <c r="WN4" s="283"/>
      <c r="WO4" s="283"/>
      <c r="WP4" s="283"/>
      <c r="WQ4" s="283"/>
      <c r="WR4" s="283"/>
      <c r="WS4" s="283"/>
      <c r="WT4" s="283"/>
      <c r="WU4" s="283"/>
      <c r="WV4" s="283"/>
      <c r="WW4" s="283"/>
      <c r="WX4" s="283"/>
      <c r="WY4" s="283"/>
      <c r="WZ4" s="283"/>
      <c r="XA4" s="283"/>
      <c r="XB4" s="283"/>
      <c r="XC4" s="283"/>
      <c r="XD4" s="283"/>
      <c r="XE4" s="283"/>
      <c r="XF4" s="283"/>
      <c r="XG4" s="283"/>
      <c r="XH4" s="283"/>
      <c r="XI4" s="283"/>
      <c r="XJ4" s="283"/>
      <c r="XK4" s="283"/>
      <c r="XL4" s="283"/>
      <c r="XM4" s="283"/>
      <c r="XN4" s="283"/>
      <c r="XO4" s="283"/>
      <c r="XP4" s="283"/>
      <c r="XQ4" s="283"/>
      <c r="XR4" s="283"/>
      <c r="XS4" s="283"/>
      <c r="XT4" s="283"/>
      <c r="XU4" s="283"/>
      <c r="XV4" s="283"/>
      <c r="XW4" s="283"/>
      <c r="XX4" s="283"/>
      <c r="XY4" s="283"/>
      <c r="XZ4" s="283"/>
      <c r="YA4" s="283"/>
      <c r="YB4" s="283"/>
      <c r="YC4" s="283"/>
      <c r="YD4" s="283"/>
      <c r="YE4" s="283"/>
      <c r="YF4" s="283"/>
      <c r="YG4" s="283"/>
      <c r="YH4" s="283"/>
      <c r="YI4" s="283"/>
      <c r="YJ4" s="283"/>
      <c r="YK4" s="283"/>
      <c r="YL4" s="283"/>
      <c r="YM4" s="283"/>
      <c r="YN4" s="283"/>
      <c r="YO4" s="283"/>
      <c r="YP4" s="283"/>
      <c r="YQ4" s="283"/>
      <c r="YR4" s="283"/>
      <c r="YS4" s="283"/>
      <c r="YT4" s="283"/>
      <c r="YU4" s="283"/>
      <c r="YV4" s="283"/>
      <c r="YW4" s="283"/>
      <c r="YX4" s="283"/>
      <c r="YY4" s="283"/>
      <c r="YZ4" s="283"/>
      <c r="ZA4" s="283"/>
      <c r="ZB4" s="283"/>
      <c r="ZC4" s="283"/>
      <c r="ZD4" s="283"/>
      <c r="ZE4" s="283"/>
      <c r="ZF4" s="283"/>
      <c r="ZG4" s="283"/>
      <c r="ZH4" s="283"/>
      <c r="ZI4" s="283"/>
      <c r="ZJ4" s="283"/>
      <c r="ZK4" s="283"/>
      <c r="ZL4" s="283"/>
      <c r="ZM4" s="283"/>
      <c r="ZN4" s="283"/>
      <c r="ZO4" s="283"/>
      <c r="ZP4" s="283"/>
      <c r="ZQ4" s="283"/>
      <c r="ZR4" s="283"/>
      <c r="ZS4" s="283"/>
      <c r="ZT4" s="283"/>
      <c r="ZU4" s="283"/>
      <c r="ZV4" s="283"/>
      <c r="ZW4" s="283"/>
      <c r="ZX4" s="283"/>
      <c r="ZY4" s="283"/>
      <c r="ZZ4" s="283"/>
      <c r="AAA4" s="283"/>
      <c r="AAB4" s="283"/>
      <c r="AAC4" s="283"/>
      <c r="AAD4" s="283"/>
      <c r="AAE4" s="283"/>
      <c r="AAF4" s="283"/>
      <c r="AAG4" s="283"/>
      <c r="AAH4" s="283"/>
      <c r="AAI4" s="283"/>
      <c r="AAJ4" s="283"/>
      <c r="AAK4" s="283"/>
      <c r="AAL4" s="283"/>
      <c r="AAM4" s="283"/>
      <c r="AAN4" s="283"/>
      <c r="AAO4" s="283"/>
      <c r="AAP4" s="283"/>
      <c r="AAQ4" s="283"/>
      <c r="AAR4" s="283"/>
      <c r="AAS4" s="283"/>
      <c r="AAT4" s="283"/>
      <c r="AAU4" s="283"/>
      <c r="AAV4" s="283"/>
      <c r="AAW4" s="283"/>
      <c r="AAX4" s="283"/>
      <c r="AAY4" s="283"/>
      <c r="AAZ4" s="283"/>
      <c r="ABA4" s="283"/>
      <c r="ABB4" s="283"/>
      <c r="ABC4" s="283"/>
      <c r="ABD4" s="283"/>
      <c r="ABE4" s="283"/>
      <c r="ABF4" s="283"/>
      <c r="ABG4" s="283"/>
      <c r="ABH4" s="283"/>
      <c r="ABI4" s="283"/>
      <c r="ABJ4" s="283"/>
      <c r="ABK4" s="283"/>
      <c r="ABL4" s="283"/>
      <c r="ABM4" s="283"/>
      <c r="ABN4" s="283"/>
      <c r="ABO4" s="283"/>
      <c r="ABP4" s="283"/>
      <c r="ABQ4" s="283"/>
      <c r="ABR4" s="283"/>
      <c r="ABS4" s="283"/>
      <c r="ABT4" s="283"/>
      <c r="ABU4" s="283"/>
      <c r="ABV4" s="283"/>
      <c r="ABW4" s="283"/>
      <c r="ABX4" s="283"/>
      <c r="ABY4" s="283"/>
      <c r="ABZ4" s="283"/>
      <c r="ACA4" s="283"/>
      <c r="ACB4" s="283"/>
      <c r="ACC4" s="283"/>
      <c r="ACD4" s="283"/>
      <c r="ACE4" s="283"/>
      <c r="ACF4" s="283"/>
      <c r="ACG4" s="283"/>
      <c r="ACH4" s="283"/>
      <c r="ACI4" s="283"/>
      <c r="ACJ4" s="283"/>
      <c r="ACK4" s="283"/>
      <c r="ACL4" s="283"/>
      <c r="ACM4" s="283"/>
      <c r="ACN4" s="283"/>
      <c r="ACO4" s="283"/>
      <c r="ACP4" s="283"/>
      <c r="ACQ4" s="283"/>
      <c r="ACR4" s="283"/>
      <c r="ACS4" s="283"/>
      <c r="ACT4" s="283"/>
      <c r="ACU4" s="283"/>
      <c r="ACV4" s="283"/>
      <c r="ACW4" s="283"/>
      <c r="ACX4" s="283"/>
      <c r="ACY4" s="283"/>
      <c r="ACZ4" s="283"/>
      <c r="ADA4" s="283"/>
      <c r="ADB4" s="283"/>
      <c r="ADC4" s="283"/>
      <c r="ADD4" s="283"/>
      <c r="ADE4" s="283"/>
      <c r="ADF4" s="283"/>
      <c r="ADG4" s="283"/>
      <c r="ADH4" s="283"/>
      <c r="ADI4" s="283"/>
      <c r="ADJ4" s="283"/>
      <c r="ADK4" s="283"/>
      <c r="ADL4" s="283"/>
      <c r="ADM4" s="283"/>
      <c r="ADN4" s="283"/>
      <c r="ADO4" s="283"/>
      <c r="ADP4" s="283"/>
      <c r="ADQ4" s="283"/>
      <c r="ADR4" s="283"/>
      <c r="ADS4" s="283"/>
      <c r="ADT4" s="283"/>
      <c r="ADU4" s="283"/>
      <c r="ADV4" s="283"/>
      <c r="ADW4" s="283"/>
      <c r="ADX4" s="283"/>
      <c r="ADY4" s="283"/>
      <c r="ADZ4" s="283"/>
      <c r="AEA4" s="283"/>
      <c r="AEB4" s="283"/>
      <c r="AEC4" s="283"/>
      <c r="AED4" s="283"/>
      <c r="AEE4" s="283"/>
      <c r="AEF4" s="283"/>
      <c r="AEG4" s="283"/>
      <c r="AEH4" s="283"/>
      <c r="AEI4" s="283"/>
      <c r="AEJ4" s="283"/>
      <c r="AEK4" s="283"/>
      <c r="AEL4" s="283"/>
      <c r="AEM4" s="283"/>
      <c r="AEN4" s="283"/>
      <c r="AEO4" s="283"/>
      <c r="AEP4" s="283"/>
      <c r="AEQ4" s="283"/>
      <c r="AER4" s="283"/>
      <c r="AES4" s="283"/>
      <c r="AET4" s="283"/>
      <c r="AEU4" s="283"/>
      <c r="AEV4" s="283"/>
      <c r="AEW4" s="283"/>
      <c r="AEX4" s="283"/>
      <c r="AEY4" s="283"/>
      <c r="AEZ4" s="283"/>
      <c r="AFA4" s="283"/>
      <c r="AFB4" s="283"/>
      <c r="AFC4" s="283"/>
      <c r="AFD4" s="283"/>
      <c r="AFE4" s="283"/>
      <c r="AFF4" s="283"/>
      <c r="AFG4" s="283"/>
      <c r="AFH4" s="283"/>
      <c r="AFI4" s="283"/>
      <c r="AFJ4" s="283"/>
      <c r="AFK4" s="283"/>
      <c r="AFL4" s="283"/>
      <c r="AFM4" s="283"/>
      <c r="AFN4" s="283"/>
      <c r="AFO4" s="283"/>
      <c r="AFP4" s="283"/>
      <c r="AFQ4" s="283"/>
      <c r="AFR4" s="283"/>
      <c r="AFS4" s="283"/>
      <c r="AFT4" s="283"/>
      <c r="AFU4" s="283"/>
      <c r="AFV4" s="283"/>
      <c r="AFW4" s="283"/>
      <c r="AFX4" s="283"/>
      <c r="AFY4" s="283"/>
      <c r="AFZ4" s="283"/>
      <c r="AGA4" s="283"/>
      <c r="AGB4" s="283"/>
      <c r="AGC4" s="283"/>
      <c r="AGD4" s="283"/>
      <c r="AGE4" s="283"/>
      <c r="AGF4" s="283"/>
      <c r="AGG4" s="283"/>
      <c r="AGH4" s="283"/>
      <c r="AGI4" s="283"/>
      <c r="AGJ4" s="283"/>
      <c r="AGK4" s="283"/>
      <c r="AGL4" s="283"/>
      <c r="AGM4" s="283"/>
      <c r="AGN4" s="283"/>
      <c r="AGO4" s="283"/>
      <c r="AGP4" s="283"/>
      <c r="AGQ4" s="283"/>
      <c r="AGR4" s="283"/>
      <c r="AGS4" s="283"/>
      <c r="AGT4" s="283"/>
      <c r="AGU4" s="283"/>
      <c r="AGV4" s="283"/>
      <c r="AGW4" s="283"/>
      <c r="AGX4" s="283"/>
      <c r="AGY4" s="283"/>
      <c r="AGZ4" s="283"/>
      <c r="AHA4" s="283"/>
      <c r="AHB4" s="283"/>
      <c r="AHC4" s="283"/>
      <c r="AHD4" s="283"/>
      <c r="AHE4" s="283"/>
      <c r="AHF4" s="283"/>
      <c r="AHG4" s="283"/>
      <c r="AHH4" s="283"/>
      <c r="AHI4" s="283"/>
      <c r="AHJ4" s="283"/>
      <c r="AHK4" s="283"/>
      <c r="AHL4" s="283"/>
      <c r="AHM4" s="283"/>
      <c r="AHN4" s="283"/>
      <c r="AHO4" s="283"/>
      <c r="AHP4" s="283"/>
      <c r="AHQ4" s="283"/>
      <c r="AHR4" s="283"/>
      <c r="AHS4" s="283"/>
      <c r="AHT4" s="283"/>
      <c r="AHU4" s="283"/>
      <c r="AHV4" s="283"/>
      <c r="AHW4" s="283"/>
      <c r="AHX4" s="283"/>
      <c r="AHY4" s="283"/>
      <c r="AHZ4" s="283"/>
      <c r="AIA4" s="283"/>
      <c r="AIB4" s="283"/>
      <c r="AIC4" s="283"/>
      <c r="AID4" s="283"/>
      <c r="AIE4" s="283"/>
      <c r="AIF4" s="283"/>
      <c r="AIG4" s="283"/>
      <c r="AIH4" s="283"/>
      <c r="AII4" s="283"/>
      <c r="AIJ4" s="283"/>
      <c r="AIK4" s="283"/>
      <c r="AIL4" s="283"/>
      <c r="AIM4" s="283"/>
      <c r="AIN4" s="283"/>
      <c r="AIO4" s="283"/>
      <c r="AIP4" s="283"/>
      <c r="AIQ4" s="283"/>
      <c r="AIR4" s="283"/>
      <c r="AIS4" s="283"/>
      <c r="AIT4" s="283"/>
      <c r="AIU4" s="283"/>
      <c r="AIV4" s="283"/>
      <c r="AIW4" s="283"/>
      <c r="AIX4" s="283"/>
      <c r="AIY4" s="283"/>
      <c r="AIZ4" s="283"/>
      <c r="AJA4" s="283"/>
      <c r="AJB4" s="283"/>
      <c r="AJC4" s="283"/>
      <c r="AJD4" s="283"/>
      <c r="AJE4" s="283"/>
      <c r="AJF4" s="283"/>
      <c r="AJG4" s="283"/>
      <c r="AJH4" s="283"/>
      <c r="AJI4" s="283"/>
      <c r="AJJ4" s="283"/>
      <c r="AJK4" s="283"/>
      <c r="AJL4" s="283"/>
      <c r="AJM4" s="283"/>
      <c r="AJN4" s="283"/>
      <c r="AJO4" s="283"/>
      <c r="AJP4" s="283"/>
      <c r="AJQ4" s="283"/>
      <c r="AJR4" s="283"/>
      <c r="AJS4" s="283"/>
      <c r="AJT4" s="283"/>
      <c r="AJU4" s="283"/>
      <c r="AJV4" s="283"/>
      <c r="AJW4" s="283"/>
      <c r="AJX4" s="283"/>
      <c r="AJY4" s="283"/>
      <c r="AJZ4" s="283"/>
      <c r="AKA4" s="283"/>
      <c r="AKB4" s="283"/>
      <c r="AKC4" s="283"/>
      <c r="AKD4" s="283"/>
      <c r="AKE4" s="283"/>
      <c r="AKF4" s="283"/>
      <c r="AKG4" s="283"/>
      <c r="AKH4" s="283"/>
      <c r="AKI4" s="283"/>
      <c r="AKJ4" s="283"/>
      <c r="AKK4" s="283"/>
      <c r="AKL4" s="283"/>
      <c r="AKM4" s="283"/>
      <c r="AKN4" s="283"/>
      <c r="AKO4" s="283"/>
      <c r="AKP4" s="283"/>
      <c r="AKQ4" s="283"/>
      <c r="AKR4" s="283"/>
      <c r="AKS4" s="283"/>
      <c r="AKT4" s="283"/>
      <c r="AKU4" s="283"/>
      <c r="AKV4" s="283"/>
      <c r="AKW4" s="283"/>
      <c r="AKX4" s="283"/>
      <c r="AKY4" s="283"/>
      <c r="AKZ4" s="283"/>
      <c r="ALA4" s="283"/>
      <c r="ALB4" s="283"/>
      <c r="ALC4" s="283"/>
      <c r="ALD4" s="283"/>
      <c r="ALE4" s="283"/>
      <c r="ALF4" s="283"/>
      <c r="ALG4" s="283"/>
      <c r="ALH4" s="283"/>
      <c r="ALI4" s="283"/>
      <c r="ALJ4" s="283"/>
      <c r="ALK4" s="283"/>
      <c r="ALL4" s="283"/>
      <c r="ALM4" s="283"/>
      <c r="ALN4" s="283"/>
      <c r="ALO4" s="283"/>
      <c r="ALP4" s="283"/>
      <c r="ALQ4" s="283"/>
      <c r="ALR4" s="283"/>
      <c r="ALS4" s="283"/>
      <c r="ALT4" s="283"/>
      <c r="ALU4" s="283"/>
      <c r="ALV4" s="283"/>
      <c r="ALW4" s="283"/>
      <c r="ALX4" s="283"/>
      <c r="ALY4" s="283"/>
      <c r="ALZ4" s="283"/>
      <c r="AMA4" s="283"/>
      <c r="AMB4" s="283"/>
      <c r="AMC4" s="283"/>
      <c r="AMD4" s="283"/>
      <c r="AME4" s="283"/>
      <c r="AMF4" s="283"/>
      <c r="AMG4" s="283"/>
      <c r="AMH4" s="283"/>
      <c r="AMI4" s="283"/>
      <c r="AMJ4" s="283"/>
      <c r="AMK4" s="283"/>
    </row>
    <row r="5" spans="1:1025" s="283" customFormat="1" ht="11.25" x14ac:dyDescent="0.2"/>
    <row r="6" spans="1:1025" s="417" customFormat="1" ht="11.25" x14ac:dyDescent="0.2">
      <c r="A6" s="283"/>
      <c r="B6" s="283"/>
      <c r="C6" s="283"/>
      <c r="D6" s="283" t="s">
        <v>717</v>
      </c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  <c r="BO6" s="283"/>
      <c r="BP6" s="283"/>
      <c r="BQ6" s="283"/>
      <c r="BR6" s="283"/>
      <c r="BS6" s="283"/>
      <c r="BT6" s="283"/>
      <c r="BU6" s="283"/>
      <c r="BV6" s="283"/>
      <c r="BW6" s="283"/>
      <c r="BX6" s="283"/>
      <c r="BY6" s="283"/>
      <c r="BZ6" s="283"/>
      <c r="CA6" s="283"/>
      <c r="CB6" s="283"/>
      <c r="CC6" s="283"/>
      <c r="CD6" s="283"/>
      <c r="CE6" s="283"/>
      <c r="CF6" s="283"/>
      <c r="CG6" s="283"/>
      <c r="CH6" s="283"/>
      <c r="CI6" s="283"/>
      <c r="CJ6" s="283"/>
      <c r="CK6" s="283"/>
      <c r="CL6" s="283"/>
      <c r="CM6" s="283"/>
      <c r="CN6" s="283"/>
      <c r="CO6" s="283"/>
      <c r="CP6" s="283"/>
      <c r="CQ6" s="283"/>
      <c r="CR6" s="283"/>
      <c r="CS6" s="283"/>
      <c r="CT6" s="283"/>
      <c r="CU6" s="283"/>
      <c r="CV6" s="283"/>
      <c r="CW6" s="283"/>
      <c r="CX6" s="283"/>
      <c r="CY6" s="283"/>
      <c r="CZ6" s="283"/>
      <c r="DA6" s="283"/>
      <c r="DB6" s="283"/>
      <c r="DC6" s="283"/>
      <c r="DD6" s="283"/>
      <c r="DE6" s="283"/>
      <c r="DF6" s="283"/>
      <c r="DG6" s="283"/>
      <c r="DH6" s="283"/>
      <c r="DI6" s="283"/>
      <c r="DJ6" s="283"/>
      <c r="DK6" s="283"/>
      <c r="DL6" s="283"/>
      <c r="DM6" s="283"/>
      <c r="DN6" s="283"/>
      <c r="DO6" s="283"/>
      <c r="DP6" s="283"/>
      <c r="DQ6" s="283"/>
      <c r="DR6" s="283"/>
      <c r="DS6" s="283"/>
      <c r="DT6" s="283"/>
      <c r="DU6" s="283"/>
      <c r="DV6" s="283"/>
      <c r="DW6" s="283"/>
      <c r="DX6" s="283"/>
      <c r="DY6" s="283"/>
      <c r="DZ6" s="283"/>
      <c r="EA6" s="283"/>
      <c r="EB6" s="283"/>
      <c r="EC6" s="283"/>
      <c r="ED6" s="283"/>
      <c r="EE6" s="283"/>
      <c r="EF6" s="283"/>
      <c r="EG6" s="283"/>
      <c r="EH6" s="283"/>
      <c r="EI6" s="283"/>
      <c r="EJ6" s="283"/>
      <c r="EK6" s="283"/>
      <c r="EL6" s="283"/>
      <c r="EM6" s="283"/>
      <c r="EN6" s="283"/>
      <c r="EO6" s="283"/>
      <c r="EP6" s="283"/>
      <c r="EQ6" s="283"/>
      <c r="ER6" s="283"/>
      <c r="ES6" s="283"/>
      <c r="ET6" s="283"/>
      <c r="EU6" s="283"/>
      <c r="EV6" s="283"/>
      <c r="EW6" s="283"/>
      <c r="EX6" s="283"/>
      <c r="EY6" s="283"/>
      <c r="EZ6" s="283"/>
      <c r="FA6" s="283"/>
      <c r="FB6" s="283"/>
      <c r="FC6" s="283"/>
      <c r="FD6" s="283"/>
      <c r="FE6" s="283"/>
      <c r="FF6" s="283"/>
      <c r="FG6" s="283"/>
      <c r="FH6" s="283"/>
      <c r="FI6" s="283"/>
      <c r="FJ6" s="283"/>
      <c r="FK6" s="283"/>
      <c r="FL6" s="283"/>
      <c r="FM6" s="283"/>
      <c r="FN6" s="283"/>
      <c r="FO6" s="283"/>
      <c r="FP6" s="283"/>
      <c r="FQ6" s="283"/>
      <c r="FR6" s="283"/>
      <c r="FS6" s="283"/>
      <c r="FT6" s="283"/>
      <c r="FU6" s="283"/>
      <c r="FV6" s="283"/>
      <c r="FW6" s="283"/>
      <c r="FX6" s="283"/>
      <c r="FY6" s="283"/>
      <c r="FZ6" s="283"/>
      <c r="GA6" s="283"/>
      <c r="GB6" s="283"/>
      <c r="GC6" s="283"/>
      <c r="GD6" s="283"/>
      <c r="GE6" s="283"/>
      <c r="GF6" s="283"/>
      <c r="GG6" s="283"/>
      <c r="GH6" s="283"/>
      <c r="GI6" s="283"/>
      <c r="GJ6" s="283"/>
      <c r="GK6" s="283"/>
      <c r="GL6" s="283"/>
      <c r="GM6" s="283"/>
      <c r="GN6" s="283"/>
      <c r="GO6" s="283"/>
      <c r="GP6" s="283"/>
      <c r="GQ6" s="283"/>
      <c r="GR6" s="283"/>
      <c r="GS6" s="283"/>
      <c r="GT6" s="283"/>
      <c r="GU6" s="283"/>
      <c r="GV6" s="283"/>
      <c r="GW6" s="283"/>
      <c r="GX6" s="283"/>
      <c r="GY6" s="283"/>
      <c r="GZ6" s="283"/>
      <c r="HA6" s="283"/>
      <c r="HB6" s="283"/>
      <c r="HC6" s="283"/>
      <c r="HD6" s="283"/>
      <c r="HE6" s="283"/>
      <c r="HF6" s="283"/>
      <c r="HG6" s="283"/>
      <c r="HH6" s="283"/>
      <c r="HI6" s="283"/>
      <c r="HJ6" s="283"/>
      <c r="HK6" s="283"/>
      <c r="HL6" s="283"/>
      <c r="HM6" s="283"/>
      <c r="HN6" s="283"/>
      <c r="HO6" s="283"/>
      <c r="HP6" s="283"/>
      <c r="HQ6" s="283"/>
      <c r="HR6" s="283"/>
      <c r="HS6" s="283"/>
      <c r="HT6" s="283"/>
      <c r="HU6" s="283"/>
      <c r="HV6" s="283"/>
      <c r="HW6" s="283"/>
      <c r="HX6" s="283"/>
      <c r="HY6" s="283"/>
      <c r="HZ6" s="283"/>
      <c r="IA6" s="283"/>
      <c r="IB6" s="283"/>
      <c r="IC6" s="283"/>
      <c r="ID6" s="283"/>
      <c r="IE6" s="283"/>
      <c r="IF6" s="283"/>
      <c r="IG6" s="283"/>
      <c r="IH6" s="283"/>
      <c r="II6" s="283"/>
      <c r="IJ6" s="283"/>
      <c r="IK6" s="283"/>
      <c r="IL6" s="283"/>
      <c r="IM6" s="283"/>
      <c r="IN6" s="283"/>
      <c r="IO6" s="283"/>
      <c r="IP6" s="283"/>
      <c r="IQ6" s="283"/>
      <c r="IR6" s="283"/>
      <c r="IS6" s="283"/>
      <c r="IT6" s="283"/>
      <c r="IU6" s="283"/>
      <c r="IV6" s="283"/>
      <c r="IW6" s="283"/>
      <c r="IX6" s="283"/>
      <c r="IY6" s="283"/>
      <c r="IZ6" s="283"/>
      <c r="JA6" s="283"/>
      <c r="JB6" s="283"/>
      <c r="JC6" s="283"/>
      <c r="JD6" s="283"/>
      <c r="JE6" s="283"/>
      <c r="JF6" s="283"/>
      <c r="JG6" s="283"/>
      <c r="JH6" s="283"/>
      <c r="JI6" s="283"/>
      <c r="JJ6" s="283"/>
      <c r="JK6" s="283"/>
      <c r="JL6" s="283"/>
      <c r="JM6" s="283"/>
      <c r="JN6" s="283"/>
      <c r="JO6" s="283"/>
      <c r="JP6" s="283"/>
      <c r="JQ6" s="283"/>
      <c r="JR6" s="283"/>
      <c r="JS6" s="283"/>
      <c r="JT6" s="283"/>
      <c r="JU6" s="283"/>
      <c r="JV6" s="283"/>
      <c r="JW6" s="283"/>
      <c r="JX6" s="283"/>
      <c r="JY6" s="283"/>
      <c r="JZ6" s="283"/>
      <c r="KA6" s="283"/>
      <c r="KB6" s="283"/>
      <c r="KC6" s="283"/>
      <c r="KD6" s="283"/>
      <c r="KE6" s="283"/>
      <c r="KF6" s="283"/>
      <c r="KG6" s="283"/>
      <c r="KH6" s="283"/>
      <c r="KI6" s="283"/>
      <c r="KJ6" s="283"/>
      <c r="KK6" s="283"/>
      <c r="KL6" s="283"/>
      <c r="KM6" s="283"/>
      <c r="KN6" s="283"/>
      <c r="KO6" s="283"/>
      <c r="KP6" s="283"/>
      <c r="KQ6" s="283"/>
      <c r="KR6" s="283"/>
      <c r="KS6" s="283"/>
      <c r="KT6" s="283"/>
      <c r="KU6" s="283"/>
      <c r="KV6" s="283"/>
      <c r="KW6" s="283"/>
      <c r="KX6" s="283"/>
      <c r="KY6" s="283"/>
      <c r="KZ6" s="283"/>
      <c r="LA6" s="283"/>
      <c r="LB6" s="283"/>
      <c r="LC6" s="283"/>
      <c r="LD6" s="283"/>
      <c r="LE6" s="283"/>
      <c r="LF6" s="283"/>
      <c r="LG6" s="283"/>
      <c r="LH6" s="283"/>
      <c r="LI6" s="283"/>
      <c r="LJ6" s="283"/>
      <c r="LK6" s="283"/>
      <c r="LL6" s="283"/>
      <c r="LM6" s="283"/>
      <c r="LN6" s="283"/>
      <c r="LO6" s="283"/>
      <c r="LP6" s="283"/>
      <c r="LQ6" s="283"/>
      <c r="LR6" s="283"/>
      <c r="LS6" s="283"/>
      <c r="LT6" s="283"/>
      <c r="LU6" s="283"/>
      <c r="LV6" s="283"/>
      <c r="LW6" s="283"/>
      <c r="LX6" s="283"/>
      <c r="LY6" s="283"/>
      <c r="LZ6" s="283"/>
      <c r="MA6" s="283"/>
      <c r="MB6" s="283"/>
      <c r="MC6" s="283"/>
      <c r="MD6" s="283"/>
      <c r="ME6" s="283"/>
      <c r="MF6" s="283"/>
      <c r="MG6" s="283"/>
      <c r="MH6" s="283"/>
      <c r="MI6" s="283"/>
      <c r="MJ6" s="283"/>
      <c r="MK6" s="283"/>
      <c r="ML6" s="283"/>
      <c r="MM6" s="283"/>
      <c r="MN6" s="283"/>
      <c r="MO6" s="283"/>
      <c r="MP6" s="283"/>
      <c r="MQ6" s="283"/>
      <c r="MR6" s="283"/>
      <c r="MS6" s="283"/>
      <c r="MT6" s="283"/>
      <c r="MU6" s="283"/>
      <c r="MV6" s="283"/>
      <c r="MW6" s="283"/>
      <c r="MX6" s="283"/>
      <c r="MY6" s="283"/>
      <c r="MZ6" s="283"/>
      <c r="NA6" s="283"/>
      <c r="NB6" s="283"/>
      <c r="NC6" s="283"/>
      <c r="ND6" s="283"/>
      <c r="NE6" s="283"/>
      <c r="NF6" s="283"/>
      <c r="NG6" s="283"/>
      <c r="NH6" s="283"/>
      <c r="NI6" s="283"/>
      <c r="NJ6" s="283"/>
      <c r="NK6" s="283"/>
      <c r="NL6" s="283"/>
      <c r="NM6" s="283"/>
      <c r="NN6" s="283"/>
      <c r="NO6" s="283"/>
      <c r="NP6" s="283"/>
      <c r="NQ6" s="283"/>
      <c r="NR6" s="283"/>
      <c r="NS6" s="283"/>
      <c r="NT6" s="283"/>
      <c r="NU6" s="283"/>
      <c r="NV6" s="283"/>
      <c r="NW6" s="283"/>
      <c r="NX6" s="283"/>
      <c r="NY6" s="283"/>
      <c r="NZ6" s="283"/>
      <c r="OA6" s="283"/>
      <c r="OB6" s="283"/>
      <c r="OC6" s="283"/>
      <c r="OD6" s="283"/>
      <c r="OE6" s="283"/>
      <c r="OF6" s="283"/>
      <c r="OG6" s="283"/>
      <c r="OH6" s="283"/>
      <c r="OI6" s="283"/>
      <c r="OJ6" s="283"/>
      <c r="OK6" s="283"/>
      <c r="OL6" s="283"/>
      <c r="OM6" s="283"/>
      <c r="ON6" s="283"/>
      <c r="OO6" s="283"/>
      <c r="OP6" s="283"/>
      <c r="OQ6" s="283"/>
      <c r="OR6" s="283"/>
      <c r="OS6" s="283"/>
      <c r="OT6" s="283"/>
      <c r="OU6" s="283"/>
      <c r="OV6" s="283"/>
      <c r="OW6" s="283"/>
      <c r="OX6" s="283"/>
      <c r="OY6" s="283"/>
      <c r="OZ6" s="283"/>
      <c r="PA6" s="283"/>
      <c r="PB6" s="283"/>
      <c r="PC6" s="283"/>
      <c r="PD6" s="283"/>
      <c r="PE6" s="283"/>
      <c r="PF6" s="283"/>
      <c r="PG6" s="283"/>
      <c r="PH6" s="283"/>
      <c r="PI6" s="283"/>
      <c r="PJ6" s="283"/>
      <c r="PK6" s="283"/>
      <c r="PL6" s="283"/>
      <c r="PM6" s="283"/>
      <c r="PN6" s="283"/>
      <c r="PO6" s="283"/>
      <c r="PP6" s="283"/>
      <c r="PQ6" s="283"/>
      <c r="PR6" s="283"/>
      <c r="PS6" s="283"/>
      <c r="PT6" s="283"/>
      <c r="PU6" s="283"/>
      <c r="PV6" s="283"/>
      <c r="PW6" s="283"/>
      <c r="PX6" s="283"/>
      <c r="PY6" s="283"/>
      <c r="PZ6" s="283"/>
      <c r="QA6" s="283"/>
      <c r="QB6" s="283"/>
      <c r="QC6" s="283"/>
      <c r="QD6" s="283"/>
      <c r="QE6" s="283"/>
      <c r="QF6" s="283"/>
      <c r="QG6" s="283"/>
      <c r="QH6" s="283"/>
      <c r="QI6" s="283"/>
      <c r="QJ6" s="283"/>
      <c r="QK6" s="283"/>
      <c r="QL6" s="283"/>
      <c r="QM6" s="283"/>
      <c r="QN6" s="283"/>
      <c r="QO6" s="283"/>
      <c r="QP6" s="283"/>
      <c r="QQ6" s="283"/>
      <c r="QR6" s="283"/>
      <c r="QS6" s="283"/>
      <c r="QT6" s="283"/>
      <c r="QU6" s="283"/>
      <c r="QV6" s="283"/>
      <c r="QW6" s="283"/>
      <c r="QX6" s="283"/>
      <c r="QY6" s="283"/>
      <c r="QZ6" s="283"/>
      <c r="RA6" s="283"/>
      <c r="RB6" s="283"/>
      <c r="RC6" s="283"/>
      <c r="RD6" s="283"/>
      <c r="RE6" s="283"/>
      <c r="RF6" s="283"/>
      <c r="RG6" s="283"/>
      <c r="RH6" s="283"/>
      <c r="RI6" s="283"/>
      <c r="RJ6" s="283"/>
      <c r="RK6" s="283"/>
      <c r="RL6" s="283"/>
      <c r="RM6" s="283"/>
      <c r="RN6" s="283"/>
      <c r="RO6" s="283"/>
      <c r="RP6" s="283"/>
      <c r="RQ6" s="283"/>
      <c r="RR6" s="283"/>
      <c r="RS6" s="283"/>
      <c r="RT6" s="283"/>
      <c r="RU6" s="283"/>
      <c r="RV6" s="283"/>
      <c r="RW6" s="283"/>
      <c r="RX6" s="283"/>
      <c r="RY6" s="283"/>
      <c r="RZ6" s="283"/>
      <c r="SA6" s="283"/>
      <c r="SB6" s="283"/>
      <c r="SC6" s="283"/>
      <c r="SD6" s="283"/>
      <c r="SE6" s="283"/>
      <c r="SF6" s="283"/>
      <c r="SG6" s="283"/>
      <c r="SH6" s="283"/>
      <c r="SI6" s="283"/>
      <c r="SJ6" s="283"/>
      <c r="SK6" s="283"/>
      <c r="SL6" s="283"/>
      <c r="SM6" s="283"/>
      <c r="SN6" s="283"/>
      <c r="SO6" s="283"/>
      <c r="SP6" s="283"/>
      <c r="SQ6" s="283"/>
      <c r="SR6" s="283"/>
      <c r="SS6" s="283"/>
      <c r="ST6" s="283"/>
      <c r="SU6" s="283"/>
      <c r="SV6" s="283"/>
      <c r="SW6" s="283"/>
      <c r="SX6" s="283"/>
      <c r="SY6" s="283"/>
      <c r="SZ6" s="283"/>
      <c r="TA6" s="283"/>
      <c r="TB6" s="283"/>
      <c r="TC6" s="283"/>
      <c r="TD6" s="283"/>
      <c r="TE6" s="283"/>
      <c r="TF6" s="283"/>
      <c r="TG6" s="283"/>
      <c r="TH6" s="283"/>
      <c r="TI6" s="283"/>
      <c r="TJ6" s="283"/>
      <c r="TK6" s="283"/>
      <c r="TL6" s="283"/>
      <c r="TM6" s="283"/>
      <c r="TN6" s="283"/>
      <c r="TO6" s="283"/>
      <c r="TP6" s="283"/>
      <c r="TQ6" s="283"/>
      <c r="TR6" s="283"/>
      <c r="TS6" s="283"/>
      <c r="TT6" s="283"/>
      <c r="TU6" s="283"/>
      <c r="TV6" s="283"/>
      <c r="TW6" s="283"/>
      <c r="TX6" s="283"/>
      <c r="TY6" s="283"/>
      <c r="TZ6" s="283"/>
      <c r="UA6" s="283"/>
      <c r="UB6" s="283"/>
      <c r="UC6" s="283"/>
      <c r="UD6" s="283"/>
      <c r="UE6" s="283"/>
      <c r="UF6" s="283"/>
      <c r="UG6" s="283"/>
      <c r="UH6" s="283"/>
      <c r="UI6" s="283"/>
      <c r="UJ6" s="283"/>
      <c r="UK6" s="283"/>
      <c r="UL6" s="283"/>
      <c r="UM6" s="283"/>
      <c r="UN6" s="283"/>
      <c r="UO6" s="283"/>
      <c r="UP6" s="283"/>
      <c r="UQ6" s="283"/>
      <c r="UR6" s="283"/>
      <c r="US6" s="283"/>
      <c r="UT6" s="283"/>
      <c r="UU6" s="283"/>
      <c r="UV6" s="283"/>
      <c r="UW6" s="283"/>
      <c r="UX6" s="283"/>
      <c r="UY6" s="283"/>
      <c r="UZ6" s="283"/>
      <c r="VA6" s="283"/>
      <c r="VB6" s="283"/>
      <c r="VC6" s="283"/>
      <c r="VD6" s="283"/>
      <c r="VE6" s="283"/>
      <c r="VF6" s="283"/>
      <c r="VG6" s="283"/>
      <c r="VH6" s="283"/>
      <c r="VI6" s="283"/>
      <c r="VJ6" s="283"/>
      <c r="VK6" s="283"/>
      <c r="VL6" s="283"/>
      <c r="VM6" s="283"/>
      <c r="VN6" s="283"/>
      <c r="VO6" s="283"/>
      <c r="VP6" s="283"/>
      <c r="VQ6" s="283"/>
      <c r="VR6" s="283"/>
      <c r="VS6" s="283"/>
      <c r="VT6" s="283"/>
      <c r="VU6" s="283"/>
      <c r="VV6" s="283"/>
      <c r="VW6" s="283"/>
      <c r="VX6" s="283"/>
      <c r="VY6" s="283"/>
      <c r="VZ6" s="283"/>
      <c r="WA6" s="283"/>
      <c r="WB6" s="283"/>
      <c r="WC6" s="283"/>
      <c r="WD6" s="283"/>
      <c r="WE6" s="283"/>
      <c r="WF6" s="283"/>
      <c r="WG6" s="283"/>
      <c r="WH6" s="283"/>
      <c r="WI6" s="283"/>
      <c r="WJ6" s="283"/>
      <c r="WK6" s="283"/>
      <c r="WL6" s="283"/>
      <c r="WM6" s="283"/>
      <c r="WN6" s="283"/>
      <c r="WO6" s="283"/>
      <c r="WP6" s="283"/>
      <c r="WQ6" s="283"/>
      <c r="WR6" s="283"/>
      <c r="WS6" s="283"/>
      <c r="WT6" s="283"/>
      <c r="WU6" s="283"/>
      <c r="WV6" s="283"/>
      <c r="WW6" s="283"/>
      <c r="WX6" s="283"/>
      <c r="WY6" s="283"/>
      <c r="WZ6" s="283"/>
      <c r="XA6" s="283"/>
      <c r="XB6" s="283"/>
      <c r="XC6" s="283"/>
      <c r="XD6" s="283"/>
      <c r="XE6" s="283"/>
      <c r="XF6" s="283"/>
      <c r="XG6" s="283"/>
      <c r="XH6" s="283"/>
      <c r="XI6" s="283"/>
      <c r="XJ6" s="283"/>
      <c r="XK6" s="283"/>
      <c r="XL6" s="283"/>
      <c r="XM6" s="283"/>
      <c r="XN6" s="283"/>
      <c r="XO6" s="283"/>
      <c r="XP6" s="283"/>
      <c r="XQ6" s="283"/>
      <c r="XR6" s="283"/>
      <c r="XS6" s="283"/>
      <c r="XT6" s="283"/>
      <c r="XU6" s="283"/>
      <c r="XV6" s="283"/>
      <c r="XW6" s="283"/>
      <c r="XX6" s="283"/>
      <c r="XY6" s="283"/>
      <c r="XZ6" s="283"/>
      <c r="YA6" s="283"/>
      <c r="YB6" s="283"/>
      <c r="YC6" s="283"/>
      <c r="YD6" s="283"/>
      <c r="YE6" s="283"/>
      <c r="YF6" s="283"/>
      <c r="YG6" s="283"/>
      <c r="YH6" s="283"/>
      <c r="YI6" s="283"/>
      <c r="YJ6" s="283"/>
      <c r="YK6" s="283"/>
      <c r="YL6" s="283"/>
      <c r="YM6" s="283"/>
      <c r="YN6" s="283"/>
      <c r="YO6" s="283"/>
      <c r="YP6" s="283"/>
      <c r="YQ6" s="283"/>
      <c r="YR6" s="283"/>
      <c r="YS6" s="283"/>
      <c r="YT6" s="283"/>
      <c r="YU6" s="283"/>
      <c r="YV6" s="283"/>
      <c r="YW6" s="283"/>
      <c r="YX6" s="283"/>
      <c r="YY6" s="283"/>
      <c r="YZ6" s="283"/>
      <c r="ZA6" s="283"/>
      <c r="ZB6" s="283"/>
      <c r="ZC6" s="283"/>
      <c r="ZD6" s="283"/>
      <c r="ZE6" s="283"/>
      <c r="ZF6" s="283"/>
      <c r="ZG6" s="283"/>
      <c r="ZH6" s="283"/>
      <c r="ZI6" s="283"/>
      <c r="ZJ6" s="283"/>
      <c r="ZK6" s="283"/>
      <c r="ZL6" s="283"/>
      <c r="ZM6" s="283"/>
      <c r="ZN6" s="283"/>
      <c r="ZO6" s="283"/>
      <c r="ZP6" s="283"/>
      <c r="ZQ6" s="283"/>
      <c r="ZR6" s="283"/>
      <c r="ZS6" s="283"/>
      <c r="ZT6" s="283"/>
      <c r="ZU6" s="283"/>
      <c r="ZV6" s="283"/>
      <c r="ZW6" s="283"/>
      <c r="ZX6" s="283"/>
      <c r="ZY6" s="283"/>
      <c r="ZZ6" s="283"/>
      <c r="AAA6" s="283"/>
      <c r="AAB6" s="283"/>
      <c r="AAC6" s="283"/>
      <c r="AAD6" s="283"/>
      <c r="AAE6" s="283"/>
      <c r="AAF6" s="283"/>
      <c r="AAG6" s="283"/>
      <c r="AAH6" s="283"/>
      <c r="AAI6" s="283"/>
      <c r="AAJ6" s="283"/>
      <c r="AAK6" s="283"/>
      <c r="AAL6" s="283"/>
      <c r="AAM6" s="283"/>
      <c r="AAN6" s="283"/>
      <c r="AAO6" s="283"/>
      <c r="AAP6" s="283"/>
      <c r="AAQ6" s="283"/>
      <c r="AAR6" s="283"/>
      <c r="AAS6" s="283"/>
      <c r="AAT6" s="283"/>
      <c r="AAU6" s="283"/>
      <c r="AAV6" s="283"/>
      <c r="AAW6" s="283"/>
      <c r="AAX6" s="283"/>
      <c r="AAY6" s="283"/>
      <c r="AAZ6" s="283"/>
      <c r="ABA6" s="283"/>
      <c r="ABB6" s="283"/>
      <c r="ABC6" s="283"/>
      <c r="ABD6" s="283"/>
      <c r="ABE6" s="283"/>
      <c r="ABF6" s="283"/>
      <c r="ABG6" s="283"/>
      <c r="ABH6" s="283"/>
      <c r="ABI6" s="283"/>
      <c r="ABJ6" s="283"/>
      <c r="ABK6" s="283"/>
      <c r="ABL6" s="283"/>
      <c r="ABM6" s="283"/>
      <c r="ABN6" s="283"/>
      <c r="ABO6" s="283"/>
      <c r="ABP6" s="283"/>
      <c r="ABQ6" s="283"/>
      <c r="ABR6" s="283"/>
      <c r="ABS6" s="283"/>
      <c r="ABT6" s="283"/>
      <c r="ABU6" s="283"/>
      <c r="ABV6" s="283"/>
      <c r="ABW6" s="283"/>
      <c r="ABX6" s="283"/>
      <c r="ABY6" s="283"/>
      <c r="ABZ6" s="283"/>
      <c r="ACA6" s="283"/>
      <c r="ACB6" s="283"/>
      <c r="ACC6" s="283"/>
      <c r="ACD6" s="283"/>
      <c r="ACE6" s="283"/>
      <c r="ACF6" s="283"/>
      <c r="ACG6" s="283"/>
      <c r="ACH6" s="283"/>
      <c r="ACI6" s="283"/>
      <c r="ACJ6" s="283"/>
      <c r="ACK6" s="283"/>
      <c r="ACL6" s="283"/>
      <c r="ACM6" s="283"/>
      <c r="ACN6" s="283"/>
      <c r="ACO6" s="283"/>
      <c r="ACP6" s="283"/>
      <c r="ACQ6" s="283"/>
      <c r="ACR6" s="283"/>
      <c r="ACS6" s="283"/>
      <c r="ACT6" s="283"/>
      <c r="ACU6" s="283"/>
      <c r="ACV6" s="283"/>
      <c r="ACW6" s="283"/>
      <c r="ACX6" s="283"/>
      <c r="ACY6" s="283"/>
      <c r="ACZ6" s="283"/>
      <c r="ADA6" s="283"/>
      <c r="ADB6" s="283"/>
      <c r="ADC6" s="283"/>
      <c r="ADD6" s="283"/>
      <c r="ADE6" s="283"/>
      <c r="ADF6" s="283"/>
      <c r="ADG6" s="283"/>
      <c r="ADH6" s="283"/>
      <c r="ADI6" s="283"/>
      <c r="ADJ6" s="283"/>
      <c r="ADK6" s="283"/>
      <c r="ADL6" s="283"/>
      <c r="ADM6" s="283"/>
      <c r="ADN6" s="283"/>
      <c r="ADO6" s="283"/>
      <c r="ADP6" s="283"/>
      <c r="ADQ6" s="283"/>
      <c r="ADR6" s="283"/>
      <c r="ADS6" s="283"/>
      <c r="ADT6" s="283"/>
      <c r="ADU6" s="283"/>
      <c r="ADV6" s="283"/>
      <c r="ADW6" s="283"/>
      <c r="ADX6" s="283"/>
      <c r="ADY6" s="283"/>
      <c r="ADZ6" s="283"/>
      <c r="AEA6" s="283"/>
      <c r="AEB6" s="283"/>
      <c r="AEC6" s="283"/>
      <c r="AED6" s="283"/>
      <c r="AEE6" s="283"/>
      <c r="AEF6" s="283"/>
      <c r="AEG6" s="283"/>
      <c r="AEH6" s="283"/>
      <c r="AEI6" s="283"/>
      <c r="AEJ6" s="283"/>
      <c r="AEK6" s="283"/>
      <c r="AEL6" s="283"/>
      <c r="AEM6" s="283"/>
      <c r="AEN6" s="283"/>
      <c r="AEO6" s="283"/>
      <c r="AEP6" s="283"/>
      <c r="AEQ6" s="283"/>
      <c r="AER6" s="283"/>
      <c r="AES6" s="283"/>
      <c r="AET6" s="283"/>
      <c r="AEU6" s="283"/>
      <c r="AEV6" s="283"/>
      <c r="AEW6" s="283"/>
      <c r="AEX6" s="283"/>
      <c r="AEY6" s="283"/>
      <c r="AEZ6" s="283"/>
      <c r="AFA6" s="283"/>
      <c r="AFB6" s="283"/>
      <c r="AFC6" s="283"/>
      <c r="AFD6" s="283"/>
      <c r="AFE6" s="283"/>
      <c r="AFF6" s="283"/>
      <c r="AFG6" s="283"/>
      <c r="AFH6" s="283"/>
      <c r="AFI6" s="283"/>
      <c r="AFJ6" s="283"/>
      <c r="AFK6" s="283"/>
      <c r="AFL6" s="283"/>
      <c r="AFM6" s="283"/>
      <c r="AFN6" s="283"/>
      <c r="AFO6" s="283"/>
      <c r="AFP6" s="283"/>
      <c r="AFQ6" s="283"/>
      <c r="AFR6" s="283"/>
      <c r="AFS6" s="283"/>
      <c r="AFT6" s="283"/>
      <c r="AFU6" s="283"/>
      <c r="AFV6" s="283"/>
      <c r="AFW6" s="283"/>
      <c r="AFX6" s="283"/>
      <c r="AFY6" s="283"/>
      <c r="AFZ6" s="283"/>
      <c r="AGA6" s="283"/>
      <c r="AGB6" s="283"/>
      <c r="AGC6" s="283"/>
      <c r="AGD6" s="283"/>
      <c r="AGE6" s="283"/>
      <c r="AGF6" s="283"/>
      <c r="AGG6" s="283"/>
      <c r="AGH6" s="283"/>
      <c r="AGI6" s="283"/>
      <c r="AGJ6" s="283"/>
      <c r="AGK6" s="283"/>
      <c r="AGL6" s="283"/>
      <c r="AGM6" s="283"/>
      <c r="AGN6" s="283"/>
      <c r="AGO6" s="283"/>
      <c r="AGP6" s="283"/>
      <c r="AGQ6" s="283"/>
      <c r="AGR6" s="283"/>
      <c r="AGS6" s="283"/>
      <c r="AGT6" s="283"/>
      <c r="AGU6" s="283"/>
      <c r="AGV6" s="283"/>
      <c r="AGW6" s="283"/>
      <c r="AGX6" s="283"/>
      <c r="AGY6" s="283"/>
      <c r="AGZ6" s="283"/>
      <c r="AHA6" s="283"/>
      <c r="AHB6" s="283"/>
      <c r="AHC6" s="283"/>
      <c r="AHD6" s="283"/>
      <c r="AHE6" s="283"/>
      <c r="AHF6" s="283"/>
      <c r="AHG6" s="283"/>
      <c r="AHH6" s="283"/>
      <c r="AHI6" s="283"/>
      <c r="AHJ6" s="283"/>
      <c r="AHK6" s="283"/>
      <c r="AHL6" s="283"/>
      <c r="AHM6" s="283"/>
      <c r="AHN6" s="283"/>
      <c r="AHO6" s="283"/>
      <c r="AHP6" s="283"/>
      <c r="AHQ6" s="283"/>
      <c r="AHR6" s="283"/>
      <c r="AHS6" s="283"/>
      <c r="AHT6" s="283"/>
      <c r="AHU6" s="283"/>
      <c r="AHV6" s="283"/>
      <c r="AHW6" s="283"/>
      <c r="AHX6" s="283"/>
      <c r="AHY6" s="283"/>
      <c r="AHZ6" s="283"/>
      <c r="AIA6" s="283"/>
      <c r="AIB6" s="283"/>
      <c r="AIC6" s="283"/>
      <c r="AID6" s="283"/>
      <c r="AIE6" s="283"/>
      <c r="AIF6" s="283"/>
      <c r="AIG6" s="283"/>
      <c r="AIH6" s="283"/>
      <c r="AII6" s="283"/>
      <c r="AIJ6" s="283"/>
      <c r="AIK6" s="283"/>
      <c r="AIL6" s="283"/>
      <c r="AIM6" s="283"/>
      <c r="AIN6" s="283"/>
      <c r="AIO6" s="283"/>
      <c r="AIP6" s="283"/>
      <c r="AIQ6" s="283"/>
      <c r="AIR6" s="283"/>
      <c r="AIS6" s="283"/>
      <c r="AIT6" s="283"/>
      <c r="AIU6" s="283"/>
      <c r="AIV6" s="283"/>
      <c r="AIW6" s="283"/>
      <c r="AIX6" s="283"/>
      <c r="AIY6" s="283"/>
      <c r="AIZ6" s="283"/>
      <c r="AJA6" s="283"/>
      <c r="AJB6" s="283"/>
      <c r="AJC6" s="283"/>
      <c r="AJD6" s="283"/>
      <c r="AJE6" s="283"/>
      <c r="AJF6" s="283"/>
      <c r="AJG6" s="283"/>
      <c r="AJH6" s="283"/>
      <c r="AJI6" s="283"/>
      <c r="AJJ6" s="283"/>
      <c r="AJK6" s="283"/>
      <c r="AJL6" s="283"/>
      <c r="AJM6" s="283"/>
      <c r="AJN6" s="283"/>
      <c r="AJO6" s="283"/>
      <c r="AJP6" s="283"/>
      <c r="AJQ6" s="283"/>
      <c r="AJR6" s="283"/>
      <c r="AJS6" s="283"/>
      <c r="AJT6" s="283"/>
      <c r="AJU6" s="283"/>
      <c r="AJV6" s="283"/>
      <c r="AJW6" s="283"/>
      <c r="AJX6" s="283"/>
      <c r="AJY6" s="283"/>
      <c r="AJZ6" s="283"/>
      <c r="AKA6" s="283"/>
      <c r="AKB6" s="283"/>
      <c r="AKC6" s="283"/>
      <c r="AKD6" s="283"/>
      <c r="AKE6" s="283"/>
      <c r="AKF6" s="283"/>
      <c r="AKG6" s="283"/>
      <c r="AKH6" s="283"/>
      <c r="AKI6" s="283"/>
      <c r="AKJ6" s="283"/>
      <c r="AKK6" s="283"/>
      <c r="AKL6" s="283"/>
      <c r="AKM6" s="283"/>
      <c r="AKN6" s="283"/>
      <c r="AKO6" s="283"/>
      <c r="AKP6" s="283"/>
      <c r="AKQ6" s="283"/>
      <c r="AKR6" s="283"/>
      <c r="AKS6" s="283"/>
      <c r="AKT6" s="283"/>
      <c r="AKU6" s="283"/>
      <c r="AKV6" s="283"/>
      <c r="AKW6" s="283"/>
      <c r="AKX6" s="283"/>
      <c r="AKY6" s="283"/>
      <c r="AKZ6" s="283"/>
      <c r="ALA6" s="283"/>
      <c r="ALB6" s="283"/>
      <c r="ALC6" s="283"/>
      <c r="ALD6" s="283"/>
      <c r="ALE6" s="283"/>
      <c r="ALF6" s="283"/>
      <c r="ALG6" s="283"/>
      <c r="ALH6" s="283"/>
      <c r="ALI6" s="283"/>
      <c r="ALJ6" s="283"/>
      <c r="ALK6" s="283"/>
      <c r="ALL6" s="283"/>
      <c r="ALM6" s="283"/>
      <c r="ALN6" s="283"/>
      <c r="ALO6" s="283"/>
      <c r="ALP6" s="283"/>
      <c r="ALQ6" s="283"/>
      <c r="ALR6" s="283"/>
      <c r="ALS6" s="283"/>
      <c r="ALT6" s="283"/>
      <c r="ALU6" s="283"/>
      <c r="ALV6" s="283"/>
      <c r="ALW6" s="283"/>
      <c r="ALX6" s="283"/>
      <c r="ALY6" s="283"/>
      <c r="ALZ6" s="283"/>
      <c r="AMA6" s="283"/>
      <c r="AMB6" s="283"/>
      <c r="AMC6" s="283"/>
      <c r="AMD6" s="283"/>
      <c r="AME6" s="283"/>
      <c r="AMF6" s="283"/>
      <c r="AMG6" s="283"/>
      <c r="AMH6" s="283"/>
      <c r="AMI6" s="283"/>
      <c r="AMJ6" s="283"/>
      <c r="AMK6" s="283"/>
    </row>
    <row r="7" spans="1:1025" s="417" customFormat="1" ht="11.25" x14ac:dyDescent="0.2">
      <c r="A7" s="283"/>
      <c r="B7" s="283"/>
      <c r="C7" s="283"/>
      <c r="D7" s="283"/>
      <c r="E7" s="283"/>
      <c r="F7" s="155" t="s">
        <v>718</v>
      </c>
      <c r="G7" s="155"/>
      <c r="H7" s="155"/>
      <c r="I7" s="155" t="s">
        <v>719</v>
      </c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  <c r="CK7" s="283"/>
      <c r="CL7" s="283"/>
      <c r="CM7" s="283"/>
      <c r="CN7" s="283"/>
      <c r="CO7" s="283"/>
      <c r="CP7" s="283"/>
      <c r="CQ7" s="283"/>
      <c r="CR7" s="283"/>
      <c r="CS7" s="283"/>
      <c r="CT7" s="283"/>
      <c r="CU7" s="283"/>
      <c r="CV7" s="283"/>
      <c r="CW7" s="283"/>
      <c r="CX7" s="283"/>
      <c r="CY7" s="283"/>
      <c r="CZ7" s="283"/>
      <c r="DA7" s="283"/>
      <c r="DB7" s="283"/>
      <c r="DC7" s="283"/>
      <c r="DD7" s="283"/>
      <c r="DE7" s="283"/>
      <c r="DF7" s="283"/>
      <c r="DG7" s="283"/>
      <c r="DH7" s="283"/>
      <c r="DI7" s="283"/>
      <c r="DJ7" s="283"/>
      <c r="DK7" s="283"/>
      <c r="DL7" s="283"/>
      <c r="DM7" s="283"/>
      <c r="DN7" s="283"/>
      <c r="DO7" s="283"/>
      <c r="DP7" s="283"/>
      <c r="DQ7" s="283"/>
      <c r="DR7" s="283"/>
      <c r="DS7" s="283"/>
      <c r="DT7" s="283"/>
      <c r="DU7" s="283"/>
      <c r="DV7" s="283"/>
      <c r="DW7" s="283"/>
      <c r="DX7" s="283"/>
      <c r="DY7" s="283"/>
      <c r="DZ7" s="283"/>
      <c r="EA7" s="283"/>
      <c r="EB7" s="283"/>
      <c r="EC7" s="283"/>
      <c r="ED7" s="283"/>
      <c r="EE7" s="283"/>
      <c r="EF7" s="283"/>
      <c r="EG7" s="283"/>
      <c r="EH7" s="283"/>
      <c r="EI7" s="283"/>
      <c r="EJ7" s="283"/>
      <c r="EK7" s="283"/>
      <c r="EL7" s="283"/>
      <c r="EM7" s="283"/>
      <c r="EN7" s="283"/>
      <c r="EO7" s="283"/>
      <c r="EP7" s="283"/>
      <c r="EQ7" s="283"/>
      <c r="ER7" s="283"/>
      <c r="ES7" s="283"/>
      <c r="ET7" s="283"/>
      <c r="EU7" s="283"/>
      <c r="EV7" s="283"/>
      <c r="EW7" s="283"/>
      <c r="EX7" s="283"/>
      <c r="EY7" s="283"/>
      <c r="EZ7" s="283"/>
      <c r="FA7" s="283"/>
      <c r="FB7" s="283"/>
      <c r="FC7" s="283"/>
      <c r="FD7" s="283"/>
      <c r="FE7" s="283"/>
      <c r="FF7" s="283"/>
      <c r="FG7" s="283"/>
      <c r="FH7" s="283"/>
      <c r="FI7" s="283"/>
      <c r="FJ7" s="283"/>
      <c r="FK7" s="283"/>
      <c r="FL7" s="283"/>
      <c r="FM7" s="283"/>
      <c r="FN7" s="283"/>
      <c r="FO7" s="283"/>
      <c r="FP7" s="283"/>
      <c r="FQ7" s="283"/>
      <c r="FR7" s="283"/>
      <c r="FS7" s="283"/>
      <c r="FT7" s="283"/>
      <c r="FU7" s="283"/>
      <c r="FV7" s="283"/>
      <c r="FW7" s="283"/>
      <c r="FX7" s="283"/>
      <c r="FY7" s="283"/>
      <c r="FZ7" s="283"/>
      <c r="GA7" s="283"/>
      <c r="GB7" s="283"/>
      <c r="GC7" s="283"/>
      <c r="GD7" s="283"/>
      <c r="GE7" s="283"/>
      <c r="GF7" s="283"/>
      <c r="GG7" s="283"/>
      <c r="GH7" s="283"/>
      <c r="GI7" s="283"/>
      <c r="GJ7" s="283"/>
      <c r="GK7" s="283"/>
      <c r="GL7" s="283"/>
      <c r="GM7" s="283"/>
      <c r="GN7" s="283"/>
      <c r="GO7" s="283"/>
      <c r="GP7" s="283"/>
      <c r="GQ7" s="283"/>
      <c r="GR7" s="283"/>
      <c r="GS7" s="283"/>
      <c r="GT7" s="283"/>
      <c r="GU7" s="283"/>
      <c r="GV7" s="283"/>
      <c r="GW7" s="283"/>
      <c r="GX7" s="283"/>
      <c r="GY7" s="283"/>
      <c r="GZ7" s="283"/>
      <c r="HA7" s="283"/>
      <c r="HB7" s="283"/>
      <c r="HC7" s="283"/>
      <c r="HD7" s="283"/>
      <c r="HE7" s="283"/>
      <c r="HF7" s="283"/>
      <c r="HG7" s="283"/>
      <c r="HH7" s="283"/>
      <c r="HI7" s="283"/>
      <c r="HJ7" s="283"/>
      <c r="HK7" s="283"/>
      <c r="HL7" s="283"/>
      <c r="HM7" s="283"/>
      <c r="HN7" s="283"/>
      <c r="HO7" s="283"/>
      <c r="HP7" s="283"/>
      <c r="HQ7" s="283"/>
      <c r="HR7" s="283"/>
      <c r="HS7" s="283"/>
      <c r="HT7" s="283"/>
      <c r="HU7" s="283"/>
      <c r="HV7" s="283"/>
      <c r="HW7" s="283"/>
      <c r="HX7" s="283"/>
      <c r="HY7" s="283"/>
      <c r="HZ7" s="283"/>
      <c r="IA7" s="283"/>
      <c r="IB7" s="283"/>
      <c r="IC7" s="283"/>
      <c r="ID7" s="283"/>
      <c r="IE7" s="283"/>
      <c r="IF7" s="283"/>
      <c r="IG7" s="283"/>
      <c r="IH7" s="283"/>
      <c r="II7" s="283"/>
      <c r="IJ7" s="283"/>
      <c r="IK7" s="283"/>
      <c r="IL7" s="283"/>
      <c r="IM7" s="283"/>
      <c r="IN7" s="283"/>
      <c r="IO7" s="283"/>
      <c r="IP7" s="283"/>
      <c r="IQ7" s="283"/>
      <c r="IR7" s="283"/>
      <c r="IS7" s="283"/>
      <c r="IT7" s="283"/>
      <c r="IU7" s="283"/>
      <c r="IV7" s="283"/>
      <c r="IW7" s="283"/>
      <c r="IX7" s="283"/>
      <c r="IY7" s="283"/>
      <c r="IZ7" s="283"/>
      <c r="JA7" s="283"/>
      <c r="JB7" s="283"/>
      <c r="JC7" s="283"/>
      <c r="JD7" s="283"/>
      <c r="JE7" s="283"/>
      <c r="JF7" s="283"/>
      <c r="JG7" s="283"/>
      <c r="JH7" s="283"/>
      <c r="JI7" s="283"/>
      <c r="JJ7" s="283"/>
      <c r="JK7" s="283"/>
      <c r="JL7" s="283"/>
      <c r="JM7" s="283"/>
      <c r="JN7" s="283"/>
      <c r="JO7" s="283"/>
      <c r="JP7" s="283"/>
      <c r="JQ7" s="283"/>
      <c r="JR7" s="283"/>
      <c r="JS7" s="283"/>
      <c r="JT7" s="283"/>
      <c r="JU7" s="283"/>
      <c r="JV7" s="283"/>
      <c r="JW7" s="283"/>
      <c r="JX7" s="283"/>
      <c r="JY7" s="283"/>
      <c r="JZ7" s="283"/>
      <c r="KA7" s="283"/>
      <c r="KB7" s="283"/>
      <c r="KC7" s="283"/>
      <c r="KD7" s="283"/>
      <c r="KE7" s="283"/>
      <c r="KF7" s="283"/>
      <c r="KG7" s="283"/>
      <c r="KH7" s="283"/>
      <c r="KI7" s="283"/>
      <c r="KJ7" s="283"/>
      <c r="KK7" s="283"/>
      <c r="KL7" s="283"/>
      <c r="KM7" s="283"/>
      <c r="KN7" s="283"/>
      <c r="KO7" s="283"/>
      <c r="KP7" s="283"/>
      <c r="KQ7" s="283"/>
      <c r="KR7" s="283"/>
      <c r="KS7" s="283"/>
      <c r="KT7" s="283"/>
      <c r="KU7" s="283"/>
      <c r="KV7" s="283"/>
      <c r="KW7" s="283"/>
      <c r="KX7" s="283"/>
      <c r="KY7" s="283"/>
      <c r="KZ7" s="283"/>
      <c r="LA7" s="283"/>
      <c r="LB7" s="283"/>
      <c r="LC7" s="283"/>
      <c r="LD7" s="283"/>
      <c r="LE7" s="283"/>
      <c r="LF7" s="283"/>
      <c r="LG7" s="283"/>
      <c r="LH7" s="283"/>
      <c r="LI7" s="283"/>
      <c r="LJ7" s="283"/>
      <c r="LK7" s="283"/>
      <c r="LL7" s="283"/>
      <c r="LM7" s="283"/>
      <c r="LN7" s="283"/>
      <c r="LO7" s="283"/>
      <c r="LP7" s="283"/>
      <c r="LQ7" s="283"/>
      <c r="LR7" s="283"/>
      <c r="LS7" s="283"/>
      <c r="LT7" s="283"/>
      <c r="LU7" s="283"/>
      <c r="LV7" s="283"/>
      <c r="LW7" s="283"/>
      <c r="LX7" s="283"/>
      <c r="LY7" s="283"/>
      <c r="LZ7" s="283"/>
      <c r="MA7" s="283"/>
      <c r="MB7" s="283"/>
      <c r="MC7" s="283"/>
      <c r="MD7" s="283"/>
      <c r="ME7" s="283"/>
      <c r="MF7" s="283"/>
      <c r="MG7" s="283"/>
      <c r="MH7" s="283"/>
      <c r="MI7" s="283"/>
      <c r="MJ7" s="283"/>
      <c r="MK7" s="283"/>
      <c r="ML7" s="283"/>
      <c r="MM7" s="283"/>
      <c r="MN7" s="283"/>
      <c r="MO7" s="283"/>
      <c r="MP7" s="283"/>
      <c r="MQ7" s="283"/>
      <c r="MR7" s="283"/>
      <c r="MS7" s="283"/>
      <c r="MT7" s="283"/>
      <c r="MU7" s="283"/>
      <c r="MV7" s="283"/>
      <c r="MW7" s="283"/>
      <c r="MX7" s="283"/>
      <c r="MY7" s="283"/>
      <c r="MZ7" s="283"/>
      <c r="NA7" s="283"/>
      <c r="NB7" s="283"/>
      <c r="NC7" s="283"/>
      <c r="ND7" s="283"/>
      <c r="NE7" s="283"/>
      <c r="NF7" s="283"/>
      <c r="NG7" s="283"/>
      <c r="NH7" s="283"/>
      <c r="NI7" s="283"/>
      <c r="NJ7" s="283"/>
      <c r="NK7" s="283"/>
      <c r="NL7" s="283"/>
      <c r="NM7" s="283"/>
      <c r="NN7" s="283"/>
      <c r="NO7" s="283"/>
      <c r="NP7" s="283"/>
      <c r="NQ7" s="283"/>
      <c r="NR7" s="283"/>
      <c r="NS7" s="283"/>
      <c r="NT7" s="283"/>
      <c r="NU7" s="283"/>
      <c r="NV7" s="283"/>
      <c r="NW7" s="283"/>
      <c r="NX7" s="283"/>
      <c r="NY7" s="283"/>
      <c r="NZ7" s="283"/>
      <c r="OA7" s="283"/>
      <c r="OB7" s="283"/>
      <c r="OC7" s="283"/>
      <c r="OD7" s="283"/>
      <c r="OE7" s="283"/>
      <c r="OF7" s="283"/>
      <c r="OG7" s="283"/>
      <c r="OH7" s="283"/>
      <c r="OI7" s="283"/>
      <c r="OJ7" s="283"/>
      <c r="OK7" s="283"/>
      <c r="OL7" s="283"/>
      <c r="OM7" s="283"/>
      <c r="ON7" s="283"/>
      <c r="OO7" s="283"/>
      <c r="OP7" s="283"/>
      <c r="OQ7" s="283"/>
      <c r="OR7" s="283"/>
      <c r="OS7" s="283"/>
      <c r="OT7" s="283"/>
      <c r="OU7" s="283"/>
      <c r="OV7" s="283"/>
      <c r="OW7" s="283"/>
      <c r="OX7" s="283"/>
      <c r="OY7" s="283"/>
      <c r="OZ7" s="283"/>
      <c r="PA7" s="283"/>
      <c r="PB7" s="283"/>
      <c r="PC7" s="283"/>
      <c r="PD7" s="283"/>
      <c r="PE7" s="283"/>
      <c r="PF7" s="283"/>
      <c r="PG7" s="283"/>
      <c r="PH7" s="283"/>
      <c r="PI7" s="283"/>
      <c r="PJ7" s="283"/>
      <c r="PK7" s="283"/>
      <c r="PL7" s="283"/>
      <c r="PM7" s="283"/>
      <c r="PN7" s="283"/>
      <c r="PO7" s="283"/>
      <c r="PP7" s="283"/>
      <c r="PQ7" s="283"/>
      <c r="PR7" s="283"/>
      <c r="PS7" s="283"/>
      <c r="PT7" s="283"/>
      <c r="PU7" s="283"/>
      <c r="PV7" s="283"/>
      <c r="PW7" s="283"/>
      <c r="PX7" s="283"/>
      <c r="PY7" s="283"/>
      <c r="PZ7" s="283"/>
      <c r="QA7" s="283"/>
      <c r="QB7" s="283"/>
      <c r="QC7" s="283"/>
      <c r="QD7" s="283"/>
      <c r="QE7" s="283"/>
      <c r="QF7" s="283"/>
      <c r="QG7" s="283"/>
      <c r="QH7" s="283"/>
      <c r="QI7" s="283"/>
      <c r="QJ7" s="283"/>
      <c r="QK7" s="283"/>
      <c r="QL7" s="283"/>
      <c r="QM7" s="283"/>
      <c r="QN7" s="283"/>
      <c r="QO7" s="283"/>
      <c r="QP7" s="283"/>
      <c r="QQ7" s="283"/>
      <c r="QR7" s="283"/>
      <c r="QS7" s="283"/>
      <c r="QT7" s="283"/>
      <c r="QU7" s="283"/>
      <c r="QV7" s="283"/>
      <c r="QW7" s="283"/>
      <c r="QX7" s="283"/>
      <c r="QY7" s="283"/>
      <c r="QZ7" s="283"/>
      <c r="RA7" s="283"/>
      <c r="RB7" s="283"/>
      <c r="RC7" s="283"/>
      <c r="RD7" s="283"/>
      <c r="RE7" s="283"/>
      <c r="RF7" s="283"/>
      <c r="RG7" s="283"/>
      <c r="RH7" s="283"/>
      <c r="RI7" s="283"/>
      <c r="RJ7" s="283"/>
      <c r="RK7" s="283"/>
      <c r="RL7" s="283"/>
      <c r="RM7" s="283"/>
      <c r="RN7" s="283"/>
      <c r="RO7" s="283"/>
      <c r="RP7" s="283"/>
      <c r="RQ7" s="283"/>
      <c r="RR7" s="283"/>
      <c r="RS7" s="283"/>
      <c r="RT7" s="283"/>
      <c r="RU7" s="283"/>
      <c r="RV7" s="283"/>
      <c r="RW7" s="283"/>
      <c r="RX7" s="283"/>
      <c r="RY7" s="283"/>
      <c r="RZ7" s="283"/>
      <c r="SA7" s="283"/>
      <c r="SB7" s="283"/>
      <c r="SC7" s="283"/>
      <c r="SD7" s="283"/>
      <c r="SE7" s="283"/>
      <c r="SF7" s="283"/>
      <c r="SG7" s="283"/>
      <c r="SH7" s="283"/>
      <c r="SI7" s="283"/>
      <c r="SJ7" s="283"/>
      <c r="SK7" s="283"/>
      <c r="SL7" s="283"/>
      <c r="SM7" s="283"/>
      <c r="SN7" s="283"/>
      <c r="SO7" s="283"/>
      <c r="SP7" s="283"/>
      <c r="SQ7" s="283"/>
      <c r="SR7" s="283"/>
      <c r="SS7" s="283"/>
      <c r="ST7" s="283"/>
      <c r="SU7" s="283"/>
      <c r="SV7" s="283"/>
      <c r="SW7" s="283"/>
      <c r="SX7" s="283"/>
      <c r="SY7" s="283"/>
      <c r="SZ7" s="283"/>
      <c r="TA7" s="283"/>
      <c r="TB7" s="283"/>
      <c r="TC7" s="283"/>
      <c r="TD7" s="283"/>
      <c r="TE7" s="283"/>
      <c r="TF7" s="283"/>
      <c r="TG7" s="283"/>
      <c r="TH7" s="283"/>
      <c r="TI7" s="283"/>
      <c r="TJ7" s="283"/>
      <c r="TK7" s="283"/>
      <c r="TL7" s="283"/>
      <c r="TM7" s="283"/>
      <c r="TN7" s="283"/>
      <c r="TO7" s="283"/>
      <c r="TP7" s="283"/>
      <c r="TQ7" s="283"/>
      <c r="TR7" s="283"/>
      <c r="TS7" s="283"/>
      <c r="TT7" s="283"/>
      <c r="TU7" s="283"/>
      <c r="TV7" s="283"/>
      <c r="TW7" s="283"/>
      <c r="TX7" s="283"/>
      <c r="TY7" s="283"/>
      <c r="TZ7" s="283"/>
      <c r="UA7" s="283"/>
      <c r="UB7" s="283"/>
      <c r="UC7" s="283"/>
      <c r="UD7" s="283"/>
      <c r="UE7" s="283"/>
      <c r="UF7" s="283"/>
      <c r="UG7" s="283"/>
      <c r="UH7" s="283"/>
      <c r="UI7" s="283"/>
      <c r="UJ7" s="283"/>
      <c r="UK7" s="283"/>
      <c r="UL7" s="283"/>
      <c r="UM7" s="283"/>
      <c r="UN7" s="283"/>
      <c r="UO7" s="283"/>
      <c r="UP7" s="283"/>
      <c r="UQ7" s="283"/>
      <c r="UR7" s="283"/>
      <c r="US7" s="283"/>
      <c r="UT7" s="283"/>
      <c r="UU7" s="283"/>
      <c r="UV7" s="283"/>
      <c r="UW7" s="283"/>
      <c r="UX7" s="283"/>
      <c r="UY7" s="283"/>
      <c r="UZ7" s="283"/>
      <c r="VA7" s="283"/>
      <c r="VB7" s="283"/>
      <c r="VC7" s="283"/>
      <c r="VD7" s="283"/>
      <c r="VE7" s="283"/>
      <c r="VF7" s="283"/>
      <c r="VG7" s="283"/>
      <c r="VH7" s="283"/>
      <c r="VI7" s="283"/>
      <c r="VJ7" s="283"/>
      <c r="VK7" s="283"/>
      <c r="VL7" s="283"/>
      <c r="VM7" s="283"/>
      <c r="VN7" s="283"/>
      <c r="VO7" s="283"/>
      <c r="VP7" s="283"/>
      <c r="VQ7" s="283"/>
      <c r="VR7" s="283"/>
      <c r="VS7" s="283"/>
      <c r="VT7" s="283"/>
      <c r="VU7" s="283"/>
      <c r="VV7" s="283"/>
      <c r="VW7" s="283"/>
      <c r="VX7" s="283"/>
      <c r="VY7" s="283"/>
      <c r="VZ7" s="283"/>
      <c r="WA7" s="283"/>
      <c r="WB7" s="283"/>
      <c r="WC7" s="283"/>
      <c r="WD7" s="283"/>
      <c r="WE7" s="283"/>
      <c r="WF7" s="283"/>
      <c r="WG7" s="283"/>
      <c r="WH7" s="283"/>
      <c r="WI7" s="283"/>
      <c r="WJ7" s="283"/>
      <c r="WK7" s="283"/>
      <c r="WL7" s="283"/>
      <c r="WM7" s="283"/>
      <c r="WN7" s="283"/>
      <c r="WO7" s="283"/>
      <c r="WP7" s="283"/>
      <c r="WQ7" s="283"/>
      <c r="WR7" s="283"/>
      <c r="WS7" s="283"/>
      <c r="WT7" s="283"/>
      <c r="WU7" s="283"/>
      <c r="WV7" s="283"/>
      <c r="WW7" s="283"/>
      <c r="WX7" s="283"/>
      <c r="WY7" s="283"/>
      <c r="WZ7" s="283"/>
      <c r="XA7" s="283"/>
      <c r="XB7" s="283"/>
      <c r="XC7" s="283"/>
      <c r="XD7" s="283"/>
      <c r="XE7" s="283"/>
      <c r="XF7" s="283"/>
      <c r="XG7" s="283"/>
      <c r="XH7" s="283"/>
      <c r="XI7" s="283"/>
      <c r="XJ7" s="283"/>
      <c r="XK7" s="283"/>
      <c r="XL7" s="283"/>
      <c r="XM7" s="283"/>
      <c r="XN7" s="283"/>
      <c r="XO7" s="283"/>
      <c r="XP7" s="283"/>
      <c r="XQ7" s="283"/>
      <c r="XR7" s="283"/>
      <c r="XS7" s="283"/>
      <c r="XT7" s="283"/>
      <c r="XU7" s="283"/>
      <c r="XV7" s="283"/>
      <c r="XW7" s="283"/>
      <c r="XX7" s="283"/>
      <c r="XY7" s="283"/>
      <c r="XZ7" s="283"/>
      <c r="YA7" s="283"/>
      <c r="YB7" s="283"/>
      <c r="YC7" s="283"/>
      <c r="YD7" s="283"/>
      <c r="YE7" s="283"/>
      <c r="YF7" s="283"/>
      <c r="YG7" s="283"/>
      <c r="YH7" s="283"/>
      <c r="YI7" s="283"/>
      <c r="YJ7" s="283"/>
      <c r="YK7" s="283"/>
      <c r="YL7" s="283"/>
      <c r="YM7" s="283"/>
      <c r="YN7" s="283"/>
      <c r="YO7" s="283"/>
      <c r="YP7" s="283"/>
      <c r="YQ7" s="283"/>
      <c r="YR7" s="283"/>
      <c r="YS7" s="283"/>
      <c r="YT7" s="283"/>
      <c r="YU7" s="283"/>
      <c r="YV7" s="283"/>
      <c r="YW7" s="283"/>
      <c r="YX7" s="283"/>
      <c r="YY7" s="283"/>
      <c r="YZ7" s="283"/>
      <c r="ZA7" s="283"/>
      <c r="ZB7" s="283"/>
      <c r="ZC7" s="283"/>
      <c r="ZD7" s="283"/>
      <c r="ZE7" s="283"/>
      <c r="ZF7" s="283"/>
      <c r="ZG7" s="283"/>
      <c r="ZH7" s="283"/>
      <c r="ZI7" s="283"/>
      <c r="ZJ7" s="283"/>
      <c r="ZK7" s="283"/>
      <c r="ZL7" s="283"/>
      <c r="ZM7" s="283"/>
      <c r="ZN7" s="283"/>
      <c r="ZO7" s="283"/>
      <c r="ZP7" s="283"/>
      <c r="ZQ7" s="283"/>
      <c r="ZR7" s="283"/>
      <c r="ZS7" s="283"/>
      <c r="ZT7" s="283"/>
      <c r="ZU7" s="283"/>
      <c r="ZV7" s="283"/>
      <c r="ZW7" s="283"/>
      <c r="ZX7" s="283"/>
      <c r="ZY7" s="283"/>
      <c r="ZZ7" s="283"/>
      <c r="AAA7" s="283"/>
      <c r="AAB7" s="283"/>
      <c r="AAC7" s="283"/>
      <c r="AAD7" s="283"/>
      <c r="AAE7" s="283"/>
      <c r="AAF7" s="283"/>
      <c r="AAG7" s="283"/>
      <c r="AAH7" s="283"/>
      <c r="AAI7" s="283"/>
      <c r="AAJ7" s="283"/>
      <c r="AAK7" s="283"/>
      <c r="AAL7" s="283"/>
      <c r="AAM7" s="283"/>
      <c r="AAN7" s="283"/>
      <c r="AAO7" s="283"/>
      <c r="AAP7" s="283"/>
      <c r="AAQ7" s="283"/>
      <c r="AAR7" s="283"/>
      <c r="AAS7" s="283"/>
      <c r="AAT7" s="283"/>
      <c r="AAU7" s="283"/>
      <c r="AAV7" s="283"/>
      <c r="AAW7" s="283"/>
      <c r="AAX7" s="283"/>
      <c r="AAY7" s="283"/>
      <c r="AAZ7" s="283"/>
      <c r="ABA7" s="283"/>
      <c r="ABB7" s="283"/>
      <c r="ABC7" s="283"/>
      <c r="ABD7" s="283"/>
      <c r="ABE7" s="283"/>
      <c r="ABF7" s="283"/>
      <c r="ABG7" s="283"/>
      <c r="ABH7" s="283"/>
      <c r="ABI7" s="283"/>
      <c r="ABJ7" s="283"/>
      <c r="ABK7" s="283"/>
      <c r="ABL7" s="283"/>
      <c r="ABM7" s="283"/>
      <c r="ABN7" s="283"/>
      <c r="ABO7" s="283"/>
      <c r="ABP7" s="283"/>
      <c r="ABQ7" s="283"/>
      <c r="ABR7" s="283"/>
      <c r="ABS7" s="283"/>
      <c r="ABT7" s="283"/>
      <c r="ABU7" s="283"/>
      <c r="ABV7" s="283"/>
      <c r="ABW7" s="283"/>
      <c r="ABX7" s="283"/>
      <c r="ABY7" s="283"/>
      <c r="ABZ7" s="283"/>
      <c r="ACA7" s="283"/>
      <c r="ACB7" s="283"/>
      <c r="ACC7" s="283"/>
      <c r="ACD7" s="283"/>
      <c r="ACE7" s="283"/>
      <c r="ACF7" s="283"/>
      <c r="ACG7" s="283"/>
      <c r="ACH7" s="283"/>
      <c r="ACI7" s="283"/>
      <c r="ACJ7" s="283"/>
      <c r="ACK7" s="283"/>
      <c r="ACL7" s="283"/>
      <c r="ACM7" s="283"/>
      <c r="ACN7" s="283"/>
      <c r="ACO7" s="283"/>
      <c r="ACP7" s="283"/>
      <c r="ACQ7" s="283"/>
      <c r="ACR7" s="283"/>
      <c r="ACS7" s="283"/>
      <c r="ACT7" s="283"/>
      <c r="ACU7" s="283"/>
      <c r="ACV7" s="283"/>
      <c r="ACW7" s="283"/>
      <c r="ACX7" s="283"/>
      <c r="ACY7" s="283"/>
      <c r="ACZ7" s="283"/>
      <c r="ADA7" s="283"/>
      <c r="ADB7" s="283"/>
      <c r="ADC7" s="283"/>
      <c r="ADD7" s="283"/>
      <c r="ADE7" s="283"/>
      <c r="ADF7" s="283"/>
      <c r="ADG7" s="283"/>
      <c r="ADH7" s="283"/>
      <c r="ADI7" s="283"/>
      <c r="ADJ7" s="283"/>
      <c r="ADK7" s="283"/>
      <c r="ADL7" s="283"/>
      <c r="ADM7" s="283"/>
      <c r="ADN7" s="283"/>
      <c r="ADO7" s="283"/>
      <c r="ADP7" s="283"/>
      <c r="ADQ7" s="283"/>
      <c r="ADR7" s="283"/>
      <c r="ADS7" s="283"/>
      <c r="ADT7" s="283"/>
      <c r="ADU7" s="283"/>
      <c r="ADV7" s="283"/>
      <c r="ADW7" s="283"/>
      <c r="ADX7" s="283"/>
      <c r="ADY7" s="283"/>
      <c r="ADZ7" s="283"/>
      <c r="AEA7" s="283"/>
      <c r="AEB7" s="283"/>
      <c r="AEC7" s="283"/>
      <c r="AED7" s="283"/>
      <c r="AEE7" s="283"/>
      <c r="AEF7" s="283"/>
      <c r="AEG7" s="283"/>
      <c r="AEH7" s="283"/>
      <c r="AEI7" s="283"/>
      <c r="AEJ7" s="283"/>
      <c r="AEK7" s="283"/>
      <c r="AEL7" s="283"/>
      <c r="AEM7" s="283"/>
      <c r="AEN7" s="283"/>
      <c r="AEO7" s="283"/>
      <c r="AEP7" s="283"/>
      <c r="AEQ7" s="283"/>
      <c r="AER7" s="283"/>
      <c r="AES7" s="283"/>
      <c r="AET7" s="283"/>
      <c r="AEU7" s="283"/>
      <c r="AEV7" s="283"/>
      <c r="AEW7" s="283"/>
      <c r="AEX7" s="283"/>
      <c r="AEY7" s="283"/>
      <c r="AEZ7" s="283"/>
      <c r="AFA7" s="283"/>
      <c r="AFB7" s="283"/>
      <c r="AFC7" s="283"/>
      <c r="AFD7" s="283"/>
      <c r="AFE7" s="283"/>
      <c r="AFF7" s="283"/>
      <c r="AFG7" s="283"/>
      <c r="AFH7" s="283"/>
      <c r="AFI7" s="283"/>
      <c r="AFJ7" s="283"/>
      <c r="AFK7" s="283"/>
      <c r="AFL7" s="283"/>
      <c r="AFM7" s="283"/>
      <c r="AFN7" s="283"/>
      <c r="AFO7" s="283"/>
      <c r="AFP7" s="283"/>
      <c r="AFQ7" s="283"/>
      <c r="AFR7" s="283"/>
      <c r="AFS7" s="283"/>
      <c r="AFT7" s="283"/>
      <c r="AFU7" s="283"/>
      <c r="AFV7" s="283"/>
      <c r="AFW7" s="283"/>
      <c r="AFX7" s="283"/>
      <c r="AFY7" s="283"/>
      <c r="AFZ7" s="283"/>
      <c r="AGA7" s="283"/>
      <c r="AGB7" s="283"/>
      <c r="AGC7" s="283"/>
      <c r="AGD7" s="283"/>
      <c r="AGE7" s="283"/>
      <c r="AGF7" s="283"/>
      <c r="AGG7" s="283"/>
      <c r="AGH7" s="283"/>
      <c r="AGI7" s="283"/>
      <c r="AGJ7" s="283"/>
      <c r="AGK7" s="283"/>
      <c r="AGL7" s="283"/>
      <c r="AGM7" s="283"/>
      <c r="AGN7" s="283"/>
      <c r="AGO7" s="283"/>
      <c r="AGP7" s="283"/>
      <c r="AGQ7" s="283"/>
      <c r="AGR7" s="283"/>
      <c r="AGS7" s="283"/>
      <c r="AGT7" s="283"/>
      <c r="AGU7" s="283"/>
      <c r="AGV7" s="283"/>
      <c r="AGW7" s="283"/>
      <c r="AGX7" s="283"/>
      <c r="AGY7" s="283"/>
      <c r="AGZ7" s="283"/>
      <c r="AHA7" s="283"/>
      <c r="AHB7" s="283"/>
      <c r="AHC7" s="283"/>
      <c r="AHD7" s="283"/>
      <c r="AHE7" s="283"/>
      <c r="AHF7" s="283"/>
      <c r="AHG7" s="283"/>
      <c r="AHH7" s="283"/>
      <c r="AHI7" s="283"/>
      <c r="AHJ7" s="283"/>
      <c r="AHK7" s="283"/>
      <c r="AHL7" s="283"/>
      <c r="AHM7" s="283"/>
      <c r="AHN7" s="283"/>
      <c r="AHO7" s="283"/>
      <c r="AHP7" s="283"/>
      <c r="AHQ7" s="283"/>
      <c r="AHR7" s="283"/>
      <c r="AHS7" s="283"/>
      <c r="AHT7" s="283"/>
      <c r="AHU7" s="283"/>
      <c r="AHV7" s="283"/>
      <c r="AHW7" s="283"/>
      <c r="AHX7" s="283"/>
      <c r="AHY7" s="283"/>
      <c r="AHZ7" s="283"/>
      <c r="AIA7" s="283"/>
      <c r="AIB7" s="283"/>
      <c r="AIC7" s="283"/>
      <c r="AID7" s="283"/>
      <c r="AIE7" s="283"/>
      <c r="AIF7" s="283"/>
      <c r="AIG7" s="283"/>
      <c r="AIH7" s="283"/>
      <c r="AII7" s="283"/>
      <c r="AIJ7" s="283"/>
      <c r="AIK7" s="283"/>
      <c r="AIL7" s="283"/>
      <c r="AIM7" s="283"/>
      <c r="AIN7" s="283"/>
      <c r="AIO7" s="283"/>
      <c r="AIP7" s="283"/>
      <c r="AIQ7" s="283"/>
      <c r="AIR7" s="283"/>
      <c r="AIS7" s="283"/>
      <c r="AIT7" s="283"/>
      <c r="AIU7" s="283"/>
      <c r="AIV7" s="283"/>
      <c r="AIW7" s="283"/>
      <c r="AIX7" s="283"/>
      <c r="AIY7" s="283"/>
      <c r="AIZ7" s="283"/>
      <c r="AJA7" s="283"/>
      <c r="AJB7" s="283"/>
      <c r="AJC7" s="283"/>
      <c r="AJD7" s="283"/>
      <c r="AJE7" s="283"/>
      <c r="AJF7" s="283"/>
      <c r="AJG7" s="283"/>
      <c r="AJH7" s="283"/>
      <c r="AJI7" s="283"/>
      <c r="AJJ7" s="283"/>
      <c r="AJK7" s="283"/>
      <c r="AJL7" s="283"/>
      <c r="AJM7" s="283"/>
      <c r="AJN7" s="283"/>
      <c r="AJO7" s="283"/>
      <c r="AJP7" s="283"/>
      <c r="AJQ7" s="283"/>
      <c r="AJR7" s="283"/>
      <c r="AJS7" s="283"/>
      <c r="AJT7" s="283"/>
      <c r="AJU7" s="283"/>
      <c r="AJV7" s="283"/>
      <c r="AJW7" s="283"/>
      <c r="AJX7" s="283"/>
      <c r="AJY7" s="283"/>
      <c r="AJZ7" s="283"/>
      <c r="AKA7" s="283"/>
      <c r="AKB7" s="283"/>
      <c r="AKC7" s="283"/>
      <c r="AKD7" s="283"/>
      <c r="AKE7" s="283"/>
      <c r="AKF7" s="283"/>
      <c r="AKG7" s="283"/>
      <c r="AKH7" s="283"/>
      <c r="AKI7" s="283"/>
      <c r="AKJ7" s="283"/>
      <c r="AKK7" s="283"/>
      <c r="AKL7" s="283"/>
      <c r="AKM7" s="283"/>
      <c r="AKN7" s="283"/>
      <c r="AKO7" s="283"/>
      <c r="AKP7" s="283"/>
      <c r="AKQ7" s="283"/>
      <c r="AKR7" s="283"/>
      <c r="AKS7" s="283"/>
      <c r="AKT7" s="283"/>
      <c r="AKU7" s="283"/>
      <c r="AKV7" s="283"/>
      <c r="AKW7" s="283"/>
      <c r="AKX7" s="283"/>
      <c r="AKY7" s="283"/>
      <c r="AKZ7" s="283"/>
      <c r="ALA7" s="283"/>
      <c r="ALB7" s="283"/>
      <c r="ALC7" s="283"/>
      <c r="ALD7" s="283"/>
      <c r="ALE7" s="283"/>
      <c r="ALF7" s="283"/>
      <c r="ALG7" s="283"/>
      <c r="ALH7" s="283"/>
      <c r="ALI7" s="283"/>
      <c r="ALJ7" s="283"/>
      <c r="ALK7" s="283"/>
      <c r="ALL7" s="283"/>
      <c r="ALM7" s="283"/>
      <c r="ALN7" s="283"/>
      <c r="ALO7" s="283"/>
      <c r="ALP7" s="283"/>
      <c r="ALQ7" s="283"/>
      <c r="ALR7" s="283"/>
      <c r="ALS7" s="283"/>
      <c r="ALT7" s="283"/>
      <c r="ALU7" s="283"/>
      <c r="ALV7" s="283"/>
      <c r="ALW7" s="283"/>
      <c r="ALX7" s="283"/>
      <c r="ALY7" s="283"/>
      <c r="ALZ7" s="283"/>
      <c r="AMA7" s="283"/>
      <c r="AMB7" s="283"/>
      <c r="AMC7" s="283"/>
      <c r="AMD7" s="283"/>
      <c r="AME7" s="283"/>
      <c r="AMF7" s="283"/>
      <c r="AMG7" s="283"/>
      <c r="AMH7" s="283"/>
      <c r="AMI7" s="283"/>
      <c r="AMJ7" s="283"/>
      <c r="AMK7" s="283"/>
    </row>
    <row r="8" spans="1:1025" s="155" customFormat="1" ht="12.75" customHeight="1" x14ac:dyDescent="0.2">
      <c r="A8" s="1044" t="s">
        <v>1621</v>
      </c>
      <c r="B8" s="1044"/>
      <c r="C8" s="1044"/>
      <c r="D8" s="286" t="s">
        <v>720</v>
      </c>
      <c r="E8" s="287"/>
      <c r="F8" s="288" t="s">
        <v>721</v>
      </c>
      <c r="G8" s="289" t="s">
        <v>722</v>
      </c>
      <c r="H8" s="288" t="s">
        <v>723</v>
      </c>
      <c r="I8" s="290" t="s">
        <v>724</v>
      </c>
      <c r="J8" s="288" t="s">
        <v>725</v>
      </c>
      <c r="K8" s="287" t="s">
        <v>726</v>
      </c>
      <c r="L8" s="288" t="s">
        <v>727</v>
      </c>
      <c r="R8" s="182"/>
      <c r="S8" s="182"/>
      <c r="T8" s="182"/>
      <c r="U8" s="182"/>
    </row>
    <row r="9" spans="1:1025" s="155" customFormat="1" ht="12.75" customHeight="1" x14ac:dyDescent="0.2">
      <c r="A9" s="1045" t="s">
        <v>728</v>
      </c>
      <c r="B9" s="1045"/>
      <c r="C9" s="1045"/>
      <c r="E9" s="291" t="s">
        <v>2625</v>
      </c>
      <c r="F9" s="292" t="s">
        <v>729</v>
      </c>
      <c r="G9" s="293" t="s">
        <v>730</v>
      </c>
      <c r="H9" s="292" t="s">
        <v>731</v>
      </c>
      <c r="I9" s="293" t="s">
        <v>732</v>
      </c>
      <c r="J9" s="292" t="s">
        <v>628</v>
      </c>
      <c r="K9" s="294" t="s">
        <v>733</v>
      </c>
      <c r="L9" s="295" t="s">
        <v>734</v>
      </c>
      <c r="R9" s="182"/>
      <c r="S9" s="182"/>
      <c r="T9" s="182"/>
      <c r="U9" s="182"/>
    </row>
    <row r="10" spans="1:1025" s="301" customFormat="1" ht="12.75" x14ac:dyDescent="0.2">
      <c r="A10" s="296" t="s">
        <v>735</v>
      </c>
      <c r="B10" s="297" t="s">
        <v>736</v>
      </c>
      <c r="C10" s="298"/>
      <c r="D10" s="298"/>
      <c r="E10" s="298"/>
      <c r="F10" s="297" t="s">
        <v>737</v>
      </c>
      <c r="G10" s="299" t="s">
        <v>738</v>
      </c>
      <c r="H10" s="298" t="s">
        <v>739</v>
      </c>
      <c r="I10" s="299" t="s">
        <v>740</v>
      </c>
      <c r="J10" s="300" t="s">
        <v>741</v>
      </c>
      <c r="K10" s="300" t="s">
        <v>742</v>
      </c>
      <c r="L10" s="300" t="s">
        <v>743</v>
      </c>
      <c r="R10" s="182"/>
      <c r="S10" s="182"/>
      <c r="T10" s="182"/>
      <c r="U10" s="182"/>
    </row>
    <row r="11" spans="1:1025" x14ac:dyDescent="0.25">
      <c r="A11" s="302">
        <v>1</v>
      </c>
      <c r="B11" s="303" t="s">
        <v>744</v>
      </c>
      <c r="C11" s="304"/>
      <c r="D11" s="304"/>
      <c r="E11" s="305"/>
      <c r="F11" s="306">
        <f>SUM(SUM(Cronogra!S4:X4))</f>
        <v>3173499.9999999995</v>
      </c>
      <c r="G11" s="307">
        <f>Cronogra!AE24</f>
        <v>2460189</v>
      </c>
      <c r="H11" s="308"/>
      <c r="I11" s="307">
        <v>6297000</v>
      </c>
      <c r="J11" s="309">
        <f t="shared" ref="J11:J26" si="0">F11-G11</f>
        <v>713310.99999999953</v>
      </c>
      <c r="K11" s="310">
        <f t="shared" ref="K11:K26" si="1">(J11/F11)*100</f>
        <v>22.477107294784926</v>
      </c>
      <c r="L11" s="310">
        <f t="shared" ref="L11:L26" si="2">(G11/$G$27)*100</f>
        <v>2.5105701301997612</v>
      </c>
      <c r="O11" s="311"/>
      <c r="R11" s="182"/>
      <c r="S11" s="182"/>
      <c r="T11" s="182"/>
      <c r="U11" s="182"/>
    </row>
    <row r="12" spans="1:1025" x14ac:dyDescent="0.25">
      <c r="A12" s="302">
        <v>2</v>
      </c>
      <c r="B12" s="312" t="s">
        <v>745</v>
      </c>
      <c r="C12" s="313"/>
      <c r="D12" s="313"/>
      <c r="E12" s="314"/>
      <c r="F12" s="306">
        <f>SUM(SUM(Cronogra!S5:X5))</f>
        <v>1442428.342695534</v>
      </c>
      <c r="G12" s="315">
        <f>Cronogra!AE25</f>
        <v>1169590.29</v>
      </c>
      <c r="H12" s="308"/>
      <c r="I12" s="315">
        <v>3020561.09</v>
      </c>
      <c r="J12" s="309">
        <f t="shared" si="0"/>
        <v>272838.05269553396</v>
      </c>
      <c r="K12" s="310">
        <f t="shared" si="1"/>
        <v>18.915189380268874</v>
      </c>
      <c r="L12" s="310">
        <f t="shared" si="2"/>
        <v>1.1935418159522202</v>
      </c>
      <c r="O12" s="311"/>
      <c r="R12" s="182"/>
      <c r="S12" s="182"/>
      <c r="T12" s="182"/>
      <c r="U12" s="182"/>
    </row>
    <row r="13" spans="1:1025" x14ac:dyDescent="0.25">
      <c r="A13" s="302">
        <v>3</v>
      </c>
      <c r="B13" s="312" t="s">
        <v>1657</v>
      </c>
      <c r="C13" s="313"/>
      <c r="D13" s="313"/>
      <c r="E13" s="314"/>
      <c r="F13" s="306">
        <f>SUM(SUM(Cronogra!S6:X6))</f>
        <v>523749.18804947962</v>
      </c>
      <c r="G13" s="315">
        <f>Cronogra!AE26</f>
        <v>405383.41</v>
      </c>
      <c r="H13" s="308"/>
      <c r="I13" s="315">
        <v>4031372.04</v>
      </c>
      <c r="J13" s="309">
        <f t="shared" si="0"/>
        <v>118365.77804947965</v>
      </c>
      <c r="K13" s="310">
        <f t="shared" si="1"/>
        <v>22.599706262131217</v>
      </c>
      <c r="L13" s="310">
        <f t="shared" si="2"/>
        <v>0.41368507883927746</v>
      </c>
      <c r="O13" s="311"/>
      <c r="R13" s="182"/>
      <c r="S13" s="182"/>
      <c r="T13" s="182"/>
      <c r="U13" s="182"/>
    </row>
    <row r="14" spans="1:1025" x14ac:dyDescent="0.25">
      <c r="A14" s="302">
        <v>4</v>
      </c>
      <c r="B14" s="312" t="s">
        <v>746</v>
      </c>
      <c r="C14" s="313"/>
      <c r="D14" s="313"/>
      <c r="E14" s="314"/>
      <c r="F14" s="306">
        <f>SUM(SUM(Cronogra!S7:X7))</f>
        <v>1056066.0888977302</v>
      </c>
      <c r="G14" s="315">
        <f>Cronogra!AE27</f>
        <v>959139.53999999992</v>
      </c>
      <c r="H14" s="308"/>
      <c r="I14" s="315">
        <v>2226569.6</v>
      </c>
      <c r="J14" s="309">
        <f t="shared" si="0"/>
        <v>96926.548897730303</v>
      </c>
      <c r="K14" s="310">
        <f t="shared" si="1"/>
        <v>9.1780760614042123</v>
      </c>
      <c r="L14" s="310">
        <f t="shared" si="2"/>
        <v>0.9787813374572194</v>
      </c>
      <c r="R14" s="182"/>
      <c r="S14" s="182"/>
      <c r="T14" s="182"/>
      <c r="U14" s="182"/>
    </row>
    <row r="15" spans="1:1025" x14ac:dyDescent="0.25">
      <c r="A15" s="302">
        <v>5</v>
      </c>
      <c r="B15" s="312" t="s">
        <v>747</v>
      </c>
      <c r="C15" s="313"/>
      <c r="D15" s="313"/>
      <c r="E15" s="314"/>
      <c r="F15" s="306">
        <f>SUM(SUM(Cronogra!S8:X8))</f>
        <v>3173361.1182601149</v>
      </c>
      <c r="G15" s="315">
        <f>Cronogra!AE28</f>
        <v>2713617.5999999996</v>
      </c>
      <c r="H15" s="308"/>
      <c r="I15" s="315">
        <v>6690593.96</v>
      </c>
      <c r="J15" s="309">
        <f t="shared" si="0"/>
        <v>459743.51826011529</v>
      </c>
      <c r="K15" s="310">
        <f t="shared" si="1"/>
        <v>14.487589061788931</v>
      </c>
      <c r="L15" s="310">
        <f t="shared" si="2"/>
        <v>2.7691885832122503</v>
      </c>
    </row>
    <row r="16" spans="1:1025" x14ac:dyDescent="0.25">
      <c r="A16" s="302">
        <v>6</v>
      </c>
      <c r="B16" s="312" t="s">
        <v>748</v>
      </c>
      <c r="C16" s="313"/>
      <c r="D16" s="313"/>
      <c r="E16" s="314"/>
      <c r="F16" s="306">
        <f>SUM(SUM(Cronogra!S9:X9))</f>
        <v>2110484.3582949839</v>
      </c>
      <c r="G16" s="315">
        <f>Cronogra!AE29</f>
        <v>1836784.74</v>
      </c>
      <c r="H16" s="308">
        <f>79626194.68</f>
        <v>79626194.680000007</v>
      </c>
      <c r="I16" s="315">
        <v>4524865</v>
      </c>
      <c r="J16" s="309">
        <f t="shared" si="0"/>
        <v>273699.61829498387</v>
      </c>
      <c r="K16" s="316">
        <f t="shared" si="1"/>
        <v>12.96856890785488</v>
      </c>
      <c r="L16" s="310">
        <f t="shared" si="2"/>
        <v>1.8743994481118056</v>
      </c>
      <c r="O16" s="311"/>
      <c r="S16" s="311"/>
      <c r="T16" s="317"/>
      <c r="U16" s="311"/>
    </row>
    <row r="17" spans="1:1025" x14ac:dyDescent="0.25">
      <c r="A17" s="302">
        <v>7</v>
      </c>
      <c r="B17" s="312" t="s">
        <v>1658</v>
      </c>
      <c r="C17" s="313"/>
      <c r="D17" s="313"/>
      <c r="E17" s="314"/>
      <c r="F17" s="306">
        <f>SUM(SUM(Cronogra!S10:X10))</f>
        <v>899938.12241302407</v>
      </c>
      <c r="G17" s="315">
        <f>Cronogra!AE30</f>
        <v>689939.62999999989</v>
      </c>
      <c r="H17" s="308"/>
      <c r="I17" s="315">
        <v>2687966.41</v>
      </c>
      <c r="J17" s="309">
        <f t="shared" si="0"/>
        <v>209998.49241302419</v>
      </c>
      <c r="K17" s="310">
        <f t="shared" si="1"/>
        <v>23.334770156191468</v>
      </c>
      <c r="L17" s="310">
        <f t="shared" si="2"/>
        <v>0.70406860071282118</v>
      </c>
      <c r="O17" s="311"/>
    </row>
    <row r="18" spans="1:1025" x14ac:dyDescent="0.25">
      <c r="A18" s="302">
        <v>8</v>
      </c>
      <c r="B18" s="312" t="s">
        <v>749</v>
      </c>
      <c r="C18" s="313"/>
      <c r="D18" s="313"/>
      <c r="E18" s="314"/>
      <c r="F18" s="306">
        <f>SUM(SUM(Cronogra!S11:X11))</f>
        <v>8847765.3054098021</v>
      </c>
      <c r="G18" s="315">
        <f>Cronogra!AE31</f>
        <v>8693216.3699999992</v>
      </c>
      <c r="H18" s="308"/>
      <c r="I18" s="315">
        <v>23342214.84</v>
      </c>
      <c r="J18" s="309">
        <f t="shared" si="0"/>
        <v>154548.93540980294</v>
      </c>
      <c r="K18" s="310">
        <f t="shared" si="1"/>
        <v>1.7467567241561759</v>
      </c>
      <c r="L18" s="310">
        <f t="shared" si="2"/>
        <v>8.8712409306299609</v>
      </c>
      <c r="O18" s="311"/>
      <c r="P18" s="318"/>
    </row>
    <row r="19" spans="1:1025" x14ac:dyDescent="0.25">
      <c r="A19" s="302">
        <v>9</v>
      </c>
      <c r="B19" s="312" t="s">
        <v>1659</v>
      </c>
      <c r="C19" s="313"/>
      <c r="D19" s="313"/>
      <c r="E19" s="314"/>
      <c r="F19" s="306">
        <f>SUM(SUM(Cronogra!S12:X12))</f>
        <v>29873008.373432279</v>
      </c>
      <c r="G19" s="315">
        <f>Cronogra!AE32</f>
        <v>27758233.18</v>
      </c>
      <c r="H19" s="308"/>
      <c r="I19" s="315">
        <v>64034664.359999999</v>
      </c>
      <c r="J19" s="309">
        <f t="shared" si="0"/>
        <v>2114775.1934322789</v>
      </c>
      <c r="K19" s="310">
        <f t="shared" si="1"/>
        <v>7.079217355668356</v>
      </c>
      <c r="L19" s="310">
        <f t="shared" si="2"/>
        <v>28.326681847950681</v>
      </c>
      <c r="O19" s="311"/>
    </row>
    <row r="20" spans="1:1025" x14ac:dyDescent="0.25">
      <c r="A20" s="302">
        <v>10</v>
      </c>
      <c r="B20" s="312" t="s">
        <v>750</v>
      </c>
      <c r="C20" s="313"/>
      <c r="D20" s="313"/>
      <c r="E20" s="314"/>
      <c r="F20" s="306">
        <f>SUM(SUM(Cronogra!S13:X13))</f>
        <v>19927238.175233591</v>
      </c>
      <c r="G20" s="315">
        <f>Cronogra!AE33</f>
        <v>17234437.219999999</v>
      </c>
      <c r="H20" s="308"/>
      <c r="I20" s="315">
        <v>42950571.770000003</v>
      </c>
      <c r="J20" s="309">
        <f t="shared" si="0"/>
        <v>2692800.9552335925</v>
      </c>
      <c r="K20" s="310">
        <f t="shared" si="1"/>
        <v>13.51316691030631</v>
      </c>
      <c r="L20" s="310">
        <f t="shared" si="2"/>
        <v>17.587373691750923</v>
      </c>
    </row>
    <row r="21" spans="1:1025" x14ac:dyDescent="0.25">
      <c r="A21" s="302">
        <v>11</v>
      </c>
      <c r="B21" s="312" t="s">
        <v>1660</v>
      </c>
      <c r="C21" s="313"/>
      <c r="D21" s="313"/>
      <c r="E21" s="314"/>
      <c r="F21" s="306">
        <f>SUM(SUM(Cronogra!S14:X14))</f>
        <v>2423160.2808129191</v>
      </c>
      <c r="G21" s="315">
        <f>Cronogra!AE34</f>
        <v>1973202.28</v>
      </c>
      <c r="H21" s="308"/>
      <c r="I21" s="315">
        <v>5313396.34</v>
      </c>
      <c r="J21" s="309">
        <f t="shared" si="0"/>
        <v>449958.00081291911</v>
      </c>
      <c r="K21" s="310">
        <f t="shared" si="1"/>
        <v>18.569056466292345</v>
      </c>
      <c r="L21" s="310">
        <f t="shared" si="2"/>
        <v>2.0136106230090722</v>
      </c>
    </row>
    <row r="22" spans="1:1025" x14ac:dyDescent="0.25">
      <c r="A22" s="302">
        <v>12</v>
      </c>
      <c r="B22" s="312" t="s">
        <v>1661</v>
      </c>
      <c r="C22" s="313"/>
      <c r="D22" s="313"/>
      <c r="E22" s="314"/>
      <c r="F22" s="306">
        <f>SUM(SUM(Cronogra!S15:X15))</f>
        <v>1291959.7933605709</v>
      </c>
      <c r="G22" s="315">
        <f>Cronogra!AE35</f>
        <v>1003530.02</v>
      </c>
      <c r="H22" s="308"/>
      <c r="I22" s="315">
        <v>3444333.05</v>
      </c>
      <c r="J22" s="309">
        <f t="shared" si="0"/>
        <v>288429.77336057089</v>
      </c>
      <c r="K22" s="310">
        <f t="shared" si="1"/>
        <v>22.324980610296244</v>
      </c>
      <c r="L22" s="310">
        <f t="shared" si="2"/>
        <v>1.0240808706041564</v>
      </c>
      <c r="O22" s="311"/>
    </row>
    <row r="23" spans="1:1025" x14ac:dyDescent="0.25">
      <c r="A23" s="302">
        <v>13</v>
      </c>
      <c r="B23" s="312" t="s">
        <v>751</v>
      </c>
      <c r="C23" s="313"/>
      <c r="D23" s="313"/>
      <c r="E23" s="314"/>
      <c r="F23" s="306">
        <f>SUM(SUM(Cronogra!S16:X16))</f>
        <v>7694574.3389810137</v>
      </c>
      <c r="G23" s="315">
        <f>Cronogra!AE36</f>
        <v>7264949.2799999993</v>
      </c>
      <c r="H23" s="319"/>
      <c r="I23" s="315">
        <v>16149448.060000001</v>
      </c>
      <c r="J23" s="309">
        <f t="shared" si="0"/>
        <v>429625.05898101442</v>
      </c>
      <c r="K23" s="310">
        <f t="shared" si="1"/>
        <v>5.5834805156734539</v>
      </c>
      <c r="L23" s="310">
        <f t="shared" si="2"/>
        <v>7.4137249860820695</v>
      </c>
      <c r="O23" s="320"/>
      <c r="P23" s="311"/>
    </row>
    <row r="24" spans="1:1025" x14ac:dyDescent="0.25">
      <c r="A24" s="302">
        <v>14</v>
      </c>
      <c r="B24" s="312" t="s">
        <v>752</v>
      </c>
      <c r="C24" s="313"/>
      <c r="D24" s="319"/>
      <c r="E24" s="314"/>
      <c r="F24" s="306">
        <f>SUM(SUM(Cronogra!S17:X17))</f>
        <v>1734142.3904383101</v>
      </c>
      <c r="G24" s="315">
        <f>Cronogra!AE37</f>
        <v>0</v>
      </c>
      <c r="H24" s="319"/>
      <c r="I24" s="315">
        <v>3619499.9</v>
      </c>
      <c r="J24" s="309">
        <f t="shared" si="0"/>
        <v>1734142.3904383101</v>
      </c>
      <c r="K24" s="310">
        <f t="shared" si="1"/>
        <v>100</v>
      </c>
      <c r="L24" s="310">
        <f t="shared" si="2"/>
        <v>0</v>
      </c>
      <c r="O24" s="320"/>
      <c r="P24" s="311"/>
      <c r="R24" s="311"/>
    </row>
    <row r="25" spans="1:1025" x14ac:dyDescent="0.25">
      <c r="A25" s="302">
        <v>15</v>
      </c>
      <c r="B25" s="312" t="s">
        <v>753</v>
      </c>
      <c r="C25" s="313"/>
      <c r="D25" s="319"/>
      <c r="E25" s="314"/>
      <c r="F25" s="306">
        <f>SUM(SUM(Cronogra!S18:X18))</f>
        <v>26420335.408822197</v>
      </c>
      <c r="G25" s="315">
        <f>Cronogra!AE38</f>
        <v>21463031.41</v>
      </c>
      <c r="H25" s="284">
        <f>22510685.47</f>
        <v>22510685.469999999</v>
      </c>
      <c r="I25" s="315">
        <v>55703630.920000002</v>
      </c>
      <c r="J25" s="309">
        <f t="shared" si="0"/>
        <v>4957303.9988221973</v>
      </c>
      <c r="K25" s="310">
        <f t="shared" si="1"/>
        <v>18.763213721983522</v>
      </c>
      <c r="L25" s="310">
        <f t="shared" si="2"/>
        <v>21.902563405285232</v>
      </c>
      <c r="O25" s="311"/>
      <c r="P25" s="311"/>
      <c r="R25" s="311"/>
    </row>
    <row r="26" spans="1:1025" x14ac:dyDescent="0.25">
      <c r="A26" s="321">
        <v>16</v>
      </c>
      <c r="B26" s="322" t="s">
        <v>754</v>
      </c>
      <c r="C26" s="323"/>
      <c r="D26" s="323"/>
      <c r="E26" s="324"/>
      <c r="F26" s="306">
        <f>SUM(SUM(Cronogra!S19:X19))</f>
        <v>2850788.3705735942</v>
      </c>
      <c r="G26" s="325">
        <f>Cronogra!AE39</f>
        <v>2367995.5100000002</v>
      </c>
      <c r="H26" s="284">
        <f>3372483.24</f>
        <v>3372483.24</v>
      </c>
      <c r="I26" s="325">
        <v>6010493.8399999999</v>
      </c>
      <c r="J26" s="309">
        <f t="shared" si="0"/>
        <v>482792.86057359399</v>
      </c>
      <c r="K26" s="310">
        <f t="shared" si="1"/>
        <v>16.935415675084062</v>
      </c>
      <c r="L26" s="310">
        <f t="shared" si="2"/>
        <v>2.4164886502025458</v>
      </c>
      <c r="O26" s="311"/>
    </row>
    <row r="27" spans="1:1025" x14ac:dyDescent="0.25">
      <c r="A27" s="1046" t="s">
        <v>755</v>
      </c>
      <c r="B27" s="1046"/>
      <c r="C27" s="326"/>
      <c r="D27" s="326"/>
      <c r="E27" s="327"/>
      <c r="F27" s="328">
        <f>SUM(F11:F26)</f>
        <v>113442499.65567514</v>
      </c>
      <c r="G27" s="329">
        <f>SUM(G11:G26)</f>
        <v>97993239.480000004</v>
      </c>
      <c r="H27" s="330">
        <f>SUM(H11:H26)</f>
        <v>105509363.39</v>
      </c>
      <c r="I27" s="331">
        <f>SUM(I11:I26)</f>
        <v>250047181.18000004</v>
      </c>
      <c r="J27" s="330">
        <f>SUM(J11:J26)</f>
        <v>15449260.175675146</v>
      </c>
      <c r="K27" s="330"/>
      <c r="L27" s="332">
        <f>SUM(L11:L26)</f>
        <v>100</v>
      </c>
      <c r="O27" s="311"/>
    </row>
    <row r="28" spans="1:1025" x14ac:dyDescent="0.25">
      <c r="B28" s="283" t="s">
        <v>756</v>
      </c>
      <c r="C28" s="283" t="s">
        <v>757</v>
      </c>
      <c r="I28" s="333">
        <f>250047181.18-I27</f>
        <v>0</v>
      </c>
      <c r="R28" s="311"/>
    </row>
    <row r="29" spans="1:1025" s="182" customFormat="1" ht="8.25" x14ac:dyDescent="0.15">
      <c r="F29" s="203"/>
      <c r="G29" s="333">
        <f>G27-Cronogra!AE40</f>
        <v>0</v>
      </c>
      <c r="H29" s="333">
        <f>H27-Cronogra!D53</f>
        <v>0</v>
      </c>
      <c r="J29" s="178"/>
    </row>
    <row r="30" spans="1:1025" s="413" customFormat="1" ht="9.75" x14ac:dyDescent="0.2">
      <c r="A30" s="182"/>
      <c r="B30" s="410" t="s">
        <v>758</v>
      </c>
      <c r="C30" s="154" t="s">
        <v>759</v>
      </c>
      <c r="D30" s="182"/>
      <c r="E30" s="182"/>
      <c r="F30" s="203"/>
      <c r="G30" s="443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  <c r="AZ30" s="182"/>
      <c r="BA30" s="182"/>
      <c r="BB30" s="182"/>
      <c r="BC30" s="182"/>
      <c r="BD30" s="182"/>
      <c r="BE30" s="182"/>
      <c r="BF30" s="182"/>
      <c r="BG30" s="182"/>
      <c r="BH30" s="182"/>
      <c r="BI30" s="182"/>
      <c r="BJ30" s="182"/>
      <c r="BK30" s="182"/>
      <c r="BL30" s="182"/>
      <c r="BM30" s="182"/>
      <c r="BN30" s="182"/>
      <c r="BO30" s="182"/>
      <c r="BP30" s="182"/>
      <c r="BQ30" s="182"/>
      <c r="BR30" s="182"/>
      <c r="BS30" s="182"/>
      <c r="BT30" s="182"/>
      <c r="BU30" s="182"/>
      <c r="BV30" s="182"/>
      <c r="BW30" s="182"/>
      <c r="BX30" s="182"/>
      <c r="BY30" s="182"/>
      <c r="BZ30" s="182"/>
      <c r="CA30" s="182"/>
      <c r="CB30" s="182"/>
      <c r="CC30" s="182"/>
      <c r="CD30" s="182"/>
      <c r="CE30" s="182"/>
      <c r="CF30" s="182"/>
      <c r="CG30" s="182"/>
      <c r="CH30" s="182"/>
      <c r="CI30" s="182"/>
      <c r="CJ30" s="182"/>
      <c r="CK30" s="182"/>
      <c r="CL30" s="182"/>
      <c r="CM30" s="182"/>
      <c r="CN30" s="182"/>
      <c r="CO30" s="182"/>
      <c r="CP30" s="182"/>
      <c r="CQ30" s="182"/>
      <c r="CR30" s="182"/>
      <c r="CS30" s="182"/>
      <c r="CT30" s="182"/>
      <c r="CU30" s="182"/>
      <c r="CV30" s="182"/>
      <c r="CW30" s="182"/>
      <c r="CX30" s="182"/>
      <c r="CY30" s="182"/>
      <c r="CZ30" s="182"/>
      <c r="DA30" s="182"/>
      <c r="DB30" s="182"/>
      <c r="DC30" s="182"/>
      <c r="DD30" s="182"/>
      <c r="DE30" s="182"/>
      <c r="DF30" s="182"/>
      <c r="DG30" s="182"/>
      <c r="DH30" s="182"/>
      <c r="DI30" s="182"/>
      <c r="DJ30" s="182"/>
      <c r="DK30" s="182"/>
      <c r="DL30" s="182"/>
      <c r="DM30" s="182"/>
      <c r="DN30" s="182"/>
      <c r="DO30" s="182"/>
      <c r="DP30" s="182"/>
      <c r="DQ30" s="182"/>
      <c r="DR30" s="182"/>
      <c r="DS30" s="182"/>
      <c r="DT30" s="182"/>
      <c r="DU30" s="182"/>
      <c r="DV30" s="182"/>
      <c r="DW30" s="182"/>
      <c r="DX30" s="182"/>
      <c r="DY30" s="182"/>
      <c r="DZ30" s="182"/>
      <c r="EA30" s="182"/>
      <c r="EB30" s="182"/>
      <c r="EC30" s="182"/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2"/>
      <c r="ER30" s="182"/>
      <c r="ES30" s="182"/>
      <c r="ET30" s="182"/>
      <c r="EU30" s="182"/>
      <c r="EV30" s="182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  <c r="FW30" s="182"/>
      <c r="FX30" s="182"/>
      <c r="FY30" s="182"/>
      <c r="FZ30" s="182"/>
      <c r="GA30" s="182"/>
      <c r="GB30" s="182"/>
      <c r="GC30" s="182"/>
      <c r="GD30" s="182"/>
      <c r="GE30" s="182"/>
      <c r="GF30" s="182"/>
      <c r="GG30" s="182"/>
      <c r="GH30" s="182"/>
      <c r="GI30" s="182"/>
      <c r="GJ30" s="182"/>
      <c r="GK30" s="182"/>
      <c r="GL30" s="182"/>
      <c r="GM30" s="182"/>
      <c r="GN30" s="182"/>
      <c r="GO30" s="182"/>
      <c r="GP30" s="182"/>
      <c r="GQ30" s="182"/>
      <c r="GR30" s="182"/>
      <c r="GS30" s="182"/>
      <c r="GT30" s="182"/>
      <c r="GU30" s="182"/>
      <c r="GV30" s="182"/>
      <c r="GW30" s="182"/>
      <c r="GX30" s="182"/>
      <c r="GY30" s="182"/>
      <c r="GZ30" s="182"/>
      <c r="HA30" s="182"/>
      <c r="HB30" s="182"/>
      <c r="HC30" s="182"/>
      <c r="HD30" s="182"/>
      <c r="HE30" s="182"/>
      <c r="HF30" s="182"/>
      <c r="HG30" s="182"/>
      <c r="HH30" s="182"/>
      <c r="HI30" s="182"/>
      <c r="HJ30" s="182"/>
      <c r="HK30" s="182"/>
      <c r="HL30" s="182"/>
      <c r="HM30" s="182"/>
      <c r="HN30" s="182"/>
      <c r="HO30" s="182"/>
      <c r="HP30" s="182"/>
      <c r="HQ30" s="182"/>
      <c r="HR30" s="182"/>
      <c r="HS30" s="182"/>
      <c r="HT30" s="182"/>
      <c r="HU30" s="182"/>
      <c r="HV30" s="182"/>
      <c r="HW30" s="182"/>
      <c r="HX30" s="182"/>
      <c r="HY30" s="182"/>
      <c r="HZ30" s="182"/>
      <c r="IA30" s="182"/>
      <c r="IB30" s="182"/>
      <c r="IC30" s="182"/>
      <c r="ID30" s="182"/>
      <c r="IE30" s="182"/>
      <c r="IF30" s="182"/>
      <c r="IG30" s="182"/>
      <c r="IH30" s="182"/>
      <c r="II30" s="182"/>
      <c r="IJ30" s="182"/>
      <c r="IK30" s="182"/>
      <c r="IL30" s="182"/>
      <c r="IM30" s="182"/>
      <c r="IN30" s="182"/>
      <c r="IO30" s="182"/>
      <c r="IP30" s="182"/>
      <c r="IQ30" s="182"/>
      <c r="IR30" s="182"/>
      <c r="IS30" s="182"/>
      <c r="IT30" s="182"/>
      <c r="IU30" s="182"/>
      <c r="IV30" s="182"/>
      <c r="IW30" s="182"/>
      <c r="IX30" s="182"/>
      <c r="IY30" s="182"/>
      <c r="IZ30" s="182"/>
      <c r="JA30" s="182"/>
      <c r="JB30" s="182"/>
      <c r="JC30" s="182"/>
      <c r="JD30" s="182"/>
      <c r="JE30" s="182"/>
      <c r="JF30" s="182"/>
      <c r="JG30" s="182"/>
      <c r="JH30" s="182"/>
      <c r="JI30" s="182"/>
      <c r="JJ30" s="182"/>
      <c r="JK30" s="182"/>
      <c r="JL30" s="182"/>
      <c r="JM30" s="182"/>
      <c r="JN30" s="182"/>
      <c r="JO30" s="182"/>
      <c r="JP30" s="182"/>
      <c r="JQ30" s="182"/>
      <c r="JR30" s="182"/>
      <c r="JS30" s="182"/>
      <c r="JT30" s="182"/>
      <c r="JU30" s="182"/>
      <c r="JV30" s="182"/>
      <c r="JW30" s="182"/>
      <c r="JX30" s="182"/>
      <c r="JY30" s="182"/>
      <c r="JZ30" s="182"/>
      <c r="KA30" s="182"/>
      <c r="KB30" s="182"/>
      <c r="KC30" s="182"/>
      <c r="KD30" s="182"/>
      <c r="KE30" s="182"/>
      <c r="KF30" s="182"/>
      <c r="KG30" s="182"/>
      <c r="KH30" s="182"/>
      <c r="KI30" s="182"/>
      <c r="KJ30" s="182"/>
      <c r="KK30" s="182"/>
      <c r="KL30" s="182"/>
      <c r="KM30" s="182"/>
      <c r="KN30" s="182"/>
      <c r="KO30" s="182"/>
      <c r="KP30" s="182"/>
      <c r="KQ30" s="182"/>
      <c r="KR30" s="182"/>
      <c r="KS30" s="182"/>
      <c r="KT30" s="182"/>
      <c r="KU30" s="182"/>
      <c r="KV30" s="182"/>
      <c r="KW30" s="182"/>
      <c r="KX30" s="182"/>
      <c r="KY30" s="182"/>
      <c r="KZ30" s="182"/>
      <c r="LA30" s="182"/>
      <c r="LB30" s="182"/>
      <c r="LC30" s="182"/>
      <c r="LD30" s="182"/>
      <c r="LE30" s="182"/>
      <c r="LF30" s="182"/>
      <c r="LG30" s="182"/>
      <c r="LH30" s="182"/>
      <c r="LI30" s="182"/>
      <c r="LJ30" s="182"/>
      <c r="LK30" s="182"/>
      <c r="LL30" s="182"/>
      <c r="LM30" s="182"/>
      <c r="LN30" s="182"/>
      <c r="LO30" s="182"/>
      <c r="LP30" s="182"/>
      <c r="LQ30" s="182"/>
      <c r="LR30" s="182"/>
      <c r="LS30" s="182"/>
      <c r="LT30" s="182"/>
      <c r="LU30" s="182"/>
      <c r="LV30" s="182"/>
      <c r="LW30" s="182"/>
      <c r="LX30" s="182"/>
      <c r="LY30" s="182"/>
      <c r="LZ30" s="182"/>
      <c r="MA30" s="182"/>
      <c r="MB30" s="182"/>
      <c r="MC30" s="182"/>
      <c r="MD30" s="182"/>
      <c r="ME30" s="182"/>
      <c r="MF30" s="182"/>
      <c r="MG30" s="182"/>
      <c r="MH30" s="182"/>
      <c r="MI30" s="182"/>
      <c r="MJ30" s="182"/>
      <c r="MK30" s="182"/>
      <c r="ML30" s="182"/>
      <c r="MM30" s="182"/>
      <c r="MN30" s="182"/>
      <c r="MO30" s="182"/>
      <c r="MP30" s="182"/>
      <c r="MQ30" s="182"/>
      <c r="MR30" s="182"/>
      <c r="MS30" s="182"/>
      <c r="MT30" s="182"/>
      <c r="MU30" s="182"/>
      <c r="MV30" s="182"/>
      <c r="MW30" s="182"/>
      <c r="MX30" s="182"/>
      <c r="MY30" s="182"/>
      <c r="MZ30" s="182"/>
      <c r="NA30" s="182"/>
      <c r="NB30" s="182"/>
      <c r="NC30" s="182"/>
      <c r="ND30" s="182"/>
      <c r="NE30" s="182"/>
      <c r="NF30" s="182"/>
      <c r="NG30" s="182"/>
      <c r="NH30" s="182"/>
      <c r="NI30" s="182"/>
      <c r="NJ30" s="182"/>
      <c r="NK30" s="182"/>
      <c r="NL30" s="182"/>
      <c r="NM30" s="182"/>
      <c r="NN30" s="182"/>
      <c r="NO30" s="182"/>
      <c r="NP30" s="182"/>
      <c r="NQ30" s="182"/>
      <c r="NR30" s="182"/>
      <c r="NS30" s="182"/>
      <c r="NT30" s="182"/>
      <c r="NU30" s="182"/>
      <c r="NV30" s="182"/>
      <c r="NW30" s="182"/>
      <c r="NX30" s="182"/>
      <c r="NY30" s="182"/>
      <c r="NZ30" s="182"/>
      <c r="OA30" s="182"/>
      <c r="OB30" s="182"/>
      <c r="OC30" s="182"/>
      <c r="OD30" s="182"/>
      <c r="OE30" s="182"/>
      <c r="OF30" s="182"/>
      <c r="OG30" s="182"/>
      <c r="OH30" s="182"/>
      <c r="OI30" s="182"/>
      <c r="OJ30" s="182"/>
      <c r="OK30" s="182"/>
      <c r="OL30" s="182"/>
      <c r="OM30" s="182"/>
      <c r="ON30" s="182"/>
      <c r="OO30" s="182"/>
      <c r="OP30" s="182"/>
      <c r="OQ30" s="182"/>
      <c r="OR30" s="182"/>
      <c r="OS30" s="182"/>
      <c r="OT30" s="182"/>
      <c r="OU30" s="182"/>
      <c r="OV30" s="182"/>
      <c r="OW30" s="182"/>
      <c r="OX30" s="182"/>
      <c r="OY30" s="182"/>
      <c r="OZ30" s="182"/>
      <c r="PA30" s="182"/>
      <c r="PB30" s="182"/>
      <c r="PC30" s="182"/>
      <c r="PD30" s="182"/>
      <c r="PE30" s="182"/>
      <c r="PF30" s="182"/>
      <c r="PG30" s="182"/>
      <c r="PH30" s="182"/>
      <c r="PI30" s="182"/>
      <c r="PJ30" s="182"/>
      <c r="PK30" s="182"/>
      <c r="PL30" s="182"/>
      <c r="PM30" s="182"/>
      <c r="PN30" s="182"/>
      <c r="PO30" s="182"/>
      <c r="PP30" s="182"/>
      <c r="PQ30" s="182"/>
      <c r="PR30" s="182"/>
      <c r="PS30" s="182"/>
      <c r="PT30" s="182"/>
      <c r="PU30" s="182"/>
      <c r="PV30" s="182"/>
      <c r="PW30" s="182"/>
      <c r="PX30" s="182"/>
      <c r="PY30" s="182"/>
      <c r="PZ30" s="182"/>
      <c r="QA30" s="182"/>
      <c r="QB30" s="182"/>
      <c r="QC30" s="182"/>
      <c r="QD30" s="182"/>
      <c r="QE30" s="182"/>
      <c r="QF30" s="182"/>
      <c r="QG30" s="182"/>
      <c r="QH30" s="182"/>
      <c r="QI30" s="182"/>
      <c r="QJ30" s="182"/>
      <c r="QK30" s="182"/>
      <c r="QL30" s="182"/>
      <c r="QM30" s="182"/>
      <c r="QN30" s="182"/>
      <c r="QO30" s="182"/>
      <c r="QP30" s="182"/>
      <c r="QQ30" s="182"/>
      <c r="QR30" s="182"/>
      <c r="QS30" s="182"/>
      <c r="QT30" s="182"/>
      <c r="QU30" s="182"/>
      <c r="QV30" s="182"/>
      <c r="QW30" s="182"/>
      <c r="QX30" s="182"/>
      <c r="QY30" s="182"/>
      <c r="QZ30" s="182"/>
      <c r="RA30" s="182"/>
      <c r="RB30" s="182"/>
      <c r="RC30" s="182"/>
      <c r="RD30" s="182"/>
      <c r="RE30" s="182"/>
      <c r="RF30" s="182"/>
      <c r="RG30" s="182"/>
      <c r="RH30" s="182"/>
      <c r="RI30" s="182"/>
      <c r="RJ30" s="182"/>
      <c r="RK30" s="182"/>
      <c r="RL30" s="182"/>
      <c r="RM30" s="182"/>
      <c r="RN30" s="182"/>
      <c r="RO30" s="182"/>
      <c r="RP30" s="182"/>
      <c r="RQ30" s="182"/>
      <c r="RR30" s="182"/>
      <c r="RS30" s="182"/>
      <c r="RT30" s="182"/>
      <c r="RU30" s="182"/>
      <c r="RV30" s="182"/>
      <c r="RW30" s="182"/>
      <c r="RX30" s="182"/>
      <c r="RY30" s="182"/>
      <c r="RZ30" s="182"/>
      <c r="SA30" s="182"/>
      <c r="SB30" s="182"/>
      <c r="SC30" s="182"/>
      <c r="SD30" s="182"/>
      <c r="SE30" s="182"/>
      <c r="SF30" s="182"/>
      <c r="SG30" s="182"/>
      <c r="SH30" s="182"/>
      <c r="SI30" s="182"/>
      <c r="SJ30" s="182"/>
      <c r="SK30" s="182"/>
      <c r="SL30" s="182"/>
      <c r="SM30" s="182"/>
      <c r="SN30" s="182"/>
      <c r="SO30" s="182"/>
      <c r="SP30" s="182"/>
      <c r="SQ30" s="182"/>
      <c r="SR30" s="182"/>
      <c r="SS30" s="182"/>
      <c r="ST30" s="182"/>
      <c r="SU30" s="182"/>
      <c r="SV30" s="182"/>
      <c r="SW30" s="182"/>
      <c r="SX30" s="182"/>
      <c r="SY30" s="182"/>
      <c r="SZ30" s="182"/>
      <c r="TA30" s="182"/>
      <c r="TB30" s="182"/>
      <c r="TC30" s="182"/>
      <c r="TD30" s="182"/>
      <c r="TE30" s="182"/>
      <c r="TF30" s="182"/>
      <c r="TG30" s="182"/>
      <c r="TH30" s="182"/>
      <c r="TI30" s="182"/>
      <c r="TJ30" s="182"/>
      <c r="TK30" s="182"/>
      <c r="TL30" s="182"/>
      <c r="TM30" s="182"/>
      <c r="TN30" s="182"/>
      <c r="TO30" s="182"/>
      <c r="TP30" s="182"/>
      <c r="TQ30" s="182"/>
      <c r="TR30" s="182"/>
      <c r="TS30" s="182"/>
      <c r="TT30" s="182"/>
      <c r="TU30" s="182"/>
      <c r="TV30" s="182"/>
      <c r="TW30" s="182"/>
      <c r="TX30" s="182"/>
      <c r="TY30" s="182"/>
      <c r="TZ30" s="182"/>
      <c r="UA30" s="182"/>
      <c r="UB30" s="182"/>
      <c r="UC30" s="182"/>
      <c r="UD30" s="182"/>
      <c r="UE30" s="182"/>
      <c r="UF30" s="182"/>
      <c r="UG30" s="182"/>
      <c r="UH30" s="182"/>
      <c r="UI30" s="182"/>
      <c r="UJ30" s="182"/>
      <c r="UK30" s="182"/>
      <c r="UL30" s="182"/>
      <c r="UM30" s="182"/>
      <c r="UN30" s="182"/>
      <c r="UO30" s="182"/>
      <c r="UP30" s="182"/>
      <c r="UQ30" s="182"/>
      <c r="UR30" s="182"/>
      <c r="US30" s="182"/>
      <c r="UT30" s="182"/>
      <c r="UU30" s="182"/>
      <c r="UV30" s="182"/>
      <c r="UW30" s="182"/>
      <c r="UX30" s="182"/>
      <c r="UY30" s="182"/>
      <c r="UZ30" s="182"/>
      <c r="VA30" s="182"/>
      <c r="VB30" s="182"/>
      <c r="VC30" s="182"/>
      <c r="VD30" s="182"/>
      <c r="VE30" s="182"/>
      <c r="VF30" s="182"/>
      <c r="VG30" s="182"/>
      <c r="VH30" s="182"/>
      <c r="VI30" s="182"/>
      <c r="VJ30" s="182"/>
      <c r="VK30" s="182"/>
      <c r="VL30" s="182"/>
      <c r="VM30" s="182"/>
      <c r="VN30" s="182"/>
      <c r="VO30" s="182"/>
      <c r="VP30" s="182"/>
      <c r="VQ30" s="182"/>
      <c r="VR30" s="182"/>
      <c r="VS30" s="182"/>
      <c r="VT30" s="182"/>
      <c r="VU30" s="182"/>
      <c r="VV30" s="182"/>
      <c r="VW30" s="182"/>
      <c r="VX30" s="182"/>
      <c r="VY30" s="182"/>
      <c r="VZ30" s="182"/>
      <c r="WA30" s="182"/>
      <c r="WB30" s="182"/>
      <c r="WC30" s="182"/>
      <c r="WD30" s="182"/>
      <c r="WE30" s="182"/>
      <c r="WF30" s="182"/>
      <c r="WG30" s="182"/>
      <c r="WH30" s="182"/>
      <c r="WI30" s="182"/>
      <c r="WJ30" s="182"/>
      <c r="WK30" s="182"/>
      <c r="WL30" s="182"/>
      <c r="WM30" s="182"/>
      <c r="WN30" s="182"/>
      <c r="WO30" s="182"/>
      <c r="WP30" s="182"/>
      <c r="WQ30" s="182"/>
      <c r="WR30" s="182"/>
      <c r="WS30" s="182"/>
      <c r="WT30" s="182"/>
      <c r="WU30" s="182"/>
      <c r="WV30" s="182"/>
      <c r="WW30" s="182"/>
      <c r="WX30" s="182"/>
      <c r="WY30" s="182"/>
      <c r="WZ30" s="182"/>
      <c r="XA30" s="182"/>
      <c r="XB30" s="182"/>
      <c r="XC30" s="182"/>
      <c r="XD30" s="182"/>
      <c r="XE30" s="182"/>
      <c r="XF30" s="182"/>
      <c r="XG30" s="182"/>
      <c r="XH30" s="182"/>
      <c r="XI30" s="182"/>
      <c r="XJ30" s="182"/>
      <c r="XK30" s="182"/>
      <c r="XL30" s="182"/>
      <c r="XM30" s="182"/>
      <c r="XN30" s="182"/>
      <c r="XO30" s="182"/>
      <c r="XP30" s="182"/>
      <c r="XQ30" s="182"/>
      <c r="XR30" s="182"/>
      <c r="XS30" s="182"/>
      <c r="XT30" s="182"/>
      <c r="XU30" s="182"/>
      <c r="XV30" s="182"/>
      <c r="XW30" s="182"/>
      <c r="XX30" s="182"/>
      <c r="XY30" s="182"/>
      <c r="XZ30" s="182"/>
      <c r="YA30" s="182"/>
      <c r="YB30" s="182"/>
      <c r="YC30" s="182"/>
      <c r="YD30" s="182"/>
      <c r="YE30" s="182"/>
      <c r="YF30" s="182"/>
      <c r="YG30" s="182"/>
      <c r="YH30" s="182"/>
      <c r="YI30" s="182"/>
      <c r="YJ30" s="182"/>
      <c r="YK30" s="182"/>
      <c r="YL30" s="182"/>
      <c r="YM30" s="182"/>
      <c r="YN30" s="182"/>
      <c r="YO30" s="182"/>
      <c r="YP30" s="182"/>
      <c r="YQ30" s="182"/>
      <c r="YR30" s="182"/>
      <c r="YS30" s="182"/>
      <c r="YT30" s="182"/>
      <c r="YU30" s="182"/>
      <c r="YV30" s="182"/>
      <c r="YW30" s="182"/>
      <c r="YX30" s="182"/>
      <c r="YY30" s="182"/>
      <c r="YZ30" s="182"/>
      <c r="ZA30" s="182"/>
      <c r="ZB30" s="182"/>
      <c r="ZC30" s="182"/>
      <c r="ZD30" s="182"/>
      <c r="ZE30" s="182"/>
      <c r="ZF30" s="182"/>
      <c r="ZG30" s="182"/>
      <c r="ZH30" s="182"/>
      <c r="ZI30" s="182"/>
      <c r="ZJ30" s="182"/>
      <c r="ZK30" s="182"/>
      <c r="ZL30" s="182"/>
      <c r="ZM30" s="182"/>
      <c r="ZN30" s="182"/>
      <c r="ZO30" s="182"/>
      <c r="ZP30" s="182"/>
      <c r="ZQ30" s="182"/>
      <c r="ZR30" s="182"/>
      <c r="ZS30" s="182"/>
      <c r="ZT30" s="182"/>
      <c r="ZU30" s="182"/>
      <c r="ZV30" s="182"/>
      <c r="ZW30" s="182"/>
      <c r="ZX30" s="182"/>
      <c r="ZY30" s="182"/>
      <c r="ZZ30" s="182"/>
      <c r="AAA30" s="182"/>
      <c r="AAB30" s="182"/>
      <c r="AAC30" s="182"/>
      <c r="AAD30" s="182"/>
      <c r="AAE30" s="182"/>
      <c r="AAF30" s="182"/>
      <c r="AAG30" s="182"/>
      <c r="AAH30" s="182"/>
      <c r="AAI30" s="182"/>
      <c r="AAJ30" s="182"/>
      <c r="AAK30" s="182"/>
      <c r="AAL30" s="182"/>
      <c r="AAM30" s="182"/>
      <c r="AAN30" s="182"/>
      <c r="AAO30" s="182"/>
      <c r="AAP30" s="182"/>
      <c r="AAQ30" s="182"/>
      <c r="AAR30" s="182"/>
      <c r="AAS30" s="182"/>
      <c r="AAT30" s="182"/>
      <c r="AAU30" s="182"/>
      <c r="AAV30" s="182"/>
      <c r="AAW30" s="182"/>
      <c r="AAX30" s="182"/>
      <c r="AAY30" s="182"/>
      <c r="AAZ30" s="182"/>
      <c r="ABA30" s="182"/>
      <c r="ABB30" s="182"/>
      <c r="ABC30" s="182"/>
      <c r="ABD30" s="182"/>
      <c r="ABE30" s="182"/>
      <c r="ABF30" s="182"/>
      <c r="ABG30" s="182"/>
      <c r="ABH30" s="182"/>
      <c r="ABI30" s="182"/>
      <c r="ABJ30" s="182"/>
      <c r="ABK30" s="182"/>
      <c r="ABL30" s="182"/>
      <c r="ABM30" s="182"/>
      <c r="ABN30" s="182"/>
      <c r="ABO30" s="182"/>
      <c r="ABP30" s="182"/>
      <c r="ABQ30" s="182"/>
      <c r="ABR30" s="182"/>
      <c r="ABS30" s="182"/>
      <c r="ABT30" s="182"/>
      <c r="ABU30" s="182"/>
      <c r="ABV30" s="182"/>
      <c r="ABW30" s="182"/>
      <c r="ABX30" s="182"/>
      <c r="ABY30" s="182"/>
      <c r="ABZ30" s="182"/>
      <c r="ACA30" s="182"/>
      <c r="ACB30" s="182"/>
      <c r="ACC30" s="182"/>
      <c r="ACD30" s="182"/>
      <c r="ACE30" s="182"/>
      <c r="ACF30" s="182"/>
      <c r="ACG30" s="182"/>
      <c r="ACH30" s="182"/>
      <c r="ACI30" s="182"/>
      <c r="ACJ30" s="182"/>
      <c r="ACK30" s="182"/>
      <c r="ACL30" s="182"/>
      <c r="ACM30" s="182"/>
      <c r="ACN30" s="182"/>
      <c r="ACO30" s="182"/>
      <c r="ACP30" s="182"/>
      <c r="ACQ30" s="182"/>
      <c r="ACR30" s="182"/>
      <c r="ACS30" s="182"/>
      <c r="ACT30" s="182"/>
      <c r="ACU30" s="182"/>
      <c r="ACV30" s="182"/>
      <c r="ACW30" s="182"/>
      <c r="ACX30" s="182"/>
      <c r="ACY30" s="182"/>
      <c r="ACZ30" s="182"/>
      <c r="ADA30" s="182"/>
      <c r="ADB30" s="182"/>
      <c r="ADC30" s="182"/>
      <c r="ADD30" s="182"/>
      <c r="ADE30" s="182"/>
      <c r="ADF30" s="182"/>
      <c r="ADG30" s="182"/>
      <c r="ADH30" s="182"/>
      <c r="ADI30" s="182"/>
      <c r="ADJ30" s="182"/>
      <c r="ADK30" s="182"/>
      <c r="ADL30" s="182"/>
      <c r="ADM30" s="182"/>
      <c r="ADN30" s="182"/>
      <c r="ADO30" s="182"/>
      <c r="ADP30" s="182"/>
      <c r="ADQ30" s="182"/>
      <c r="ADR30" s="182"/>
      <c r="ADS30" s="182"/>
      <c r="ADT30" s="182"/>
      <c r="ADU30" s="182"/>
      <c r="ADV30" s="182"/>
      <c r="ADW30" s="182"/>
      <c r="ADX30" s="182"/>
      <c r="ADY30" s="182"/>
      <c r="ADZ30" s="182"/>
      <c r="AEA30" s="182"/>
      <c r="AEB30" s="182"/>
      <c r="AEC30" s="182"/>
      <c r="AED30" s="182"/>
      <c r="AEE30" s="182"/>
      <c r="AEF30" s="182"/>
      <c r="AEG30" s="182"/>
      <c r="AEH30" s="182"/>
      <c r="AEI30" s="182"/>
      <c r="AEJ30" s="182"/>
      <c r="AEK30" s="182"/>
      <c r="AEL30" s="182"/>
      <c r="AEM30" s="182"/>
      <c r="AEN30" s="182"/>
      <c r="AEO30" s="182"/>
      <c r="AEP30" s="182"/>
      <c r="AEQ30" s="182"/>
      <c r="AER30" s="182"/>
      <c r="AES30" s="182"/>
      <c r="AET30" s="182"/>
      <c r="AEU30" s="182"/>
      <c r="AEV30" s="182"/>
      <c r="AEW30" s="182"/>
      <c r="AEX30" s="182"/>
      <c r="AEY30" s="182"/>
      <c r="AEZ30" s="182"/>
      <c r="AFA30" s="182"/>
      <c r="AFB30" s="182"/>
      <c r="AFC30" s="182"/>
      <c r="AFD30" s="182"/>
      <c r="AFE30" s="182"/>
      <c r="AFF30" s="182"/>
      <c r="AFG30" s="182"/>
      <c r="AFH30" s="182"/>
      <c r="AFI30" s="182"/>
      <c r="AFJ30" s="182"/>
      <c r="AFK30" s="182"/>
      <c r="AFL30" s="182"/>
      <c r="AFM30" s="182"/>
      <c r="AFN30" s="182"/>
      <c r="AFO30" s="182"/>
      <c r="AFP30" s="182"/>
      <c r="AFQ30" s="182"/>
      <c r="AFR30" s="182"/>
      <c r="AFS30" s="182"/>
      <c r="AFT30" s="182"/>
      <c r="AFU30" s="182"/>
      <c r="AFV30" s="182"/>
      <c r="AFW30" s="182"/>
      <c r="AFX30" s="182"/>
      <c r="AFY30" s="182"/>
      <c r="AFZ30" s="182"/>
      <c r="AGA30" s="182"/>
      <c r="AGB30" s="182"/>
      <c r="AGC30" s="182"/>
      <c r="AGD30" s="182"/>
      <c r="AGE30" s="182"/>
      <c r="AGF30" s="182"/>
      <c r="AGG30" s="182"/>
      <c r="AGH30" s="182"/>
      <c r="AGI30" s="182"/>
      <c r="AGJ30" s="182"/>
      <c r="AGK30" s="182"/>
      <c r="AGL30" s="182"/>
      <c r="AGM30" s="182"/>
      <c r="AGN30" s="182"/>
      <c r="AGO30" s="182"/>
      <c r="AGP30" s="182"/>
      <c r="AGQ30" s="182"/>
      <c r="AGR30" s="182"/>
      <c r="AGS30" s="182"/>
      <c r="AGT30" s="182"/>
      <c r="AGU30" s="182"/>
      <c r="AGV30" s="182"/>
      <c r="AGW30" s="182"/>
      <c r="AGX30" s="182"/>
      <c r="AGY30" s="182"/>
      <c r="AGZ30" s="182"/>
      <c r="AHA30" s="182"/>
      <c r="AHB30" s="182"/>
      <c r="AHC30" s="182"/>
      <c r="AHD30" s="182"/>
      <c r="AHE30" s="182"/>
      <c r="AHF30" s="182"/>
      <c r="AHG30" s="182"/>
      <c r="AHH30" s="182"/>
      <c r="AHI30" s="182"/>
      <c r="AHJ30" s="182"/>
      <c r="AHK30" s="182"/>
      <c r="AHL30" s="182"/>
      <c r="AHM30" s="182"/>
      <c r="AHN30" s="182"/>
      <c r="AHO30" s="182"/>
      <c r="AHP30" s="182"/>
      <c r="AHQ30" s="182"/>
      <c r="AHR30" s="182"/>
      <c r="AHS30" s="182"/>
      <c r="AHT30" s="182"/>
      <c r="AHU30" s="182"/>
      <c r="AHV30" s="182"/>
      <c r="AHW30" s="182"/>
      <c r="AHX30" s="182"/>
      <c r="AHY30" s="182"/>
      <c r="AHZ30" s="182"/>
      <c r="AIA30" s="182"/>
      <c r="AIB30" s="182"/>
      <c r="AIC30" s="182"/>
      <c r="AID30" s="182"/>
      <c r="AIE30" s="182"/>
      <c r="AIF30" s="182"/>
      <c r="AIG30" s="182"/>
      <c r="AIH30" s="182"/>
      <c r="AII30" s="182"/>
      <c r="AIJ30" s="182"/>
      <c r="AIK30" s="182"/>
      <c r="AIL30" s="182"/>
      <c r="AIM30" s="182"/>
      <c r="AIN30" s="182"/>
      <c r="AIO30" s="182"/>
      <c r="AIP30" s="182"/>
      <c r="AIQ30" s="182"/>
      <c r="AIR30" s="182"/>
      <c r="AIS30" s="182"/>
      <c r="AIT30" s="182"/>
      <c r="AIU30" s="182"/>
      <c r="AIV30" s="182"/>
      <c r="AIW30" s="182"/>
      <c r="AIX30" s="182"/>
      <c r="AIY30" s="182"/>
      <c r="AIZ30" s="182"/>
      <c r="AJA30" s="182"/>
      <c r="AJB30" s="182"/>
      <c r="AJC30" s="182"/>
      <c r="AJD30" s="182"/>
      <c r="AJE30" s="182"/>
      <c r="AJF30" s="182"/>
      <c r="AJG30" s="182"/>
      <c r="AJH30" s="182"/>
      <c r="AJI30" s="182"/>
      <c r="AJJ30" s="182"/>
      <c r="AJK30" s="182"/>
      <c r="AJL30" s="182"/>
      <c r="AJM30" s="182"/>
      <c r="AJN30" s="182"/>
      <c r="AJO30" s="182"/>
      <c r="AJP30" s="182"/>
      <c r="AJQ30" s="182"/>
      <c r="AJR30" s="182"/>
      <c r="AJS30" s="182"/>
      <c r="AJT30" s="182"/>
      <c r="AJU30" s="182"/>
      <c r="AJV30" s="182"/>
      <c r="AJW30" s="182"/>
      <c r="AJX30" s="182"/>
      <c r="AJY30" s="182"/>
      <c r="AJZ30" s="182"/>
      <c r="AKA30" s="182"/>
      <c r="AKB30" s="182"/>
      <c r="AKC30" s="182"/>
      <c r="AKD30" s="182"/>
      <c r="AKE30" s="182"/>
      <c r="AKF30" s="182"/>
      <c r="AKG30" s="182"/>
      <c r="AKH30" s="182"/>
      <c r="AKI30" s="182"/>
      <c r="AKJ30" s="182"/>
      <c r="AKK30" s="182"/>
      <c r="AKL30" s="182"/>
      <c r="AKM30" s="182"/>
      <c r="AKN30" s="182"/>
      <c r="AKO30" s="182"/>
      <c r="AKP30" s="182"/>
      <c r="AKQ30" s="182"/>
      <c r="AKR30" s="182"/>
      <c r="AKS30" s="182"/>
      <c r="AKT30" s="182"/>
      <c r="AKU30" s="182"/>
      <c r="AKV30" s="182"/>
      <c r="AKW30" s="182"/>
      <c r="AKX30" s="182"/>
      <c r="AKY30" s="182"/>
      <c r="AKZ30" s="182"/>
      <c r="ALA30" s="182"/>
      <c r="ALB30" s="182"/>
      <c r="ALC30" s="182"/>
      <c r="ALD30" s="182"/>
      <c r="ALE30" s="182"/>
      <c r="ALF30" s="182"/>
      <c r="ALG30" s="182"/>
      <c r="ALH30" s="182"/>
      <c r="ALI30" s="182"/>
      <c r="ALJ30" s="182"/>
      <c r="ALK30" s="182"/>
      <c r="ALL30" s="182"/>
      <c r="ALM30" s="182"/>
      <c r="ALN30" s="182"/>
      <c r="ALO30" s="182"/>
      <c r="ALP30" s="182"/>
      <c r="ALQ30" s="182"/>
      <c r="ALR30" s="182"/>
      <c r="ALS30" s="182"/>
      <c r="ALT30" s="182"/>
      <c r="ALU30" s="182"/>
      <c r="ALV30" s="182"/>
      <c r="ALW30" s="182"/>
      <c r="ALX30" s="182"/>
      <c r="ALY30" s="182"/>
      <c r="ALZ30" s="182"/>
      <c r="AMA30" s="182"/>
      <c r="AMB30" s="182"/>
      <c r="AMC30" s="182"/>
      <c r="AMD30" s="182"/>
      <c r="AME30" s="182"/>
      <c r="AMF30" s="182"/>
      <c r="AMG30" s="182"/>
      <c r="AMH30" s="182"/>
      <c r="AMI30" s="182"/>
      <c r="AMJ30" s="182"/>
      <c r="AMK30" s="182"/>
    </row>
    <row r="31" spans="1:1025" s="413" customFormat="1" ht="9.75" x14ac:dyDescent="0.2">
      <c r="A31" s="182"/>
      <c r="B31" s="444" t="s">
        <v>2912</v>
      </c>
      <c r="C31" s="182"/>
      <c r="D31" s="182"/>
      <c r="E31" s="182"/>
      <c r="F31" s="203"/>
      <c r="G31" s="445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82"/>
      <c r="BU31" s="182"/>
      <c r="BV31" s="182"/>
      <c r="BW31" s="182"/>
      <c r="BX31" s="182"/>
      <c r="BY31" s="182"/>
      <c r="BZ31" s="182"/>
      <c r="CA31" s="182"/>
      <c r="CB31" s="182"/>
      <c r="CC31" s="182"/>
      <c r="CD31" s="182"/>
      <c r="CE31" s="182"/>
      <c r="CF31" s="182"/>
      <c r="CG31" s="182"/>
      <c r="CH31" s="182"/>
      <c r="CI31" s="182"/>
      <c r="CJ31" s="182"/>
      <c r="CK31" s="182"/>
      <c r="CL31" s="182"/>
      <c r="CM31" s="182"/>
      <c r="CN31" s="182"/>
      <c r="CO31" s="182"/>
      <c r="CP31" s="182"/>
      <c r="CQ31" s="182"/>
      <c r="CR31" s="182"/>
      <c r="CS31" s="182"/>
      <c r="CT31" s="182"/>
      <c r="CU31" s="182"/>
      <c r="CV31" s="182"/>
      <c r="CW31" s="182"/>
      <c r="CX31" s="182"/>
      <c r="CY31" s="182"/>
      <c r="CZ31" s="182"/>
      <c r="DA31" s="182"/>
      <c r="DB31" s="182"/>
      <c r="DC31" s="182"/>
      <c r="DD31" s="182"/>
      <c r="DE31" s="182"/>
      <c r="DF31" s="182"/>
      <c r="DG31" s="182"/>
      <c r="DH31" s="182"/>
      <c r="DI31" s="182"/>
      <c r="DJ31" s="182"/>
      <c r="DK31" s="182"/>
      <c r="DL31" s="182"/>
      <c r="DM31" s="182"/>
      <c r="DN31" s="182"/>
      <c r="DO31" s="182"/>
      <c r="DP31" s="182"/>
      <c r="DQ31" s="182"/>
      <c r="DR31" s="182"/>
      <c r="DS31" s="182"/>
      <c r="DT31" s="182"/>
      <c r="DU31" s="182"/>
      <c r="DV31" s="182"/>
      <c r="DW31" s="182"/>
      <c r="DX31" s="182"/>
      <c r="DY31" s="182"/>
      <c r="DZ31" s="182"/>
      <c r="EA31" s="182"/>
      <c r="EB31" s="182"/>
      <c r="EC31" s="182"/>
      <c r="ED31" s="182"/>
      <c r="EE31" s="182"/>
      <c r="EF31" s="182"/>
      <c r="EG31" s="182"/>
      <c r="EH31" s="182"/>
      <c r="EI31" s="182"/>
      <c r="EJ31" s="182"/>
      <c r="EK31" s="182"/>
      <c r="EL31" s="182"/>
      <c r="EM31" s="182"/>
      <c r="EN31" s="182"/>
      <c r="EO31" s="182"/>
      <c r="EP31" s="182"/>
      <c r="EQ31" s="182"/>
      <c r="ER31" s="182"/>
      <c r="ES31" s="182"/>
      <c r="ET31" s="182"/>
      <c r="EU31" s="182"/>
      <c r="EV31" s="182"/>
      <c r="EW31" s="182"/>
      <c r="EX31" s="182"/>
      <c r="EY31" s="182"/>
      <c r="EZ31" s="182"/>
      <c r="FA31" s="182"/>
      <c r="FB31" s="182"/>
      <c r="FC31" s="182"/>
      <c r="FD31" s="182"/>
      <c r="FE31" s="182"/>
      <c r="FF31" s="182"/>
      <c r="FG31" s="182"/>
      <c r="FH31" s="182"/>
      <c r="FI31" s="182"/>
      <c r="FJ31" s="182"/>
      <c r="FK31" s="182"/>
      <c r="FL31" s="182"/>
      <c r="FM31" s="182"/>
      <c r="FN31" s="182"/>
      <c r="FO31" s="182"/>
      <c r="FP31" s="182"/>
      <c r="FQ31" s="182"/>
      <c r="FR31" s="182"/>
      <c r="FS31" s="182"/>
      <c r="FT31" s="182"/>
      <c r="FU31" s="182"/>
      <c r="FV31" s="182"/>
      <c r="FW31" s="182"/>
      <c r="FX31" s="182"/>
      <c r="FY31" s="182"/>
      <c r="FZ31" s="182"/>
      <c r="GA31" s="182"/>
      <c r="GB31" s="182"/>
      <c r="GC31" s="182"/>
      <c r="GD31" s="182"/>
      <c r="GE31" s="182"/>
      <c r="GF31" s="182"/>
      <c r="GG31" s="182"/>
      <c r="GH31" s="182"/>
      <c r="GI31" s="182"/>
      <c r="GJ31" s="182"/>
      <c r="GK31" s="182"/>
      <c r="GL31" s="182"/>
      <c r="GM31" s="182"/>
      <c r="GN31" s="182"/>
      <c r="GO31" s="182"/>
      <c r="GP31" s="182"/>
      <c r="GQ31" s="182"/>
      <c r="GR31" s="182"/>
      <c r="GS31" s="182"/>
      <c r="GT31" s="182"/>
      <c r="GU31" s="182"/>
      <c r="GV31" s="182"/>
      <c r="GW31" s="182"/>
      <c r="GX31" s="182"/>
      <c r="GY31" s="182"/>
      <c r="GZ31" s="182"/>
      <c r="HA31" s="182"/>
      <c r="HB31" s="182"/>
      <c r="HC31" s="182"/>
      <c r="HD31" s="182"/>
      <c r="HE31" s="182"/>
      <c r="HF31" s="182"/>
      <c r="HG31" s="182"/>
      <c r="HH31" s="182"/>
      <c r="HI31" s="182"/>
      <c r="HJ31" s="182"/>
      <c r="HK31" s="182"/>
      <c r="HL31" s="182"/>
      <c r="HM31" s="182"/>
      <c r="HN31" s="182"/>
      <c r="HO31" s="182"/>
      <c r="HP31" s="182"/>
      <c r="HQ31" s="182"/>
      <c r="HR31" s="182"/>
      <c r="HS31" s="182"/>
      <c r="HT31" s="182"/>
      <c r="HU31" s="182"/>
      <c r="HV31" s="182"/>
      <c r="HW31" s="182"/>
      <c r="HX31" s="182"/>
      <c r="HY31" s="182"/>
      <c r="HZ31" s="182"/>
      <c r="IA31" s="182"/>
      <c r="IB31" s="182"/>
      <c r="IC31" s="182"/>
      <c r="ID31" s="182"/>
      <c r="IE31" s="182"/>
      <c r="IF31" s="182"/>
      <c r="IG31" s="182"/>
      <c r="IH31" s="182"/>
      <c r="II31" s="182"/>
      <c r="IJ31" s="182"/>
      <c r="IK31" s="182"/>
      <c r="IL31" s="182"/>
      <c r="IM31" s="182"/>
      <c r="IN31" s="182"/>
      <c r="IO31" s="182"/>
      <c r="IP31" s="182"/>
      <c r="IQ31" s="182"/>
      <c r="IR31" s="182"/>
      <c r="IS31" s="182"/>
      <c r="IT31" s="182"/>
      <c r="IU31" s="182"/>
      <c r="IV31" s="182"/>
      <c r="IW31" s="182"/>
      <c r="IX31" s="182"/>
      <c r="IY31" s="182"/>
      <c r="IZ31" s="182"/>
      <c r="JA31" s="182"/>
      <c r="JB31" s="182"/>
      <c r="JC31" s="182"/>
      <c r="JD31" s="182"/>
      <c r="JE31" s="182"/>
      <c r="JF31" s="182"/>
      <c r="JG31" s="182"/>
      <c r="JH31" s="182"/>
      <c r="JI31" s="182"/>
      <c r="JJ31" s="182"/>
      <c r="JK31" s="182"/>
      <c r="JL31" s="182"/>
      <c r="JM31" s="182"/>
      <c r="JN31" s="182"/>
      <c r="JO31" s="182"/>
      <c r="JP31" s="182"/>
      <c r="JQ31" s="182"/>
      <c r="JR31" s="182"/>
      <c r="JS31" s="182"/>
      <c r="JT31" s="182"/>
      <c r="JU31" s="182"/>
      <c r="JV31" s="182"/>
      <c r="JW31" s="182"/>
      <c r="JX31" s="182"/>
      <c r="JY31" s="182"/>
      <c r="JZ31" s="182"/>
      <c r="KA31" s="182"/>
      <c r="KB31" s="182"/>
      <c r="KC31" s="182"/>
      <c r="KD31" s="182"/>
      <c r="KE31" s="182"/>
      <c r="KF31" s="182"/>
      <c r="KG31" s="182"/>
      <c r="KH31" s="182"/>
      <c r="KI31" s="182"/>
      <c r="KJ31" s="182"/>
      <c r="KK31" s="182"/>
      <c r="KL31" s="182"/>
      <c r="KM31" s="182"/>
      <c r="KN31" s="182"/>
      <c r="KO31" s="182"/>
      <c r="KP31" s="182"/>
      <c r="KQ31" s="182"/>
      <c r="KR31" s="182"/>
      <c r="KS31" s="182"/>
      <c r="KT31" s="182"/>
      <c r="KU31" s="182"/>
      <c r="KV31" s="182"/>
      <c r="KW31" s="182"/>
      <c r="KX31" s="182"/>
      <c r="KY31" s="182"/>
      <c r="KZ31" s="182"/>
      <c r="LA31" s="182"/>
      <c r="LB31" s="182"/>
      <c r="LC31" s="182"/>
      <c r="LD31" s="182"/>
      <c r="LE31" s="182"/>
      <c r="LF31" s="182"/>
      <c r="LG31" s="182"/>
      <c r="LH31" s="182"/>
      <c r="LI31" s="182"/>
      <c r="LJ31" s="182"/>
      <c r="LK31" s="182"/>
      <c r="LL31" s="182"/>
      <c r="LM31" s="182"/>
      <c r="LN31" s="182"/>
      <c r="LO31" s="182"/>
      <c r="LP31" s="182"/>
      <c r="LQ31" s="182"/>
      <c r="LR31" s="182"/>
      <c r="LS31" s="182"/>
      <c r="LT31" s="182"/>
      <c r="LU31" s="182"/>
      <c r="LV31" s="182"/>
      <c r="LW31" s="182"/>
      <c r="LX31" s="182"/>
      <c r="LY31" s="182"/>
      <c r="LZ31" s="182"/>
      <c r="MA31" s="182"/>
      <c r="MB31" s="182"/>
      <c r="MC31" s="182"/>
      <c r="MD31" s="182"/>
      <c r="ME31" s="182"/>
      <c r="MF31" s="182"/>
      <c r="MG31" s="182"/>
      <c r="MH31" s="182"/>
      <c r="MI31" s="182"/>
      <c r="MJ31" s="182"/>
      <c r="MK31" s="182"/>
      <c r="ML31" s="182"/>
      <c r="MM31" s="182"/>
      <c r="MN31" s="182"/>
      <c r="MO31" s="182"/>
      <c r="MP31" s="182"/>
      <c r="MQ31" s="182"/>
      <c r="MR31" s="182"/>
      <c r="MS31" s="182"/>
      <c r="MT31" s="182"/>
      <c r="MU31" s="182"/>
      <c r="MV31" s="182"/>
      <c r="MW31" s="182"/>
      <c r="MX31" s="182"/>
      <c r="MY31" s="182"/>
      <c r="MZ31" s="182"/>
      <c r="NA31" s="182"/>
      <c r="NB31" s="182"/>
      <c r="NC31" s="182"/>
      <c r="ND31" s="182"/>
      <c r="NE31" s="182"/>
      <c r="NF31" s="182"/>
      <c r="NG31" s="182"/>
      <c r="NH31" s="182"/>
      <c r="NI31" s="182"/>
      <c r="NJ31" s="182"/>
      <c r="NK31" s="182"/>
      <c r="NL31" s="182"/>
      <c r="NM31" s="182"/>
      <c r="NN31" s="182"/>
      <c r="NO31" s="182"/>
      <c r="NP31" s="182"/>
      <c r="NQ31" s="182"/>
      <c r="NR31" s="182"/>
      <c r="NS31" s="182"/>
      <c r="NT31" s="182"/>
      <c r="NU31" s="182"/>
      <c r="NV31" s="182"/>
      <c r="NW31" s="182"/>
      <c r="NX31" s="182"/>
      <c r="NY31" s="182"/>
      <c r="NZ31" s="182"/>
      <c r="OA31" s="182"/>
      <c r="OB31" s="182"/>
      <c r="OC31" s="182"/>
      <c r="OD31" s="182"/>
      <c r="OE31" s="182"/>
      <c r="OF31" s="182"/>
      <c r="OG31" s="182"/>
      <c r="OH31" s="182"/>
      <c r="OI31" s="182"/>
      <c r="OJ31" s="182"/>
      <c r="OK31" s="182"/>
      <c r="OL31" s="182"/>
      <c r="OM31" s="182"/>
      <c r="ON31" s="182"/>
      <c r="OO31" s="182"/>
      <c r="OP31" s="182"/>
      <c r="OQ31" s="182"/>
      <c r="OR31" s="182"/>
      <c r="OS31" s="182"/>
      <c r="OT31" s="182"/>
      <c r="OU31" s="182"/>
      <c r="OV31" s="182"/>
      <c r="OW31" s="182"/>
      <c r="OX31" s="182"/>
      <c r="OY31" s="182"/>
      <c r="OZ31" s="182"/>
      <c r="PA31" s="182"/>
      <c r="PB31" s="182"/>
      <c r="PC31" s="182"/>
      <c r="PD31" s="182"/>
      <c r="PE31" s="182"/>
      <c r="PF31" s="182"/>
      <c r="PG31" s="182"/>
      <c r="PH31" s="182"/>
      <c r="PI31" s="182"/>
      <c r="PJ31" s="182"/>
      <c r="PK31" s="182"/>
      <c r="PL31" s="182"/>
      <c r="PM31" s="182"/>
      <c r="PN31" s="182"/>
      <c r="PO31" s="182"/>
      <c r="PP31" s="182"/>
      <c r="PQ31" s="182"/>
      <c r="PR31" s="182"/>
      <c r="PS31" s="182"/>
      <c r="PT31" s="182"/>
      <c r="PU31" s="182"/>
      <c r="PV31" s="182"/>
      <c r="PW31" s="182"/>
      <c r="PX31" s="182"/>
      <c r="PY31" s="182"/>
      <c r="PZ31" s="182"/>
      <c r="QA31" s="182"/>
      <c r="QB31" s="182"/>
      <c r="QC31" s="182"/>
      <c r="QD31" s="182"/>
      <c r="QE31" s="182"/>
      <c r="QF31" s="182"/>
      <c r="QG31" s="182"/>
      <c r="QH31" s="182"/>
      <c r="QI31" s="182"/>
      <c r="QJ31" s="182"/>
      <c r="QK31" s="182"/>
      <c r="QL31" s="182"/>
      <c r="QM31" s="182"/>
      <c r="QN31" s="182"/>
      <c r="QO31" s="182"/>
      <c r="QP31" s="182"/>
      <c r="QQ31" s="182"/>
      <c r="QR31" s="182"/>
      <c r="QS31" s="182"/>
      <c r="QT31" s="182"/>
      <c r="QU31" s="182"/>
      <c r="QV31" s="182"/>
      <c r="QW31" s="182"/>
      <c r="QX31" s="182"/>
      <c r="QY31" s="182"/>
      <c r="QZ31" s="182"/>
      <c r="RA31" s="182"/>
      <c r="RB31" s="182"/>
      <c r="RC31" s="182"/>
      <c r="RD31" s="182"/>
      <c r="RE31" s="182"/>
      <c r="RF31" s="182"/>
      <c r="RG31" s="182"/>
      <c r="RH31" s="182"/>
      <c r="RI31" s="182"/>
      <c r="RJ31" s="182"/>
      <c r="RK31" s="182"/>
      <c r="RL31" s="182"/>
      <c r="RM31" s="182"/>
      <c r="RN31" s="182"/>
      <c r="RO31" s="182"/>
      <c r="RP31" s="182"/>
      <c r="RQ31" s="182"/>
      <c r="RR31" s="182"/>
      <c r="RS31" s="182"/>
      <c r="RT31" s="182"/>
      <c r="RU31" s="182"/>
      <c r="RV31" s="182"/>
      <c r="RW31" s="182"/>
      <c r="RX31" s="182"/>
      <c r="RY31" s="182"/>
      <c r="RZ31" s="182"/>
      <c r="SA31" s="182"/>
      <c r="SB31" s="182"/>
      <c r="SC31" s="182"/>
      <c r="SD31" s="182"/>
      <c r="SE31" s="182"/>
      <c r="SF31" s="182"/>
      <c r="SG31" s="182"/>
      <c r="SH31" s="182"/>
      <c r="SI31" s="182"/>
      <c r="SJ31" s="182"/>
      <c r="SK31" s="182"/>
      <c r="SL31" s="182"/>
      <c r="SM31" s="182"/>
      <c r="SN31" s="182"/>
      <c r="SO31" s="182"/>
      <c r="SP31" s="182"/>
      <c r="SQ31" s="182"/>
      <c r="SR31" s="182"/>
      <c r="SS31" s="182"/>
      <c r="ST31" s="182"/>
      <c r="SU31" s="182"/>
      <c r="SV31" s="182"/>
      <c r="SW31" s="182"/>
      <c r="SX31" s="182"/>
      <c r="SY31" s="182"/>
      <c r="SZ31" s="182"/>
      <c r="TA31" s="182"/>
      <c r="TB31" s="182"/>
      <c r="TC31" s="182"/>
      <c r="TD31" s="182"/>
      <c r="TE31" s="182"/>
      <c r="TF31" s="182"/>
      <c r="TG31" s="182"/>
      <c r="TH31" s="182"/>
      <c r="TI31" s="182"/>
      <c r="TJ31" s="182"/>
      <c r="TK31" s="182"/>
      <c r="TL31" s="182"/>
      <c r="TM31" s="182"/>
      <c r="TN31" s="182"/>
      <c r="TO31" s="182"/>
      <c r="TP31" s="182"/>
      <c r="TQ31" s="182"/>
      <c r="TR31" s="182"/>
      <c r="TS31" s="182"/>
      <c r="TT31" s="182"/>
      <c r="TU31" s="182"/>
      <c r="TV31" s="182"/>
      <c r="TW31" s="182"/>
      <c r="TX31" s="182"/>
      <c r="TY31" s="182"/>
      <c r="TZ31" s="182"/>
      <c r="UA31" s="182"/>
      <c r="UB31" s="182"/>
      <c r="UC31" s="182"/>
      <c r="UD31" s="182"/>
      <c r="UE31" s="182"/>
      <c r="UF31" s="182"/>
      <c r="UG31" s="182"/>
      <c r="UH31" s="182"/>
      <c r="UI31" s="182"/>
      <c r="UJ31" s="182"/>
      <c r="UK31" s="182"/>
      <c r="UL31" s="182"/>
      <c r="UM31" s="182"/>
      <c r="UN31" s="182"/>
      <c r="UO31" s="182"/>
      <c r="UP31" s="182"/>
      <c r="UQ31" s="182"/>
      <c r="UR31" s="182"/>
      <c r="US31" s="182"/>
      <c r="UT31" s="182"/>
      <c r="UU31" s="182"/>
      <c r="UV31" s="182"/>
      <c r="UW31" s="182"/>
      <c r="UX31" s="182"/>
      <c r="UY31" s="182"/>
      <c r="UZ31" s="182"/>
      <c r="VA31" s="182"/>
      <c r="VB31" s="182"/>
      <c r="VC31" s="182"/>
      <c r="VD31" s="182"/>
      <c r="VE31" s="182"/>
      <c r="VF31" s="182"/>
      <c r="VG31" s="182"/>
      <c r="VH31" s="182"/>
      <c r="VI31" s="182"/>
      <c r="VJ31" s="182"/>
      <c r="VK31" s="182"/>
      <c r="VL31" s="182"/>
      <c r="VM31" s="182"/>
      <c r="VN31" s="182"/>
      <c r="VO31" s="182"/>
      <c r="VP31" s="182"/>
      <c r="VQ31" s="182"/>
      <c r="VR31" s="182"/>
      <c r="VS31" s="182"/>
      <c r="VT31" s="182"/>
      <c r="VU31" s="182"/>
      <c r="VV31" s="182"/>
      <c r="VW31" s="182"/>
      <c r="VX31" s="182"/>
      <c r="VY31" s="182"/>
      <c r="VZ31" s="182"/>
      <c r="WA31" s="182"/>
      <c r="WB31" s="182"/>
      <c r="WC31" s="182"/>
      <c r="WD31" s="182"/>
      <c r="WE31" s="182"/>
      <c r="WF31" s="182"/>
      <c r="WG31" s="182"/>
      <c r="WH31" s="182"/>
      <c r="WI31" s="182"/>
      <c r="WJ31" s="182"/>
      <c r="WK31" s="182"/>
      <c r="WL31" s="182"/>
      <c r="WM31" s="182"/>
      <c r="WN31" s="182"/>
      <c r="WO31" s="182"/>
      <c r="WP31" s="182"/>
      <c r="WQ31" s="182"/>
      <c r="WR31" s="182"/>
      <c r="WS31" s="182"/>
      <c r="WT31" s="182"/>
      <c r="WU31" s="182"/>
      <c r="WV31" s="182"/>
      <c r="WW31" s="182"/>
      <c r="WX31" s="182"/>
      <c r="WY31" s="182"/>
      <c r="WZ31" s="182"/>
      <c r="XA31" s="182"/>
      <c r="XB31" s="182"/>
      <c r="XC31" s="182"/>
      <c r="XD31" s="182"/>
      <c r="XE31" s="182"/>
      <c r="XF31" s="182"/>
      <c r="XG31" s="182"/>
      <c r="XH31" s="182"/>
      <c r="XI31" s="182"/>
      <c r="XJ31" s="182"/>
      <c r="XK31" s="182"/>
      <c r="XL31" s="182"/>
      <c r="XM31" s="182"/>
      <c r="XN31" s="182"/>
      <c r="XO31" s="182"/>
      <c r="XP31" s="182"/>
      <c r="XQ31" s="182"/>
      <c r="XR31" s="182"/>
      <c r="XS31" s="182"/>
      <c r="XT31" s="182"/>
      <c r="XU31" s="182"/>
      <c r="XV31" s="182"/>
      <c r="XW31" s="182"/>
      <c r="XX31" s="182"/>
      <c r="XY31" s="182"/>
      <c r="XZ31" s="182"/>
      <c r="YA31" s="182"/>
      <c r="YB31" s="182"/>
      <c r="YC31" s="182"/>
      <c r="YD31" s="182"/>
      <c r="YE31" s="182"/>
      <c r="YF31" s="182"/>
      <c r="YG31" s="182"/>
      <c r="YH31" s="182"/>
      <c r="YI31" s="182"/>
      <c r="YJ31" s="182"/>
      <c r="YK31" s="182"/>
      <c r="YL31" s="182"/>
      <c r="YM31" s="182"/>
      <c r="YN31" s="182"/>
      <c r="YO31" s="182"/>
      <c r="YP31" s="182"/>
      <c r="YQ31" s="182"/>
      <c r="YR31" s="182"/>
      <c r="YS31" s="182"/>
      <c r="YT31" s="182"/>
      <c r="YU31" s="182"/>
      <c r="YV31" s="182"/>
      <c r="YW31" s="182"/>
      <c r="YX31" s="182"/>
      <c r="YY31" s="182"/>
      <c r="YZ31" s="182"/>
      <c r="ZA31" s="182"/>
      <c r="ZB31" s="182"/>
      <c r="ZC31" s="182"/>
      <c r="ZD31" s="182"/>
      <c r="ZE31" s="182"/>
      <c r="ZF31" s="182"/>
      <c r="ZG31" s="182"/>
      <c r="ZH31" s="182"/>
      <c r="ZI31" s="182"/>
      <c r="ZJ31" s="182"/>
      <c r="ZK31" s="182"/>
      <c r="ZL31" s="182"/>
      <c r="ZM31" s="182"/>
      <c r="ZN31" s="182"/>
      <c r="ZO31" s="182"/>
      <c r="ZP31" s="182"/>
      <c r="ZQ31" s="182"/>
      <c r="ZR31" s="182"/>
      <c r="ZS31" s="182"/>
      <c r="ZT31" s="182"/>
      <c r="ZU31" s="182"/>
      <c r="ZV31" s="182"/>
      <c r="ZW31" s="182"/>
      <c r="ZX31" s="182"/>
      <c r="ZY31" s="182"/>
      <c r="ZZ31" s="182"/>
      <c r="AAA31" s="182"/>
      <c r="AAB31" s="182"/>
      <c r="AAC31" s="182"/>
      <c r="AAD31" s="182"/>
      <c r="AAE31" s="182"/>
      <c r="AAF31" s="182"/>
      <c r="AAG31" s="182"/>
      <c r="AAH31" s="182"/>
      <c r="AAI31" s="182"/>
      <c r="AAJ31" s="182"/>
      <c r="AAK31" s="182"/>
      <c r="AAL31" s="182"/>
      <c r="AAM31" s="182"/>
      <c r="AAN31" s="182"/>
      <c r="AAO31" s="182"/>
      <c r="AAP31" s="182"/>
      <c r="AAQ31" s="182"/>
      <c r="AAR31" s="182"/>
      <c r="AAS31" s="182"/>
      <c r="AAT31" s="182"/>
      <c r="AAU31" s="182"/>
      <c r="AAV31" s="182"/>
      <c r="AAW31" s="182"/>
      <c r="AAX31" s="182"/>
      <c r="AAY31" s="182"/>
      <c r="AAZ31" s="182"/>
      <c r="ABA31" s="182"/>
      <c r="ABB31" s="182"/>
      <c r="ABC31" s="182"/>
      <c r="ABD31" s="182"/>
      <c r="ABE31" s="182"/>
      <c r="ABF31" s="182"/>
      <c r="ABG31" s="182"/>
      <c r="ABH31" s="182"/>
      <c r="ABI31" s="182"/>
      <c r="ABJ31" s="182"/>
      <c r="ABK31" s="182"/>
      <c r="ABL31" s="182"/>
      <c r="ABM31" s="182"/>
      <c r="ABN31" s="182"/>
      <c r="ABO31" s="182"/>
      <c r="ABP31" s="182"/>
      <c r="ABQ31" s="182"/>
      <c r="ABR31" s="182"/>
      <c r="ABS31" s="182"/>
      <c r="ABT31" s="182"/>
      <c r="ABU31" s="182"/>
      <c r="ABV31" s="182"/>
      <c r="ABW31" s="182"/>
      <c r="ABX31" s="182"/>
      <c r="ABY31" s="182"/>
      <c r="ABZ31" s="182"/>
      <c r="ACA31" s="182"/>
      <c r="ACB31" s="182"/>
      <c r="ACC31" s="182"/>
      <c r="ACD31" s="182"/>
      <c r="ACE31" s="182"/>
      <c r="ACF31" s="182"/>
      <c r="ACG31" s="182"/>
      <c r="ACH31" s="182"/>
      <c r="ACI31" s="182"/>
      <c r="ACJ31" s="182"/>
      <c r="ACK31" s="182"/>
      <c r="ACL31" s="182"/>
      <c r="ACM31" s="182"/>
      <c r="ACN31" s="182"/>
      <c r="ACO31" s="182"/>
      <c r="ACP31" s="182"/>
      <c r="ACQ31" s="182"/>
      <c r="ACR31" s="182"/>
      <c r="ACS31" s="182"/>
      <c r="ACT31" s="182"/>
      <c r="ACU31" s="182"/>
      <c r="ACV31" s="182"/>
      <c r="ACW31" s="182"/>
      <c r="ACX31" s="182"/>
      <c r="ACY31" s="182"/>
      <c r="ACZ31" s="182"/>
      <c r="ADA31" s="182"/>
      <c r="ADB31" s="182"/>
      <c r="ADC31" s="182"/>
      <c r="ADD31" s="182"/>
      <c r="ADE31" s="182"/>
      <c r="ADF31" s="182"/>
      <c r="ADG31" s="182"/>
      <c r="ADH31" s="182"/>
      <c r="ADI31" s="182"/>
      <c r="ADJ31" s="182"/>
      <c r="ADK31" s="182"/>
      <c r="ADL31" s="182"/>
      <c r="ADM31" s="182"/>
      <c r="ADN31" s="182"/>
      <c r="ADO31" s="182"/>
      <c r="ADP31" s="182"/>
      <c r="ADQ31" s="182"/>
      <c r="ADR31" s="182"/>
      <c r="ADS31" s="182"/>
      <c r="ADT31" s="182"/>
      <c r="ADU31" s="182"/>
      <c r="ADV31" s="182"/>
      <c r="ADW31" s="182"/>
      <c r="ADX31" s="182"/>
      <c r="ADY31" s="182"/>
      <c r="ADZ31" s="182"/>
      <c r="AEA31" s="182"/>
      <c r="AEB31" s="182"/>
      <c r="AEC31" s="182"/>
      <c r="AED31" s="182"/>
      <c r="AEE31" s="182"/>
      <c r="AEF31" s="182"/>
      <c r="AEG31" s="182"/>
      <c r="AEH31" s="182"/>
      <c r="AEI31" s="182"/>
      <c r="AEJ31" s="182"/>
      <c r="AEK31" s="182"/>
      <c r="AEL31" s="182"/>
      <c r="AEM31" s="182"/>
      <c r="AEN31" s="182"/>
      <c r="AEO31" s="182"/>
      <c r="AEP31" s="182"/>
      <c r="AEQ31" s="182"/>
      <c r="AER31" s="182"/>
      <c r="AES31" s="182"/>
      <c r="AET31" s="182"/>
      <c r="AEU31" s="182"/>
      <c r="AEV31" s="182"/>
      <c r="AEW31" s="182"/>
      <c r="AEX31" s="182"/>
      <c r="AEY31" s="182"/>
      <c r="AEZ31" s="182"/>
      <c r="AFA31" s="182"/>
      <c r="AFB31" s="182"/>
      <c r="AFC31" s="182"/>
      <c r="AFD31" s="182"/>
      <c r="AFE31" s="182"/>
      <c r="AFF31" s="182"/>
      <c r="AFG31" s="182"/>
      <c r="AFH31" s="182"/>
      <c r="AFI31" s="182"/>
      <c r="AFJ31" s="182"/>
      <c r="AFK31" s="182"/>
      <c r="AFL31" s="182"/>
      <c r="AFM31" s="182"/>
      <c r="AFN31" s="182"/>
      <c r="AFO31" s="182"/>
      <c r="AFP31" s="182"/>
      <c r="AFQ31" s="182"/>
      <c r="AFR31" s="182"/>
      <c r="AFS31" s="182"/>
      <c r="AFT31" s="182"/>
      <c r="AFU31" s="182"/>
      <c r="AFV31" s="182"/>
      <c r="AFW31" s="182"/>
      <c r="AFX31" s="182"/>
      <c r="AFY31" s="182"/>
      <c r="AFZ31" s="182"/>
      <c r="AGA31" s="182"/>
      <c r="AGB31" s="182"/>
      <c r="AGC31" s="182"/>
      <c r="AGD31" s="182"/>
      <c r="AGE31" s="182"/>
      <c r="AGF31" s="182"/>
      <c r="AGG31" s="182"/>
      <c r="AGH31" s="182"/>
      <c r="AGI31" s="182"/>
      <c r="AGJ31" s="182"/>
      <c r="AGK31" s="182"/>
      <c r="AGL31" s="182"/>
      <c r="AGM31" s="182"/>
      <c r="AGN31" s="182"/>
      <c r="AGO31" s="182"/>
      <c r="AGP31" s="182"/>
      <c r="AGQ31" s="182"/>
      <c r="AGR31" s="182"/>
      <c r="AGS31" s="182"/>
      <c r="AGT31" s="182"/>
      <c r="AGU31" s="182"/>
      <c r="AGV31" s="182"/>
      <c r="AGW31" s="182"/>
      <c r="AGX31" s="182"/>
      <c r="AGY31" s="182"/>
      <c r="AGZ31" s="182"/>
      <c r="AHA31" s="182"/>
      <c r="AHB31" s="182"/>
      <c r="AHC31" s="182"/>
      <c r="AHD31" s="182"/>
      <c r="AHE31" s="182"/>
      <c r="AHF31" s="182"/>
      <c r="AHG31" s="182"/>
      <c r="AHH31" s="182"/>
      <c r="AHI31" s="182"/>
      <c r="AHJ31" s="182"/>
      <c r="AHK31" s="182"/>
      <c r="AHL31" s="182"/>
      <c r="AHM31" s="182"/>
      <c r="AHN31" s="182"/>
      <c r="AHO31" s="182"/>
      <c r="AHP31" s="182"/>
      <c r="AHQ31" s="182"/>
      <c r="AHR31" s="182"/>
      <c r="AHS31" s="182"/>
      <c r="AHT31" s="182"/>
      <c r="AHU31" s="182"/>
      <c r="AHV31" s="182"/>
      <c r="AHW31" s="182"/>
      <c r="AHX31" s="182"/>
      <c r="AHY31" s="182"/>
      <c r="AHZ31" s="182"/>
      <c r="AIA31" s="182"/>
      <c r="AIB31" s="182"/>
      <c r="AIC31" s="182"/>
      <c r="AID31" s="182"/>
      <c r="AIE31" s="182"/>
      <c r="AIF31" s="182"/>
      <c r="AIG31" s="182"/>
      <c r="AIH31" s="182"/>
      <c r="AII31" s="182"/>
      <c r="AIJ31" s="182"/>
      <c r="AIK31" s="182"/>
      <c r="AIL31" s="182"/>
      <c r="AIM31" s="182"/>
      <c r="AIN31" s="182"/>
      <c r="AIO31" s="182"/>
      <c r="AIP31" s="182"/>
      <c r="AIQ31" s="182"/>
      <c r="AIR31" s="182"/>
      <c r="AIS31" s="182"/>
      <c r="AIT31" s="182"/>
      <c r="AIU31" s="182"/>
      <c r="AIV31" s="182"/>
      <c r="AIW31" s="182"/>
      <c r="AIX31" s="182"/>
      <c r="AIY31" s="182"/>
      <c r="AIZ31" s="182"/>
      <c r="AJA31" s="182"/>
      <c r="AJB31" s="182"/>
      <c r="AJC31" s="182"/>
      <c r="AJD31" s="182"/>
      <c r="AJE31" s="182"/>
      <c r="AJF31" s="182"/>
      <c r="AJG31" s="182"/>
      <c r="AJH31" s="182"/>
      <c r="AJI31" s="182"/>
      <c r="AJJ31" s="182"/>
      <c r="AJK31" s="182"/>
      <c r="AJL31" s="182"/>
      <c r="AJM31" s="182"/>
      <c r="AJN31" s="182"/>
      <c r="AJO31" s="182"/>
      <c r="AJP31" s="182"/>
      <c r="AJQ31" s="182"/>
      <c r="AJR31" s="182"/>
      <c r="AJS31" s="182"/>
      <c r="AJT31" s="182"/>
      <c r="AJU31" s="182"/>
      <c r="AJV31" s="182"/>
      <c r="AJW31" s="182"/>
      <c r="AJX31" s="182"/>
      <c r="AJY31" s="182"/>
      <c r="AJZ31" s="182"/>
      <c r="AKA31" s="182"/>
      <c r="AKB31" s="182"/>
      <c r="AKC31" s="182"/>
      <c r="AKD31" s="182"/>
      <c r="AKE31" s="182"/>
      <c r="AKF31" s="182"/>
      <c r="AKG31" s="182"/>
      <c r="AKH31" s="182"/>
      <c r="AKI31" s="182"/>
      <c r="AKJ31" s="182"/>
      <c r="AKK31" s="182"/>
      <c r="AKL31" s="182"/>
      <c r="AKM31" s="182"/>
      <c r="AKN31" s="182"/>
      <c r="AKO31" s="182"/>
      <c r="AKP31" s="182"/>
      <c r="AKQ31" s="182"/>
      <c r="AKR31" s="182"/>
      <c r="AKS31" s="182"/>
      <c r="AKT31" s="182"/>
      <c r="AKU31" s="182"/>
      <c r="AKV31" s="182"/>
      <c r="AKW31" s="182"/>
      <c r="AKX31" s="182"/>
      <c r="AKY31" s="182"/>
      <c r="AKZ31" s="182"/>
      <c r="ALA31" s="182"/>
      <c r="ALB31" s="182"/>
      <c r="ALC31" s="182"/>
      <c r="ALD31" s="182"/>
      <c r="ALE31" s="182"/>
      <c r="ALF31" s="182"/>
      <c r="ALG31" s="182"/>
      <c r="ALH31" s="182"/>
      <c r="ALI31" s="182"/>
      <c r="ALJ31" s="182"/>
      <c r="ALK31" s="182"/>
      <c r="ALL31" s="182"/>
      <c r="ALM31" s="182"/>
      <c r="ALN31" s="182"/>
      <c r="ALO31" s="182"/>
      <c r="ALP31" s="182"/>
      <c r="ALQ31" s="182"/>
      <c r="ALR31" s="182"/>
      <c r="ALS31" s="182"/>
      <c r="ALT31" s="182"/>
      <c r="ALU31" s="182"/>
      <c r="ALV31" s="182"/>
      <c r="ALW31" s="182"/>
      <c r="ALX31" s="182"/>
      <c r="ALY31" s="182"/>
      <c r="ALZ31" s="182"/>
      <c r="AMA31" s="182"/>
      <c r="AMB31" s="182"/>
      <c r="AMC31" s="182"/>
      <c r="AMD31" s="182"/>
      <c r="AME31" s="182"/>
      <c r="AMF31" s="182"/>
      <c r="AMG31" s="182"/>
      <c r="AMH31" s="182"/>
      <c r="AMI31" s="182"/>
      <c r="AMJ31" s="182"/>
      <c r="AMK31" s="182"/>
    </row>
    <row r="32" spans="1:1025" s="413" customFormat="1" ht="8.25" x14ac:dyDescent="0.15">
      <c r="A32" s="182"/>
      <c r="B32" s="446" t="s">
        <v>760</v>
      </c>
      <c r="C32" s="154" t="s">
        <v>761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2"/>
      <c r="BR32" s="182"/>
      <c r="BS32" s="182"/>
      <c r="BT32" s="182"/>
      <c r="BU32" s="182"/>
      <c r="BV32" s="182"/>
      <c r="BW32" s="182"/>
      <c r="BX32" s="182"/>
      <c r="BY32" s="182"/>
      <c r="BZ32" s="182"/>
      <c r="CA32" s="182"/>
      <c r="CB32" s="182"/>
      <c r="CC32" s="182"/>
      <c r="CD32" s="182"/>
      <c r="CE32" s="182"/>
      <c r="CF32" s="182"/>
      <c r="CG32" s="182"/>
      <c r="CH32" s="182"/>
      <c r="CI32" s="182"/>
      <c r="CJ32" s="182"/>
      <c r="CK32" s="182"/>
      <c r="CL32" s="182"/>
      <c r="CM32" s="182"/>
      <c r="CN32" s="182"/>
      <c r="CO32" s="182"/>
      <c r="CP32" s="182"/>
      <c r="CQ32" s="182"/>
      <c r="CR32" s="182"/>
      <c r="CS32" s="182"/>
      <c r="CT32" s="182"/>
      <c r="CU32" s="182"/>
      <c r="CV32" s="182"/>
      <c r="CW32" s="182"/>
      <c r="CX32" s="182"/>
      <c r="CY32" s="182"/>
      <c r="CZ32" s="182"/>
      <c r="DA32" s="182"/>
      <c r="DB32" s="182"/>
      <c r="DC32" s="182"/>
      <c r="DD32" s="182"/>
      <c r="DE32" s="182"/>
      <c r="DF32" s="182"/>
      <c r="DG32" s="182"/>
      <c r="DH32" s="182"/>
      <c r="DI32" s="182"/>
      <c r="DJ32" s="182"/>
      <c r="DK32" s="182"/>
      <c r="DL32" s="182"/>
      <c r="DM32" s="182"/>
      <c r="DN32" s="182"/>
      <c r="DO32" s="182"/>
      <c r="DP32" s="182"/>
      <c r="DQ32" s="182"/>
      <c r="DR32" s="182"/>
      <c r="DS32" s="182"/>
      <c r="DT32" s="182"/>
      <c r="DU32" s="182"/>
      <c r="DV32" s="182"/>
      <c r="DW32" s="182"/>
      <c r="DX32" s="182"/>
      <c r="DY32" s="182"/>
      <c r="DZ32" s="182"/>
      <c r="EA32" s="182"/>
      <c r="EB32" s="182"/>
      <c r="EC32" s="182"/>
      <c r="ED32" s="182"/>
      <c r="EE32" s="182"/>
      <c r="EF32" s="182"/>
      <c r="EG32" s="182"/>
      <c r="EH32" s="182"/>
      <c r="EI32" s="182"/>
      <c r="EJ32" s="182"/>
      <c r="EK32" s="182"/>
      <c r="EL32" s="182"/>
      <c r="EM32" s="182"/>
      <c r="EN32" s="182"/>
      <c r="EO32" s="182"/>
      <c r="EP32" s="182"/>
      <c r="EQ32" s="182"/>
      <c r="ER32" s="182"/>
      <c r="ES32" s="182"/>
      <c r="ET32" s="182"/>
      <c r="EU32" s="182"/>
      <c r="EV32" s="182"/>
      <c r="EW32" s="182"/>
      <c r="EX32" s="182"/>
      <c r="EY32" s="182"/>
      <c r="EZ32" s="182"/>
      <c r="FA32" s="182"/>
      <c r="FB32" s="182"/>
      <c r="FC32" s="182"/>
      <c r="FD32" s="182"/>
      <c r="FE32" s="182"/>
      <c r="FF32" s="182"/>
      <c r="FG32" s="182"/>
      <c r="FH32" s="182"/>
      <c r="FI32" s="182"/>
      <c r="FJ32" s="182"/>
      <c r="FK32" s="182"/>
      <c r="FL32" s="182"/>
      <c r="FM32" s="182"/>
      <c r="FN32" s="182"/>
      <c r="FO32" s="182"/>
      <c r="FP32" s="182"/>
      <c r="FQ32" s="182"/>
      <c r="FR32" s="182"/>
      <c r="FS32" s="182"/>
      <c r="FT32" s="182"/>
      <c r="FU32" s="182"/>
      <c r="FV32" s="182"/>
      <c r="FW32" s="182"/>
      <c r="FX32" s="182"/>
      <c r="FY32" s="182"/>
      <c r="FZ32" s="182"/>
      <c r="GA32" s="182"/>
      <c r="GB32" s="182"/>
      <c r="GC32" s="182"/>
      <c r="GD32" s="182"/>
      <c r="GE32" s="182"/>
      <c r="GF32" s="182"/>
      <c r="GG32" s="182"/>
      <c r="GH32" s="182"/>
      <c r="GI32" s="182"/>
      <c r="GJ32" s="182"/>
      <c r="GK32" s="182"/>
      <c r="GL32" s="182"/>
      <c r="GM32" s="182"/>
      <c r="GN32" s="182"/>
      <c r="GO32" s="182"/>
      <c r="GP32" s="182"/>
      <c r="GQ32" s="182"/>
      <c r="GR32" s="182"/>
      <c r="GS32" s="182"/>
      <c r="GT32" s="182"/>
      <c r="GU32" s="182"/>
      <c r="GV32" s="182"/>
      <c r="GW32" s="182"/>
      <c r="GX32" s="182"/>
      <c r="GY32" s="182"/>
      <c r="GZ32" s="182"/>
      <c r="HA32" s="182"/>
      <c r="HB32" s="182"/>
      <c r="HC32" s="182"/>
      <c r="HD32" s="182"/>
      <c r="HE32" s="182"/>
      <c r="HF32" s="182"/>
      <c r="HG32" s="182"/>
      <c r="HH32" s="182"/>
      <c r="HI32" s="182"/>
      <c r="HJ32" s="182"/>
      <c r="HK32" s="182"/>
      <c r="HL32" s="182"/>
      <c r="HM32" s="182"/>
      <c r="HN32" s="182"/>
      <c r="HO32" s="182"/>
      <c r="HP32" s="182"/>
      <c r="HQ32" s="182"/>
      <c r="HR32" s="182"/>
      <c r="HS32" s="182"/>
      <c r="HT32" s="182"/>
      <c r="HU32" s="182"/>
      <c r="HV32" s="182"/>
      <c r="HW32" s="182"/>
      <c r="HX32" s="182"/>
      <c r="HY32" s="182"/>
      <c r="HZ32" s="182"/>
      <c r="IA32" s="182"/>
      <c r="IB32" s="182"/>
      <c r="IC32" s="182"/>
      <c r="ID32" s="182"/>
      <c r="IE32" s="182"/>
      <c r="IF32" s="182"/>
      <c r="IG32" s="182"/>
      <c r="IH32" s="182"/>
      <c r="II32" s="182"/>
      <c r="IJ32" s="182"/>
      <c r="IK32" s="182"/>
      <c r="IL32" s="182"/>
      <c r="IM32" s="182"/>
      <c r="IN32" s="182"/>
      <c r="IO32" s="182"/>
      <c r="IP32" s="182"/>
      <c r="IQ32" s="182"/>
      <c r="IR32" s="182"/>
      <c r="IS32" s="182"/>
      <c r="IT32" s="182"/>
      <c r="IU32" s="182"/>
      <c r="IV32" s="182"/>
      <c r="IW32" s="182"/>
      <c r="IX32" s="182"/>
      <c r="IY32" s="182"/>
      <c r="IZ32" s="182"/>
      <c r="JA32" s="182"/>
      <c r="JB32" s="182"/>
      <c r="JC32" s="182"/>
      <c r="JD32" s="182"/>
      <c r="JE32" s="182"/>
      <c r="JF32" s="182"/>
      <c r="JG32" s="182"/>
      <c r="JH32" s="182"/>
      <c r="JI32" s="182"/>
      <c r="JJ32" s="182"/>
      <c r="JK32" s="182"/>
      <c r="JL32" s="182"/>
      <c r="JM32" s="182"/>
      <c r="JN32" s="182"/>
      <c r="JO32" s="182"/>
      <c r="JP32" s="182"/>
      <c r="JQ32" s="182"/>
      <c r="JR32" s="182"/>
      <c r="JS32" s="182"/>
      <c r="JT32" s="182"/>
      <c r="JU32" s="182"/>
      <c r="JV32" s="182"/>
      <c r="JW32" s="182"/>
      <c r="JX32" s="182"/>
      <c r="JY32" s="182"/>
      <c r="JZ32" s="182"/>
      <c r="KA32" s="182"/>
      <c r="KB32" s="182"/>
      <c r="KC32" s="182"/>
      <c r="KD32" s="182"/>
      <c r="KE32" s="182"/>
      <c r="KF32" s="182"/>
      <c r="KG32" s="182"/>
      <c r="KH32" s="182"/>
      <c r="KI32" s="182"/>
      <c r="KJ32" s="182"/>
      <c r="KK32" s="182"/>
      <c r="KL32" s="182"/>
      <c r="KM32" s="182"/>
      <c r="KN32" s="182"/>
      <c r="KO32" s="182"/>
      <c r="KP32" s="182"/>
      <c r="KQ32" s="182"/>
      <c r="KR32" s="182"/>
      <c r="KS32" s="182"/>
      <c r="KT32" s="182"/>
      <c r="KU32" s="182"/>
      <c r="KV32" s="182"/>
      <c r="KW32" s="182"/>
      <c r="KX32" s="182"/>
      <c r="KY32" s="182"/>
      <c r="KZ32" s="182"/>
      <c r="LA32" s="182"/>
      <c r="LB32" s="182"/>
      <c r="LC32" s="182"/>
      <c r="LD32" s="182"/>
      <c r="LE32" s="182"/>
      <c r="LF32" s="182"/>
      <c r="LG32" s="182"/>
      <c r="LH32" s="182"/>
      <c r="LI32" s="182"/>
      <c r="LJ32" s="182"/>
      <c r="LK32" s="182"/>
      <c r="LL32" s="182"/>
      <c r="LM32" s="182"/>
      <c r="LN32" s="182"/>
      <c r="LO32" s="182"/>
      <c r="LP32" s="182"/>
      <c r="LQ32" s="182"/>
      <c r="LR32" s="182"/>
      <c r="LS32" s="182"/>
      <c r="LT32" s="182"/>
      <c r="LU32" s="182"/>
      <c r="LV32" s="182"/>
      <c r="LW32" s="182"/>
      <c r="LX32" s="182"/>
      <c r="LY32" s="182"/>
      <c r="LZ32" s="182"/>
      <c r="MA32" s="182"/>
      <c r="MB32" s="182"/>
      <c r="MC32" s="182"/>
      <c r="MD32" s="182"/>
      <c r="ME32" s="182"/>
      <c r="MF32" s="182"/>
      <c r="MG32" s="182"/>
      <c r="MH32" s="182"/>
      <c r="MI32" s="182"/>
      <c r="MJ32" s="182"/>
      <c r="MK32" s="182"/>
      <c r="ML32" s="182"/>
      <c r="MM32" s="182"/>
      <c r="MN32" s="182"/>
      <c r="MO32" s="182"/>
      <c r="MP32" s="182"/>
      <c r="MQ32" s="182"/>
      <c r="MR32" s="182"/>
      <c r="MS32" s="182"/>
      <c r="MT32" s="182"/>
      <c r="MU32" s="182"/>
      <c r="MV32" s="182"/>
      <c r="MW32" s="182"/>
      <c r="MX32" s="182"/>
      <c r="MY32" s="182"/>
      <c r="MZ32" s="182"/>
      <c r="NA32" s="182"/>
      <c r="NB32" s="182"/>
      <c r="NC32" s="182"/>
      <c r="ND32" s="182"/>
      <c r="NE32" s="182"/>
      <c r="NF32" s="182"/>
      <c r="NG32" s="182"/>
      <c r="NH32" s="182"/>
      <c r="NI32" s="182"/>
      <c r="NJ32" s="182"/>
      <c r="NK32" s="182"/>
      <c r="NL32" s="182"/>
      <c r="NM32" s="182"/>
      <c r="NN32" s="182"/>
      <c r="NO32" s="182"/>
      <c r="NP32" s="182"/>
      <c r="NQ32" s="182"/>
      <c r="NR32" s="182"/>
      <c r="NS32" s="182"/>
      <c r="NT32" s="182"/>
      <c r="NU32" s="182"/>
      <c r="NV32" s="182"/>
      <c r="NW32" s="182"/>
      <c r="NX32" s="182"/>
      <c r="NY32" s="182"/>
      <c r="NZ32" s="182"/>
      <c r="OA32" s="182"/>
      <c r="OB32" s="182"/>
      <c r="OC32" s="182"/>
      <c r="OD32" s="182"/>
      <c r="OE32" s="182"/>
      <c r="OF32" s="182"/>
      <c r="OG32" s="182"/>
      <c r="OH32" s="182"/>
      <c r="OI32" s="182"/>
      <c r="OJ32" s="182"/>
      <c r="OK32" s="182"/>
      <c r="OL32" s="182"/>
      <c r="OM32" s="182"/>
      <c r="ON32" s="182"/>
      <c r="OO32" s="182"/>
      <c r="OP32" s="182"/>
      <c r="OQ32" s="182"/>
      <c r="OR32" s="182"/>
      <c r="OS32" s="182"/>
      <c r="OT32" s="182"/>
      <c r="OU32" s="182"/>
      <c r="OV32" s="182"/>
      <c r="OW32" s="182"/>
      <c r="OX32" s="182"/>
      <c r="OY32" s="182"/>
      <c r="OZ32" s="182"/>
      <c r="PA32" s="182"/>
      <c r="PB32" s="182"/>
      <c r="PC32" s="182"/>
      <c r="PD32" s="182"/>
      <c r="PE32" s="182"/>
      <c r="PF32" s="182"/>
      <c r="PG32" s="182"/>
      <c r="PH32" s="182"/>
      <c r="PI32" s="182"/>
      <c r="PJ32" s="182"/>
      <c r="PK32" s="182"/>
      <c r="PL32" s="182"/>
      <c r="PM32" s="182"/>
      <c r="PN32" s="182"/>
      <c r="PO32" s="182"/>
      <c r="PP32" s="182"/>
      <c r="PQ32" s="182"/>
      <c r="PR32" s="182"/>
      <c r="PS32" s="182"/>
      <c r="PT32" s="182"/>
      <c r="PU32" s="182"/>
      <c r="PV32" s="182"/>
      <c r="PW32" s="182"/>
      <c r="PX32" s="182"/>
      <c r="PY32" s="182"/>
      <c r="PZ32" s="182"/>
      <c r="QA32" s="182"/>
      <c r="QB32" s="182"/>
      <c r="QC32" s="182"/>
      <c r="QD32" s="182"/>
      <c r="QE32" s="182"/>
      <c r="QF32" s="182"/>
      <c r="QG32" s="182"/>
      <c r="QH32" s="182"/>
      <c r="QI32" s="182"/>
      <c r="QJ32" s="182"/>
      <c r="QK32" s="182"/>
      <c r="QL32" s="182"/>
      <c r="QM32" s="182"/>
      <c r="QN32" s="182"/>
      <c r="QO32" s="182"/>
      <c r="QP32" s="182"/>
      <c r="QQ32" s="182"/>
      <c r="QR32" s="182"/>
      <c r="QS32" s="182"/>
      <c r="QT32" s="182"/>
      <c r="QU32" s="182"/>
      <c r="QV32" s="182"/>
      <c r="QW32" s="182"/>
      <c r="QX32" s="182"/>
      <c r="QY32" s="182"/>
      <c r="QZ32" s="182"/>
      <c r="RA32" s="182"/>
      <c r="RB32" s="182"/>
      <c r="RC32" s="182"/>
      <c r="RD32" s="182"/>
      <c r="RE32" s="182"/>
      <c r="RF32" s="182"/>
      <c r="RG32" s="182"/>
      <c r="RH32" s="182"/>
      <c r="RI32" s="182"/>
      <c r="RJ32" s="182"/>
      <c r="RK32" s="182"/>
      <c r="RL32" s="182"/>
      <c r="RM32" s="182"/>
      <c r="RN32" s="182"/>
      <c r="RO32" s="182"/>
      <c r="RP32" s="182"/>
      <c r="RQ32" s="182"/>
      <c r="RR32" s="182"/>
      <c r="RS32" s="182"/>
      <c r="RT32" s="182"/>
      <c r="RU32" s="182"/>
      <c r="RV32" s="182"/>
      <c r="RW32" s="182"/>
      <c r="RX32" s="182"/>
      <c r="RY32" s="182"/>
      <c r="RZ32" s="182"/>
      <c r="SA32" s="182"/>
      <c r="SB32" s="182"/>
      <c r="SC32" s="182"/>
      <c r="SD32" s="182"/>
      <c r="SE32" s="182"/>
      <c r="SF32" s="182"/>
      <c r="SG32" s="182"/>
      <c r="SH32" s="182"/>
      <c r="SI32" s="182"/>
      <c r="SJ32" s="182"/>
      <c r="SK32" s="182"/>
      <c r="SL32" s="182"/>
      <c r="SM32" s="182"/>
      <c r="SN32" s="182"/>
      <c r="SO32" s="182"/>
      <c r="SP32" s="182"/>
      <c r="SQ32" s="182"/>
      <c r="SR32" s="182"/>
      <c r="SS32" s="182"/>
      <c r="ST32" s="182"/>
      <c r="SU32" s="182"/>
      <c r="SV32" s="182"/>
      <c r="SW32" s="182"/>
      <c r="SX32" s="182"/>
      <c r="SY32" s="182"/>
      <c r="SZ32" s="182"/>
      <c r="TA32" s="182"/>
      <c r="TB32" s="182"/>
      <c r="TC32" s="182"/>
      <c r="TD32" s="182"/>
      <c r="TE32" s="182"/>
      <c r="TF32" s="182"/>
      <c r="TG32" s="182"/>
      <c r="TH32" s="182"/>
      <c r="TI32" s="182"/>
      <c r="TJ32" s="182"/>
      <c r="TK32" s="182"/>
      <c r="TL32" s="182"/>
      <c r="TM32" s="182"/>
      <c r="TN32" s="182"/>
      <c r="TO32" s="182"/>
      <c r="TP32" s="182"/>
      <c r="TQ32" s="182"/>
      <c r="TR32" s="182"/>
      <c r="TS32" s="182"/>
      <c r="TT32" s="182"/>
      <c r="TU32" s="182"/>
      <c r="TV32" s="182"/>
      <c r="TW32" s="182"/>
      <c r="TX32" s="182"/>
      <c r="TY32" s="182"/>
      <c r="TZ32" s="182"/>
      <c r="UA32" s="182"/>
      <c r="UB32" s="182"/>
      <c r="UC32" s="182"/>
      <c r="UD32" s="182"/>
      <c r="UE32" s="182"/>
      <c r="UF32" s="182"/>
      <c r="UG32" s="182"/>
      <c r="UH32" s="182"/>
      <c r="UI32" s="182"/>
      <c r="UJ32" s="182"/>
      <c r="UK32" s="182"/>
      <c r="UL32" s="182"/>
      <c r="UM32" s="182"/>
      <c r="UN32" s="182"/>
      <c r="UO32" s="182"/>
      <c r="UP32" s="182"/>
      <c r="UQ32" s="182"/>
      <c r="UR32" s="182"/>
      <c r="US32" s="182"/>
      <c r="UT32" s="182"/>
      <c r="UU32" s="182"/>
      <c r="UV32" s="182"/>
      <c r="UW32" s="182"/>
      <c r="UX32" s="182"/>
      <c r="UY32" s="182"/>
      <c r="UZ32" s="182"/>
      <c r="VA32" s="182"/>
      <c r="VB32" s="182"/>
      <c r="VC32" s="182"/>
      <c r="VD32" s="182"/>
      <c r="VE32" s="182"/>
      <c r="VF32" s="182"/>
      <c r="VG32" s="182"/>
      <c r="VH32" s="182"/>
      <c r="VI32" s="182"/>
      <c r="VJ32" s="182"/>
      <c r="VK32" s="182"/>
      <c r="VL32" s="182"/>
      <c r="VM32" s="182"/>
      <c r="VN32" s="182"/>
      <c r="VO32" s="182"/>
      <c r="VP32" s="182"/>
      <c r="VQ32" s="182"/>
      <c r="VR32" s="182"/>
      <c r="VS32" s="182"/>
      <c r="VT32" s="182"/>
      <c r="VU32" s="182"/>
      <c r="VV32" s="182"/>
      <c r="VW32" s="182"/>
      <c r="VX32" s="182"/>
      <c r="VY32" s="182"/>
      <c r="VZ32" s="182"/>
      <c r="WA32" s="182"/>
      <c r="WB32" s="182"/>
      <c r="WC32" s="182"/>
      <c r="WD32" s="182"/>
      <c r="WE32" s="182"/>
      <c r="WF32" s="182"/>
      <c r="WG32" s="182"/>
      <c r="WH32" s="182"/>
      <c r="WI32" s="182"/>
      <c r="WJ32" s="182"/>
      <c r="WK32" s="182"/>
      <c r="WL32" s="182"/>
      <c r="WM32" s="182"/>
      <c r="WN32" s="182"/>
      <c r="WO32" s="182"/>
      <c r="WP32" s="182"/>
      <c r="WQ32" s="182"/>
      <c r="WR32" s="182"/>
      <c r="WS32" s="182"/>
      <c r="WT32" s="182"/>
      <c r="WU32" s="182"/>
      <c r="WV32" s="182"/>
      <c r="WW32" s="182"/>
      <c r="WX32" s="182"/>
      <c r="WY32" s="182"/>
      <c r="WZ32" s="182"/>
      <c r="XA32" s="182"/>
      <c r="XB32" s="182"/>
      <c r="XC32" s="182"/>
      <c r="XD32" s="182"/>
      <c r="XE32" s="182"/>
      <c r="XF32" s="182"/>
      <c r="XG32" s="182"/>
      <c r="XH32" s="182"/>
      <c r="XI32" s="182"/>
      <c r="XJ32" s="182"/>
      <c r="XK32" s="182"/>
      <c r="XL32" s="182"/>
      <c r="XM32" s="182"/>
      <c r="XN32" s="182"/>
      <c r="XO32" s="182"/>
      <c r="XP32" s="182"/>
      <c r="XQ32" s="182"/>
      <c r="XR32" s="182"/>
      <c r="XS32" s="182"/>
      <c r="XT32" s="182"/>
      <c r="XU32" s="182"/>
      <c r="XV32" s="182"/>
      <c r="XW32" s="182"/>
      <c r="XX32" s="182"/>
      <c r="XY32" s="182"/>
      <c r="XZ32" s="182"/>
      <c r="YA32" s="182"/>
      <c r="YB32" s="182"/>
      <c r="YC32" s="182"/>
      <c r="YD32" s="182"/>
      <c r="YE32" s="182"/>
      <c r="YF32" s="182"/>
      <c r="YG32" s="182"/>
      <c r="YH32" s="182"/>
      <c r="YI32" s="182"/>
      <c r="YJ32" s="182"/>
      <c r="YK32" s="182"/>
      <c r="YL32" s="182"/>
      <c r="YM32" s="182"/>
      <c r="YN32" s="182"/>
      <c r="YO32" s="182"/>
      <c r="YP32" s="182"/>
      <c r="YQ32" s="182"/>
      <c r="YR32" s="182"/>
      <c r="YS32" s="182"/>
      <c r="YT32" s="182"/>
      <c r="YU32" s="182"/>
      <c r="YV32" s="182"/>
      <c r="YW32" s="182"/>
      <c r="YX32" s="182"/>
      <c r="YY32" s="182"/>
      <c r="YZ32" s="182"/>
      <c r="ZA32" s="182"/>
      <c r="ZB32" s="182"/>
      <c r="ZC32" s="182"/>
      <c r="ZD32" s="182"/>
      <c r="ZE32" s="182"/>
      <c r="ZF32" s="182"/>
      <c r="ZG32" s="182"/>
      <c r="ZH32" s="182"/>
      <c r="ZI32" s="182"/>
      <c r="ZJ32" s="182"/>
      <c r="ZK32" s="182"/>
      <c r="ZL32" s="182"/>
      <c r="ZM32" s="182"/>
      <c r="ZN32" s="182"/>
      <c r="ZO32" s="182"/>
      <c r="ZP32" s="182"/>
      <c r="ZQ32" s="182"/>
      <c r="ZR32" s="182"/>
      <c r="ZS32" s="182"/>
      <c r="ZT32" s="182"/>
      <c r="ZU32" s="182"/>
      <c r="ZV32" s="182"/>
      <c r="ZW32" s="182"/>
      <c r="ZX32" s="182"/>
      <c r="ZY32" s="182"/>
      <c r="ZZ32" s="182"/>
      <c r="AAA32" s="182"/>
      <c r="AAB32" s="182"/>
      <c r="AAC32" s="182"/>
      <c r="AAD32" s="182"/>
      <c r="AAE32" s="182"/>
      <c r="AAF32" s="182"/>
      <c r="AAG32" s="182"/>
      <c r="AAH32" s="182"/>
      <c r="AAI32" s="182"/>
      <c r="AAJ32" s="182"/>
      <c r="AAK32" s="182"/>
      <c r="AAL32" s="182"/>
      <c r="AAM32" s="182"/>
      <c r="AAN32" s="182"/>
      <c r="AAO32" s="182"/>
      <c r="AAP32" s="182"/>
      <c r="AAQ32" s="182"/>
      <c r="AAR32" s="182"/>
      <c r="AAS32" s="182"/>
      <c r="AAT32" s="182"/>
      <c r="AAU32" s="182"/>
      <c r="AAV32" s="182"/>
      <c r="AAW32" s="182"/>
      <c r="AAX32" s="182"/>
      <c r="AAY32" s="182"/>
      <c r="AAZ32" s="182"/>
      <c r="ABA32" s="182"/>
      <c r="ABB32" s="182"/>
      <c r="ABC32" s="182"/>
      <c r="ABD32" s="182"/>
      <c r="ABE32" s="182"/>
      <c r="ABF32" s="182"/>
      <c r="ABG32" s="182"/>
      <c r="ABH32" s="182"/>
      <c r="ABI32" s="182"/>
      <c r="ABJ32" s="182"/>
      <c r="ABK32" s="182"/>
      <c r="ABL32" s="182"/>
      <c r="ABM32" s="182"/>
      <c r="ABN32" s="182"/>
      <c r="ABO32" s="182"/>
      <c r="ABP32" s="182"/>
      <c r="ABQ32" s="182"/>
      <c r="ABR32" s="182"/>
      <c r="ABS32" s="182"/>
      <c r="ABT32" s="182"/>
      <c r="ABU32" s="182"/>
      <c r="ABV32" s="182"/>
      <c r="ABW32" s="182"/>
      <c r="ABX32" s="182"/>
      <c r="ABY32" s="182"/>
      <c r="ABZ32" s="182"/>
      <c r="ACA32" s="182"/>
      <c r="ACB32" s="182"/>
      <c r="ACC32" s="182"/>
      <c r="ACD32" s="182"/>
      <c r="ACE32" s="182"/>
      <c r="ACF32" s="182"/>
      <c r="ACG32" s="182"/>
      <c r="ACH32" s="182"/>
      <c r="ACI32" s="182"/>
      <c r="ACJ32" s="182"/>
      <c r="ACK32" s="182"/>
      <c r="ACL32" s="182"/>
      <c r="ACM32" s="182"/>
      <c r="ACN32" s="182"/>
      <c r="ACO32" s="182"/>
      <c r="ACP32" s="182"/>
      <c r="ACQ32" s="182"/>
      <c r="ACR32" s="182"/>
      <c r="ACS32" s="182"/>
      <c r="ACT32" s="182"/>
      <c r="ACU32" s="182"/>
      <c r="ACV32" s="182"/>
      <c r="ACW32" s="182"/>
      <c r="ACX32" s="182"/>
      <c r="ACY32" s="182"/>
      <c r="ACZ32" s="182"/>
      <c r="ADA32" s="182"/>
      <c r="ADB32" s="182"/>
      <c r="ADC32" s="182"/>
      <c r="ADD32" s="182"/>
      <c r="ADE32" s="182"/>
      <c r="ADF32" s="182"/>
      <c r="ADG32" s="182"/>
      <c r="ADH32" s="182"/>
      <c r="ADI32" s="182"/>
      <c r="ADJ32" s="182"/>
      <c r="ADK32" s="182"/>
      <c r="ADL32" s="182"/>
      <c r="ADM32" s="182"/>
      <c r="ADN32" s="182"/>
      <c r="ADO32" s="182"/>
      <c r="ADP32" s="182"/>
      <c r="ADQ32" s="182"/>
      <c r="ADR32" s="182"/>
      <c r="ADS32" s="182"/>
      <c r="ADT32" s="182"/>
      <c r="ADU32" s="182"/>
      <c r="ADV32" s="182"/>
      <c r="ADW32" s="182"/>
      <c r="ADX32" s="182"/>
      <c r="ADY32" s="182"/>
      <c r="ADZ32" s="182"/>
      <c r="AEA32" s="182"/>
      <c r="AEB32" s="182"/>
      <c r="AEC32" s="182"/>
      <c r="AED32" s="182"/>
      <c r="AEE32" s="182"/>
      <c r="AEF32" s="182"/>
      <c r="AEG32" s="182"/>
      <c r="AEH32" s="182"/>
      <c r="AEI32" s="182"/>
      <c r="AEJ32" s="182"/>
      <c r="AEK32" s="182"/>
      <c r="AEL32" s="182"/>
      <c r="AEM32" s="182"/>
      <c r="AEN32" s="182"/>
      <c r="AEO32" s="182"/>
      <c r="AEP32" s="182"/>
      <c r="AEQ32" s="182"/>
      <c r="AER32" s="182"/>
      <c r="AES32" s="182"/>
      <c r="AET32" s="182"/>
      <c r="AEU32" s="182"/>
      <c r="AEV32" s="182"/>
      <c r="AEW32" s="182"/>
      <c r="AEX32" s="182"/>
      <c r="AEY32" s="182"/>
      <c r="AEZ32" s="182"/>
      <c r="AFA32" s="182"/>
      <c r="AFB32" s="182"/>
      <c r="AFC32" s="182"/>
      <c r="AFD32" s="182"/>
      <c r="AFE32" s="182"/>
      <c r="AFF32" s="182"/>
      <c r="AFG32" s="182"/>
      <c r="AFH32" s="182"/>
      <c r="AFI32" s="182"/>
      <c r="AFJ32" s="182"/>
      <c r="AFK32" s="182"/>
      <c r="AFL32" s="182"/>
      <c r="AFM32" s="182"/>
      <c r="AFN32" s="182"/>
      <c r="AFO32" s="182"/>
      <c r="AFP32" s="182"/>
      <c r="AFQ32" s="182"/>
      <c r="AFR32" s="182"/>
      <c r="AFS32" s="182"/>
      <c r="AFT32" s="182"/>
      <c r="AFU32" s="182"/>
      <c r="AFV32" s="182"/>
      <c r="AFW32" s="182"/>
      <c r="AFX32" s="182"/>
      <c r="AFY32" s="182"/>
      <c r="AFZ32" s="182"/>
      <c r="AGA32" s="182"/>
      <c r="AGB32" s="182"/>
      <c r="AGC32" s="182"/>
      <c r="AGD32" s="182"/>
      <c r="AGE32" s="182"/>
      <c r="AGF32" s="182"/>
      <c r="AGG32" s="182"/>
      <c r="AGH32" s="182"/>
      <c r="AGI32" s="182"/>
      <c r="AGJ32" s="182"/>
      <c r="AGK32" s="182"/>
      <c r="AGL32" s="182"/>
      <c r="AGM32" s="182"/>
      <c r="AGN32" s="182"/>
      <c r="AGO32" s="182"/>
      <c r="AGP32" s="182"/>
      <c r="AGQ32" s="182"/>
      <c r="AGR32" s="182"/>
      <c r="AGS32" s="182"/>
      <c r="AGT32" s="182"/>
      <c r="AGU32" s="182"/>
      <c r="AGV32" s="182"/>
      <c r="AGW32" s="182"/>
      <c r="AGX32" s="182"/>
      <c r="AGY32" s="182"/>
      <c r="AGZ32" s="182"/>
      <c r="AHA32" s="182"/>
      <c r="AHB32" s="182"/>
      <c r="AHC32" s="182"/>
      <c r="AHD32" s="182"/>
      <c r="AHE32" s="182"/>
      <c r="AHF32" s="182"/>
      <c r="AHG32" s="182"/>
      <c r="AHH32" s="182"/>
      <c r="AHI32" s="182"/>
      <c r="AHJ32" s="182"/>
      <c r="AHK32" s="182"/>
      <c r="AHL32" s="182"/>
      <c r="AHM32" s="182"/>
      <c r="AHN32" s="182"/>
      <c r="AHO32" s="182"/>
      <c r="AHP32" s="182"/>
      <c r="AHQ32" s="182"/>
      <c r="AHR32" s="182"/>
      <c r="AHS32" s="182"/>
      <c r="AHT32" s="182"/>
      <c r="AHU32" s="182"/>
      <c r="AHV32" s="182"/>
      <c r="AHW32" s="182"/>
      <c r="AHX32" s="182"/>
      <c r="AHY32" s="182"/>
      <c r="AHZ32" s="182"/>
      <c r="AIA32" s="182"/>
      <c r="AIB32" s="182"/>
      <c r="AIC32" s="182"/>
      <c r="AID32" s="182"/>
      <c r="AIE32" s="182"/>
      <c r="AIF32" s="182"/>
      <c r="AIG32" s="182"/>
      <c r="AIH32" s="182"/>
      <c r="AII32" s="182"/>
      <c r="AIJ32" s="182"/>
      <c r="AIK32" s="182"/>
      <c r="AIL32" s="182"/>
      <c r="AIM32" s="182"/>
      <c r="AIN32" s="182"/>
      <c r="AIO32" s="182"/>
      <c r="AIP32" s="182"/>
      <c r="AIQ32" s="182"/>
      <c r="AIR32" s="182"/>
      <c r="AIS32" s="182"/>
      <c r="AIT32" s="182"/>
      <c r="AIU32" s="182"/>
      <c r="AIV32" s="182"/>
      <c r="AIW32" s="182"/>
      <c r="AIX32" s="182"/>
      <c r="AIY32" s="182"/>
      <c r="AIZ32" s="182"/>
      <c r="AJA32" s="182"/>
      <c r="AJB32" s="182"/>
      <c r="AJC32" s="182"/>
      <c r="AJD32" s="182"/>
      <c r="AJE32" s="182"/>
      <c r="AJF32" s="182"/>
      <c r="AJG32" s="182"/>
      <c r="AJH32" s="182"/>
      <c r="AJI32" s="182"/>
      <c r="AJJ32" s="182"/>
      <c r="AJK32" s="182"/>
      <c r="AJL32" s="182"/>
      <c r="AJM32" s="182"/>
      <c r="AJN32" s="182"/>
      <c r="AJO32" s="182"/>
      <c r="AJP32" s="182"/>
      <c r="AJQ32" s="182"/>
      <c r="AJR32" s="182"/>
      <c r="AJS32" s="182"/>
      <c r="AJT32" s="182"/>
      <c r="AJU32" s="182"/>
      <c r="AJV32" s="182"/>
      <c r="AJW32" s="182"/>
      <c r="AJX32" s="182"/>
      <c r="AJY32" s="182"/>
      <c r="AJZ32" s="182"/>
      <c r="AKA32" s="182"/>
      <c r="AKB32" s="182"/>
      <c r="AKC32" s="182"/>
      <c r="AKD32" s="182"/>
      <c r="AKE32" s="182"/>
      <c r="AKF32" s="182"/>
      <c r="AKG32" s="182"/>
      <c r="AKH32" s="182"/>
      <c r="AKI32" s="182"/>
      <c r="AKJ32" s="182"/>
      <c r="AKK32" s="182"/>
      <c r="AKL32" s="182"/>
      <c r="AKM32" s="182"/>
      <c r="AKN32" s="182"/>
      <c r="AKO32" s="182"/>
      <c r="AKP32" s="182"/>
      <c r="AKQ32" s="182"/>
      <c r="AKR32" s="182"/>
      <c r="AKS32" s="182"/>
      <c r="AKT32" s="182"/>
      <c r="AKU32" s="182"/>
      <c r="AKV32" s="182"/>
      <c r="AKW32" s="182"/>
      <c r="AKX32" s="182"/>
      <c r="AKY32" s="182"/>
      <c r="AKZ32" s="182"/>
      <c r="ALA32" s="182"/>
      <c r="ALB32" s="182"/>
      <c r="ALC32" s="182"/>
      <c r="ALD32" s="182"/>
      <c r="ALE32" s="182"/>
      <c r="ALF32" s="182"/>
      <c r="ALG32" s="182"/>
      <c r="ALH32" s="182"/>
      <c r="ALI32" s="182"/>
      <c r="ALJ32" s="182"/>
      <c r="ALK32" s="182"/>
      <c r="ALL32" s="182"/>
      <c r="ALM32" s="182"/>
      <c r="ALN32" s="182"/>
      <c r="ALO32" s="182"/>
      <c r="ALP32" s="182"/>
      <c r="ALQ32" s="182"/>
      <c r="ALR32" s="182"/>
      <c r="ALS32" s="182"/>
      <c r="ALT32" s="182"/>
      <c r="ALU32" s="182"/>
      <c r="ALV32" s="182"/>
      <c r="ALW32" s="182"/>
      <c r="ALX32" s="182"/>
      <c r="ALY32" s="182"/>
      <c r="ALZ32" s="182"/>
      <c r="AMA32" s="182"/>
      <c r="AMB32" s="182"/>
      <c r="AMC32" s="182"/>
      <c r="AMD32" s="182"/>
      <c r="AME32" s="182"/>
      <c r="AMF32" s="182"/>
      <c r="AMG32" s="182"/>
      <c r="AMH32" s="182"/>
      <c r="AMI32" s="182"/>
      <c r="AMJ32" s="182"/>
      <c r="AMK32" s="182"/>
    </row>
    <row r="33" spans="1:1025" s="413" customFormat="1" ht="8.25" x14ac:dyDescent="0.15">
      <c r="A33" s="182"/>
      <c r="B33" s="154" t="s">
        <v>762</v>
      </c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447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2"/>
      <c r="BC33" s="182"/>
      <c r="BD33" s="182"/>
      <c r="BE33" s="182"/>
      <c r="BF33" s="182"/>
      <c r="BG33" s="182"/>
      <c r="BH33" s="182"/>
      <c r="BI33" s="182"/>
      <c r="BJ33" s="182"/>
      <c r="BK33" s="182"/>
      <c r="BL33" s="182"/>
      <c r="BM33" s="182"/>
      <c r="BN33" s="182"/>
      <c r="BO33" s="182"/>
      <c r="BP33" s="182"/>
      <c r="BQ33" s="182"/>
      <c r="BR33" s="182"/>
      <c r="BS33" s="182"/>
      <c r="BT33" s="182"/>
      <c r="BU33" s="182"/>
      <c r="BV33" s="182"/>
      <c r="BW33" s="182"/>
      <c r="BX33" s="182"/>
      <c r="BY33" s="182"/>
      <c r="BZ33" s="182"/>
      <c r="CA33" s="182"/>
      <c r="CB33" s="182"/>
      <c r="CC33" s="182"/>
      <c r="CD33" s="182"/>
      <c r="CE33" s="182"/>
      <c r="CF33" s="182"/>
      <c r="CG33" s="182"/>
      <c r="CH33" s="182"/>
      <c r="CI33" s="182"/>
      <c r="CJ33" s="182"/>
      <c r="CK33" s="182"/>
      <c r="CL33" s="182"/>
      <c r="CM33" s="182"/>
      <c r="CN33" s="182"/>
      <c r="CO33" s="182"/>
      <c r="CP33" s="182"/>
      <c r="CQ33" s="182"/>
      <c r="CR33" s="182"/>
      <c r="CS33" s="182"/>
      <c r="CT33" s="182"/>
      <c r="CU33" s="182"/>
      <c r="CV33" s="182"/>
      <c r="CW33" s="182"/>
      <c r="CX33" s="182"/>
      <c r="CY33" s="182"/>
      <c r="CZ33" s="182"/>
      <c r="DA33" s="182"/>
      <c r="DB33" s="182"/>
      <c r="DC33" s="182"/>
      <c r="DD33" s="182"/>
      <c r="DE33" s="182"/>
      <c r="DF33" s="182"/>
      <c r="DG33" s="182"/>
      <c r="DH33" s="182"/>
      <c r="DI33" s="182"/>
      <c r="DJ33" s="182"/>
      <c r="DK33" s="182"/>
      <c r="DL33" s="182"/>
      <c r="DM33" s="182"/>
      <c r="DN33" s="182"/>
      <c r="DO33" s="182"/>
      <c r="DP33" s="182"/>
      <c r="DQ33" s="182"/>
      <c r="DR33" s="182"/>
      <c r="DS33" s="182"/>
      <c r="DT33" s="182"/>
      <c r="DU33" s="182"/>
      <c r="DV33" s="182"/>
      <c r="DW33" s="182"/>
      <c r="DX33" s="182"/>
      <c r="DY33" s="182"/>
      <c r="DZ33" s="182"/>
      <c r="EA33" s="182"/>
      <c r="EB33" s="182"/>
      <c r="EC33" s="182"/>
      <c r="ED33" s="182"/>
      <c r="EE33" s="182"/>
      <c r="EF33" s="182"/>
      <c r="EG33" s="182"/>
      <c r="EH33" s="182"/>
      <c r="EI33" s="182"/>
      <c r="EJ33" s="182"/>
      <c r="EK33" s="182"/>
      <c r="EL33" s="182"/>
      <c r="EM33" s="182"/>
      <c r="EN33" s="182"/>
      <c r="EO33" s="182"/>
      <c r="EP33" s="182"/>
      <c r="EQ33" s="182"/>
      <c r="ER33" s="182"/>
      <c r="ES33" s="182"/>
      <c r="ET33" s="182"/>
      <c r="EU33" s="182"/>
      <c r="EV33" s="182"/>
      <c r="EW33" s="182"/>
      <c r="EX33" s="182"/>
      <c r="EY33" s="182"/>
      <c r="EZ33" s="182"/>
      <c r="FA33" s="182"/>
      <c r="FB33" s="182"/>
      <c r="FC33" s="182"/>
      <c r="FD33" s="182"/>
      <c r="FE33" s="182"/>
      <c r="FF33" s="182"/>
      <c r="FG33" s="182"/>
      <c r="FH33" s="182"/>
      <c r="FI33" s="182"/>
      <c r="FJ33" s="182"/>
      <c r="FK33" s="182"/>
      <c r="FL33" s="182"/>
      <c r="FM33" s="182"/>
      <c r="FN33" s="182"/>
      <c r="FO33" s="182"/>
      <c r="FP33" s="182"/>
      <c r="FQ33" s="182"/>
      <c r="FR33" s="182"/>
      <c r="FS33" s="182"/>
      <c r="FT33" s="182"/>
      <c r="FU33" s="182"/>
      <c r="FV33" s="182"/>
      <c r="FW33" s="182"/>
      <c r="FX33" s="182"/>
      <c r="FY33" s="182"/>
      <c r="FZ33" s="182"/>
      <c r="GA33" s="182"/>
      <c r="GB33" s="182"/>
      <c r="GC33" s="182"/>
      <c r="GD33" s="182"/>
      <c r="GE33" s="182"/>
      <c r="GF33" s="182"/>
      <c r="GG33" s="182"/>
      <c r="GH33" s="182"/>
      <c r="GI33" s="182"/>
      <c r="GJ33" s="182"/>
      <c r="GK33" s="182"/>
      <c r="GL33" s="182"/>
      <c r="GM33" s="182"/>
      <c r="GN33" s="182"/>
      <c r="GO33" s="182"/>
      <c r="GP33" s="182"/>
      <c r="GQ33" s="182"/>
      <c r="GR33" s="182"/>
      <c r="GS33" s="182"/>
      <c r="GT33" s="182"/>
      <c r="GU33" s="182"/>
      <c r="GV33" s="182"/>
      <c r="GW33" s="182"/>
      <c r="GX33" s="182"/>
      <c r="GY33" s="182"/>
      <c r="GZ33" s="182"/>
      <c r="HA33" s="182"/>
      <c r="HB33" s="182"/>
      <c r="HC33" s="182"/>
      <c r="HD33" s="182"/>
      <c r="HE33" s="182"/>
      <c r="HF33" s="182"/>
      <c r="HG33" s="182"/>
      <c r="HH33" s="182"/>
      <c r="HI33" s="182"/>
      <c r="HJ33" s="182"/>
      <c r="HK33" s="182"/>
      <c r="HL33" s="182"/>
      <c r="HM33" s="182"/>
      <c r="HN33" s="182"/>
      <c r="HO33" s="182"/>
      <c r="HP33" s="182"/>
      <c r="HQ33" s="182"/>
      <c r="HR33" s="182"/>
      <c r="HS33" s="182"/>
      <c r="HT33" s="182"/>
      <c r="HU33" s="182"/>
      <c r="HV33" s="182"/>
      <c r="HW33" s="182"/>
      <c r="HX33" s="182"/>
      <c r="HY33" s="182"/>
      <c r="HZ33" s="182"/>
      <c r="IA33" s="182"/>
      <c r="IB33" s="182"/>
      <c r="IC33" s="182"/>
      <c r="ID33" s="182"/>
      <c r="IE33" s="182"/>
      <c r="IF33" s="182"/>
      <c r="IG33" s="182"/>
      <c r="IH33" s="182"/>
      <c r="II33" s="182"/>
      <c r="IJ33" s="182"/>
      <c r="IK33" s="182"/>
      <c r="IL33" s="182"/>
      <c r="IM33" s="182"/>
      <c r="IN33" s="182"/>
      <c r="IO33" s="182"/>
      <c r="IP33" s="182"/>
      <c r="IQ33" s="182"/>
      <c r="IR33" s="182"/>
      <c r="IS33" s="182"/>
      <c r="IT33" s="182"/>
      <c r="IU33" s="182"/>
      <c r="IV33" s="182"/>
      <c r="IW33" s="182"/>
      <c r="IX33" s="182"/>
      <c r="IY33" s="182"/>
      <c r="IZ33" s="182"/>
      <c r="JA33" s="182"/>
      <c r="JB33" s="182"/>
      <c r="JC33" s="182"/>
      <c r="JD33" s="182"/>
      <c r="JE33" s="182"/>
      <c r="JF33" s="182"/>
      <c r="JG33" s="182"/>
      <c r="JH33" s="182"/>
      <c r="JI33" s="182"/>
      <c r="JJ33" s="182"/>
      <c r="JK33" s="182"/>
      <c r="JL33" s="182"/>
      <c r="JM33" s="182"/>
      <c r="JN33" s="182"/>
      <c r="JO33" s="182"/>
      <c r="JP33" s="182"/>
      <c r="JQ33" s="182"/>
      <c r="JR33" s="182"/>
      <c r="JS33" s="182"/>
      <c r="JT33" s="182"/>
      <c r="JU33" s="182"/>
      <c r="JV33" s="182"/>
      <c r="JW33" s="182"/>
      <c r="JX33" s="182"/>
      <c r="JY33" s="182"/>
      <c r="JZ33" s="182"/>
      <c r="KA33" s="182"/>
      <c r="KB33" s="182"/>
      <c r="KC33" s="182"/>
      <c r="KD33" s="182"/>
      <c r="KE33" s="182"/>
      <c r="KF33" s="182"/>
      <c r="KG33" s="182"/>
      <c r="KH33" s="182"/>
      <c r="KI33" s="182"/>
      <c r="KJ33" s="182"/>
      <c r="KK33" s="182"/>
      <c r="KL33" s="182"/>
      <c r="KM33" s="182"/>
      <c r="KN33" s="182"/>
      <c r="KO33" s="182"/>
      <c r="KP33" s="182"/>
      <c r="KQ33" s="182"/>
      <c r="KR33" s="182"/>
      <c r="KS33" s="182"/>
      <c r="KT33" s="182"/>
      <c r="KU33" s="182"/>
      <c r="KV33" s="182"/>
      <c r="KW33" s="182"/>
      <c r="KX33" s="182"/>
      <c r="KY33" s="182"/>
      <c r="KZ33" s="182"/>
      <c r="LA33" s="182"/>
      <c r="LB33" s="182"/>
      <c r="LC33" s="182"/>
      <c r="LD33" s="182"/>
      <c r="LE33" s="182"/>
      <c r="LF33" s="182"/>
      <c r="LG33" s="182"/>
      <c r="LH33" s="182"/>
      <c r="LI33" s="182"/>
      <c r="LJ33" s="182"/>
      <c r="LK33" s="182"/>
      <c r="LL33" s="182"/>
      <c r="LM33" s="182"/>
      <c r="LN33" s="182"/>
      <c r="LO33" s="182"/>
      <c r="LP33" s="182"/>
      <c r="LQ33" s="182"/>
      <c r="LR33" s="182"/>
      <c r="LS33" s="182"/>
      <c r="LT33" s="182"/>
      <c r="LU33" s="182"/>
      <c r="LV33" s="182"/>
      <c r="LW33" s="182"/>
      <c r="LX33" s="182"/>
      <c r="LY33" s="182"/>
      <c r="LZ33" s="182"/>
      <c r="MA33" s="182"/>
      <c r="MB33" s="182"/>
      <c r="MC33" s="182"/>
      <c r="MD33" s="182"/>
      <c r="ME33" s="182"/>
      <c r="MF33" s="182"/>
      <c r="MG33" s="182"/>
      <c r="MH33" s="182"/>
      <c r="MI33" s="182"/>
      <c r="MJ33" s="182"/>
      <c r="MK33" s="182"/>
      <c r="ML33" s="182"/>
      <c r="MM33" s="182"/>
      <c r="MN33" s="182"/>
      <c r="MO33" s="182"/>
      <c r="MP33" s="182"/>
      <c r="MQ33" s="182"/>
      <c r="MR33" s="182"/>
      <c r="MS33" s="182"/>
      <c r="MT33" s="182"/>
      <c r="MU33" s="182"/>
      <c r="MV33" s="182"/>
      <c r="MW33" s="182"/>
      <c r="MX33" s="182"/>
      <c r="MY33" s="182"/>
      <c r="MZ33" s="182"/>
      <c r="NA33" s="182"/>
      <c r="NB33" s="182"/>
      <c r="NC33" s="182"/>
      <c r="ND33" s="182"/>
      <c r="NE33" s="182"/>
      <c r="NF33" s="182"/>
      <c r="NG33" s="182"/>
      <c r="NH33" s="182"/>
      <c r="NI33" s="182"/>
      <c r="NJ33" s="182"/>
      <c r="NK33" s="182"/>
      <c r="NL33" s="182"/>
      <c r="NM33" s="182"/>
      <c r="NN33" s="182"/>
      <c r="NO33" s="182"/>
      <c r="NP33" s="182"/>
      <c r="NQ33" s="182"/>
      <c r="NR33" s="182"/>
      <c r="NS33" s="182"/>
      <c r="NT33" s="182"/>
      <c r="NU33" s="182"/>
      <c r="NV33" s="182"/>
      <c r="NW33" s="182"/>
      <c r="NX33" s="182"/>
      <c r="NY33" s="182"/>
      <c r="NZ33" s="182"/>
      <c r="OA33" s="182"/>
      <c r="OB33" s="182"/>
      <c r="OC33" s="182"/>
      <c r="OD33" s="182"/>
      <c r="OE33" s="182"/>
      <c r="OF33" s="182"/>
      <c r="OG33" s="182"/>
      <c r="OH33" s="182"/>
      <c r="OI33" s="182"/>
      <c r="OJ33" s="182"/>
      <c r="OK33" s="182"/>
      <c r="OL33" s="182"/>
      <c r="OM33" s="182"/>
      <c r="ON33" s="182"/>
      <c r="OO33" s="182"/>
      <c r="OP33" s="182"/>
      <c r="OQ33" s="182"/>
      <c r="OR33" s="182"/>
      <c r="OS33" s="182"/>
      <c r="OT33" s="182"/>
      <c r="OU33" s="182"/>
      <c r="OV33" s="182"/>
      <c r="OW33" s="182"/>
      <c r="OX33" s="182"/>
      <c r="OY33" s="182"/>
      <c r="OZ33" s="182"/>
      <c r="PA33" s="182"/>
      <c r="PB33" s="182"/>
      <c r="PC33" s="182"/>
      <c r="PD33" s="182"/>
      <c r="PE33" s="182"/>
      <c r="PF33" s="182"/>
      <c r="PG33" s="182"/>
      <c r="PH33" s="182"/>
      <c r="PI33" s="182"/>
      <c r="PJ33" s="182"/>
      <c r="PK33" s="182"/>
      <c r="PL33" s="182"/>
      <c r="PM33" s="182"/>
      <c r="PN33" s="182"/>
      <c r="PO33" s="182"/>
      <c r="PP33" s="182"/>
      <c r="PQ33" s="182"/>
      <c r="PR33" s="182"/>
      <c r="PS33" s="182"/>
      <c r="PT33" s="182"/>
      <c r="PU33" s="182"/>
      <c r="PV33" s="182"/>
      <c r="PW33" s="182"/>
      <c r="PX33" s="182"/>
      <c r="PY33" s="182"/>
      <c r="PZ33" s="182"/>
      <c r="QA33" s="182"/>
      <c r="QB33" s="182"/>
      <c r="QC33" s="182"/>
      <c r="QD33" s="182"/>
      <c r="QE33" s="182"/>
      <c r="QF33" s="182"/>
      <c r="QG33" s="182"/>
      <c r="QH33" s="182"/>
      <c r="QI33" s="182"/>
      <c r="QJ33" s="182"/>
      <c r="QK33" s="182"/>
      <c r="QL33" s="182"/>
      <c r="QM33" s="182"/>
      <c r="QN33" s="182"/>
      <c r="QO33" s="182"/>
      <c r="QP33" s="182"/>
      <c r="QQ33" s="182"/>
      <c r="QR33" s="182"/>
      <c r="QS33" s="182"/>
      <c r="QT33" s="182"/>
      <c r="QU33" s="182"/>
      <c r="QV33" s="182"/>
      <c r="QW33" s="182"/>
      <c r="QX33" s="182"/>
      <c r="QY33" s="182"/>
      <c r="QZ33" s="182"/>
      <c r="RA33" s="182"/>
      <c r="RB33" s="182"/>
      <c r="RC33" s="182"/>
      <c r="RD33" s="182"/>
      <c r="RE33" s="182"/>
      <c r="RF33" s="182"/>
      <c r="RG33" s="182"/>
      <c r="RH33" s="182"/>
      <c r="RI33" s="182"/>
      <c r="RJ33" s="182"/>
      <c r="RK33" s="182"/>
      <c r="RL33" s="182"/>
      <c r="RM33" s="182"/>
      <c r="RN33" s="182"/>
      <c r="RO33" s="182"/>
      <c r="RP33" s="182"/>
      <c r="RQ33" s="182"/>
      <c r="RR33" s="182"/>
      <c r="RS33" s="182"/>
      <c r="RT33" s="182"/>
      <c r="RU33" s="182"/>
      <c r="RV33" s="182"/>
      <c r="RW33" s="182"/>
      <c r="RX33" s="182"/>
      <c r="RY33" s="182"/>
      <c r="RZ33" s="182"/>
      <c r="SA33" s="182"/>
      <c r="SB33" s="182"/>
      <c r="SC33" s="182"/>
      <c r="SD33" s="182"/>
      <c r="SE33" s="182"/>
      <c r="SF33" s="182"/>
      <c r="SG33" s="182"/>
      <c r="SH33" s="182"/>
      <c r="SI33" s="182"/>
      <c r="SJ33" s="182"/>
      <c r="SK33" s="182"/>
      <c r="SL33" s="182"/>
      <c r="SM33" s="182"/>
      <c r="SN33" s="182"/>
      <c r="SO33" s="182"/>
      <c r="SP33" s="182"/>
      <c r="SQ33" s="182"/>
      <c r="SR33" s="182"/>
      <c r="SS33" s="182"/>
      <c r="ST33" s="182"/>
      <c r="SU33" s="182"/>
      <c r="SV33" s="182"/>
      <c r="SW33" s="182"/>
      <c r="SX33" s="182"/>
      <c r="SY33" s="182"/>
      <c r="SZ33" s="182"/>
      <c r="TA33" s="182"/>
      <c r="TB33" s="182"/>
      <c r="TC33" s="182"/>
      <c r="TD33" s="182"/>
      <c r="TE33" s="182"/>
      <c r="TF33" s="182"/>
      <c r="TG33" s="182"/>
      <c r="TH33" s="182"/>
      <c r="TI33" s="182"/>
      <c r="TJ33" s="182"/>
      <c r="TK33" s="182"/>
      <c r="TL33" s="182"/>
      <c r="TM33" s="182"/>
      <c r="TN33" s="182"/>
      <c r="TO33" s="182"/>
      <c r="TP33" s="182"/>
      <c r="TQ33" s="182"/>
      <c r="TR33" s="182"/>
      <c r="TS33" s="182"/>
      <c r="TT33" s="182"/>
      <c r="TU33" s="182"/>
      <c r="TV33" s="182"/>
      <c r="TW33" s="182"/>
      <c r="TX33" s="182"/>
      <c r="TY33" s="182"/>
      <c r="TZ33" s="182"/>
      <c r="UA33" s="182"/>
      <c r="UB33" s="182"/>
      <c r="UC33" s="182"/>
      <c r="UD33" s="182"/>
      <c r="UE33" s="182"/>
      <c r="UF33" s="182"/>
      <c r="UG33" s="182"/>
      <c r="UH33" s="182"/>
      <c r="UI33" s="182"/>
      <c r="UJ33" s="182"/>
      <c r="UK33" s="182"/>
      <c r="UL33" s="182"/>
      <c r="UM33" s="182"/>
      <c r="UN33" s="182"/>
      <c r="UO33" s="182"/>
      <c r="UP33" s="182"/>
      <c r="UQ33" s="182"/>
      <c r="UR33" s="182"/>
      <c r="US33" s="182"/>
      <c r="UT33" s="182"/>
      <c r="UU33" s="182"/>
      <c r="UV33" s="182"/>
      <c r="UW33" s="182"/>
      <c r="UX33" s="182"/>
      <c r="UY33" s="182"/>
      <c r="UZ33" s="182"/>
      <c r="VA33" s="182"/>
      <c r="VB33" s="182"/>
      <c r="VC33" s="182"/>
      <c r="VD33" s="182"/>
      <c r="VE33" s="182"/>
      <c r="VF33" s="182"/>
      <c r="VG33" s="182"/>
      <c r="VH33" s="182"/>
      <c r="VI33" s="182"/>
      <c r="VJ33" s="182"/>
      <c r="VK33" s="182"/>
      <c r="VL33" s="182"/>
      <c r="VM33" s="182"/>
      <c r="VN33" s="182"/>
      <c r="VO33" s="182"/>
      <c r="VP33" s="182"/>
      <c r="VQ33" s="182"/>
      <c r="VR33" s="182"/>
      <c r="VS33" s="182"/>
      <c r="VT33" s="182"/>
      <c r="VU33" s="182"/>
      <c r="VV33" s="182"/>
      <c r="VW33" s="182"/>
      <c r="VX33" s="182"/>
      <c r="VY33" s="182"/>
      <c r="VZ33" s="182"/>
      <c r="WA33" s="182"/>
      <c r="WB33" s="182"/>
      <c r="WC33" s="182"/>
      <c r="WD33" s="182"/>
      <c r="WE33" s="182"/>
      <c r="WF33" s="182"/>
      <c r="WG33" s="182"/>
      <c r="WH33" s="182"/>
      <c r="WI33" s="182"/>
      <c r="WJ33" s="182"/>
      <c r="WK33" s="182"/>
      <c r="WL33" s="182"/>
      <c r="WM33" s="182"/>
      <c r="WN33" s="182"/>
      <c r="WO33" s="182"/>
      <c r="WP33" s="182"/>
      <c r="WQ33" s="182"/>
      <c r="WR33" s="182"/>
      <c r="WS33" s="182"/>
      <c r="WT33" s="182"/>
      <c r="WU33" s="182"/>
      <c r="WV33" s="182"/>
      <c r="WW33" s="182"/>
      <c r="WX33" s="182"/>
      <c r="WY33" s="182"/>
      <c r="WZ33" s="182"/>
      <c r="XA33" s="182"/>
      <c r="XB33" s="182"/>
      <c r="XC33" s="182"/>
      <c r="XD33" s="182"/>
      <c r="XE33" s="182"/>
      <c r="XF33" s="182"/>
      <c r="XG33" s="182"/>
      <c r="XH33" s="182"/>
      <c r="XI33" s="182"/>
      <c r="XJ33" s="182"/>
      <c r="XK33" s="182"/>
      <c r="XL33" s="182"/>
      <c r="XM33" s="182"/>
      <c r="XN33" s="182"/>
      <c r="XO33" s="182"/>
      <c r="XP33" s="182"/>
      <c r="XQ33" s="182"/>
      <c r="XR33" s="182"/>
      <c r="XS33" s="182"/>
      <c r="XT33" s="182"/>
      <c r="XU33" s="182"/>
      <c r="XV33" s="182"/>
      <c r="XW33" s="182"/>
      <c r="XX33" s="182"/>
      <c r="XY33" s="182"/>
      <c r="XZ33" s="182"/>
      <c r="YA33" s="182"/>
      <c r="YB33" s="182"/>
      <c r="YC33" s="182"/>
      <c r="YD33" s="182"/>
      <c r="YE33" s="182"/>
      <c r="YF33" s="182"/>
      <c r="YG33" s="182"/>
      <c r="YH33" s="182"/>
      <c r="YI33" s="182"/>
      <c r="YJ33" s="182"/>
      <c r="YK33" s="182"/>
      <c r="YL33" s="182"/>
      <c r="YM33" s="182"/>
      <c r="YN33" s="182"/>
      <c r="YO33" s="182"/>
      <c r="YP33" s="182"/>
      <c r="YQ33" s="182"/>
      <c r="YR33" s="182"/>
      <c r="YS33" s="182"/>
      <c r="YT33" s="182"/>
      <c r="YU33" s="182"/>
      <c r="YV33" s="182"/>
      <c r="YW33" s="182"/>
      <c r="YX33" s="182"/>
      <c r="YY33" s="182"/>
      <c r="YZ33" s="182"/>
      <c r="ZA33" s="182"/>
      <c r="ZB33" s="182"/>
      <c r="ZC33" s="182"/>
      <c r="ZD33" s="182"/>
      <c r="ZE33" s="182"/>
      <c r="ZF33" s="182"/>
      <c r="ZG33" s="182"/>
      <c r="ZH33" s="182"/>
      <c r="ZI33" s="182"/>
      <c r="ZJ33" s="182"/>
      <c r="ZK33" s="182"/>
      <c r="ZL33" s="182"/>
      <c r="ZM33" s="182"/>
      <c r="ZN33" s="182"/>
      <c r="ZO33" s="182"/>
      <c r="ZP33" s="182"/>
      <c r="ZQ33" s="182"/>
      <c r="ZR33" s="182"/>
      <c r="ZS33" s="182"/>
      <c r="ZT33" s="182"/>
      <c r="ZU33" s="182"/>
      <c r="ZV33" s="182"/>
      <c r="ZW33" s="182"/>
      <c r="ZX33" s="182"/>
      <c r="ZY33" s="182"/>
      <c r="ZZ33" s="182"/>
      <c r="AAA33" s="182"/>
      <c r="AAB33" s="182"/>
      <c r="AAC33" s="182"/>
      <c r="AAD33" s="182"/>
      <c r="AAE33" s="182"/>
      <c r="AAF33" s="182"/>
      <c r="AAG33" s="182"/>
      <c r="AAH33" s="182"/>
      <c r="AAI33" s="182"/>
      <c r="AAJ33" s="182"/>
      <c r="AAK33" s="182"/>
      <c r="AAL33" s="182"/>
      <c r="AAM33" s="182"/>
      <c r="AAN33" s="182"/>
      <c r="AAO33" s="182"/>
      <c r="AAP33" s="182"/>
      <c r="AAQ33" s="182"/>
      <c r="AAR33" s="182"/>
      <c r="AAS33" s="182"/>
      <c r="AAT33" s="182"/>
      <c r="AAU33" s="182"/>
      <c r="AAV33" s="182"/>
      <c r="AAW33" s="182"/>
      <c r="AAX33" s="182"/>
      <c r="AAY33" s="182"/>
      <c r="AAZ33" s="182"/>
      <c r="ABA33" s="182"/>
      <c r="ABB33" s="182"/>
      <c r="ABC33" s="182"/>
      <c r="ABD33" s="182"/>
      <c r="ABE33" s="182"/>
      <c r="ABF33" s="182"/>
      <c r="ABG33" s="182"/>
      <c r="ABH33" s="182"/>
      <c r="ABI33" s="182"/>
      <c r="ABJ33" s="182"/>
      <c r="ABK33" s="182"/>
      <c r="ABL33" s="182"/>
      <c r="ABM33" s="182"/>
      <c r="ABN33" s="182"/>
      <c r="ABO33" s="182"/>
      <c r="ABP33" s="182"/>
      <c r="ABQ33" s="182"/>
      <c r="ABR33" s="182"/>
      <c r="ABS33" s="182"/>
      <c r="ABT33" s="182"/>
      <c r="ABU33" s="182"/>
      <c r="ABV33" s="182"/>
      <c r="ABW33" s="182"/>
      <c r="ABX33" s="182"/>
      <c r="ABY33" s="182"/>
      <c r="ABZ33" s="182"/>
      <c r="ACA33" s="182"/>
      <c r="ACB33" s="182"/>
      <c r="ACC33" s="182"/>
      <c r="ACD33" s="182"/>
      <c r="ACE33" s="182"/>
      <c r="ACF33" s="182"/>
      <c r="ACG33" s="182"/>
      <c r="ACH33" s="182"/>
      <c r="ACI33" s="182"/>
      <c r="ACJ33" s="182"/>
      <c r="ACK33" s="182"/>
      <c r="ACL33" s="182"/>
      <c r="ACM33" s="182"/>
      <c r="ACN33" s="182"/>
      <c r="ACO33" s="182"/>
      <c r="ACP33" s="182"/>
      <c r="ACQ33" s="182"/>
      <c r="ACR33" s="182"/>
      <c r="ACS33" s="182"/>
      <c r="ACT33" s="182"/>
      <c r="ACU33" s="182"/>
      <c r="ACV33" s="182"/>
      <c r="ACW33" s="182"/>
      <c r="ACX33" s="182"/>
      <c r="ACY33" s="182"/>
      <c r="ACZ33" s="182"/>
      <c r="ADA33" s="182"/>
      <c r="ADB33" s="182"/>
      <c r="ADC33" s="182"/>
      <c r="ADD33" s="182"/>
      <c r="ADE33" s="182"/>
      <c r="ADF33" s="182"/>
      <c r="ADG33" s="182"/>
      <c r="ADH33" s="182"/>
      <c r="ADI33" s="182"/>
      <c r="ADJ33" s="182"/>
      <c r="ADK33" s="182"/>
      <c r="ADL33" s="182"/>
      <c r="ADM33" s="182"/>
      <c r="ADN33" s="182"/>
      <c r="ADO33" s="182"/>
      <c r="ADP33" s="182"/>
      <c r="ADQ33" s="182"/>
      <c r="ADR33" s="182"/>
      <c r="ADS33" s="182"/>
      <c r="ADT33" s="182"/>
      <c r="ADU33" s="182"/>
      <c r="ADV33" s="182"/>
      <c r="ADW33" s="182"/>
      <c r="ADX33" s="182"/>
      <c r="ADY33" s="182"/>
      <c r="ADZ33" s="182"/>
      <c r="AEA33" s="182"/>
      <c r="AEB33" s="182"/>
      <c r="AEC33" s="182"/>
      <c r="AED33" s="182"/>
      <c r="AEE33" s="182"/>
      <c r="AEF33" s="182"/>
      <c r="AEG33" s="182"/>
      <c r="AEH33" s="182"/>
      <c r="AEI33" s="182"/>
      <c r="AEJ33" s="182"/>
      <c r="AEK33" s="182"/>
      <c r="AEL33" s="182"/>
      <c r="AEM33" s="182"/>
      <c r="AEN33" s="182"/>
      <c r="AEO33" s="182"/>
      <c r="AEP33" s="182"/>
      <c r="AEQ33" s="182"/>
      <c r="AER33" s="182"/>
      <c r="AES33" s="182"/>
      <c r="AET33" s="182"/>
      <c r="AEU33" s="182"/>
      <c r="AEV33" s="182"/>
      <c r="AEW33" s="182"/>
      <c r="AEX33" s="182"/>
      <c r="AEY33" s="182"/>
      <c r="AEZ33" s="182"/>
      <c r="AFA33" s="182"/>
      <c r="AFB33" s="182"/>
      <c r="AFC33" s="182"/>
      <c r="AFD33" s="182"/>
      <c r="AFE33" s="182"/>
      <c r="AFF33" s="182"/>
      <c r="AFG33" s="182"/>
      <c r="AFH33" s="182"/>
      <c r="AFI33" s="182"/>
      <c r="AFJ33" s="182"/>
      <c r="AFK33" s="182"/>
      <c r="AFL33" s="182"/>
      <c r="AFM33" s="182"/>
      <c r="AFN33" s="182"/>
      <c r="AFO33" s="182"/>
      <c r="AFP33" s="182"/>
      <c r="AFQ33" s="182"/>
      <c r="AFR33" s="182"/>
      <c r="AFS33" s="182"/>
      <c r="AFT33" s="182"/>
      <c r="AFU33" s="182"/>
      <c r="AFV33" s="182"/>
      <c r="AFW33" s="182"/>
      <c r="AFX33" s="182"/>
      <c r="AFY33" s="182"/>
      <c r="AFZ33" s="182"/>
      <c r="AGA33" s="182"/>
      <c r="AGB33" s="182"/>
      <c r="AGC33" s="182"/>
      <c r="AGD33" s="182"/>
      <c r="AGE33" s="182"/>
      <c r="AGF33" s="182"/>
      <c r="AGG33" s="182"/>
      <c r="AGH33" s="182"/>
      <c r="AGI33" s="182"/>
      <c r="AGJ33" s="182"/>
      <c r="AGK33" s="182"/>
      <c r="AGL33" s="182"/>
      <c r="AGM33" s="182"/>
      <c r="AGN33" s="182"/>
      <c r="AGO33" s="182"/>
      <c r="AGP33" s="182"/>
      <c r="AGQ33" s="182"/>
      <c r="AGR33" s="182"/>
      <c r="AGS33" s="182"/>
      <c r="AGT33" s="182"/>
      <c r="AGU33" s="182"/>
      <c r="AGV33" s="182"/>
      <c r="AGW33" s="182"/>
      <c r="AGX33" s="182"/>
      <c r="AGY33" s="182"/>
      <c r="AGZ33" s="182"/>
      <c r="AHA33" s="182"/>
      <c r="AHB33" s="182"/>
      <c r="AHC33" s="182"/>
      <c r="AHD33" s="182"/>
      <c r="AHE33" s="182"/>
      <c r="AHF33" s="182"/>
      <c r="AHG33" s="182"/>
      <c r="AHH33" s="182"/>
      <c r="AHI33" s="182"/>
      <c r="AHJ33" s="182"/>
      <c r="AHK33" s="182"/>
      <c r="AHL33" s="182"/>
      <c r="AHM33" s="182"/>
      <c r="AHN33" s="182"/>
      <c r="AHO33" s="182"/>
      <c r="AHP33" s="182"/>
      <c r="AHQ33" s="182"/>
      <c r="AHR33" s="182"/>
      <c r="AHS33" s="182"/>
      <c r="AHT33" s="182"/>
      <c r="AHU33" s="182"/>
      <c r="AHV33" s="182"/>
      <c r="AHW33" s="182"/>
      <c r="AHX33" s="182"/>
      <c r="AHY33" s="182"/>
      <c r="AHZ33" s="182"/>
      <c r="AIA33" s="182"/>
      <c r="AIB33" s="182"/>
      <c r="AIC33" s="182"/>
      <c r="AID33" s="182"/>
      <c r="AIE33" s="182"/>
      <c r="AIF33" s="182"/>
      <c r="AIG33" s="182"/>
      <c r="AIH33" s="182"/>
      <c r="AII33" s="182"/>
      <c r="AIJ33" s="182"/>
      <c r="AIK33" s="182"/>
      <c r="AIL33" s="182"/>
      <c r="AIM33" s="182"/>
      <c r="AIN33" s="182"/>
      <c r="AIO33" s="182"/>
      <c r="AIP33" s="182"/>
      <c r="AIQ33" s="182"/>
      <c r="AIR33" s="182"/>
      <c r="AIS33" s="182"/>
      <c r="AIT33" s="182"/>
      <c r="AIU33" s="182"/>
      <c r="AIV33" s="182"/>
      <c r="AIW33" s="182"/>
      <c r="AIX33" s="182"/>
      <c r="AIY33" s="182"/>
      <c r="AIZ33" s="182"/>
      <c r="AJA33" s="182"/>
      <c r="AJB33" s="182"/>
      <c r="AJC33" s="182"/>
      <c r="AJD33" s="182"/>
      <c r="AJE33" s="182"/>
      <c r="AJF33" s="182"/>
      <c r="AJG33" s="182"/>
      <c r="AJH33" s="182"/>
      <c r="AJI33" s="182"/>
      <c r="AJJ33" s="182"/>
      <c r="AJK33" s="182"/>
      <c r="AJL33" s="182"/>
      <c r="AJM33" s="182"/>
      <c r="AJN33" s="182"/>
      <c r="AJO33" s="182"/>
      <c r="AJP33" s="182"/>
      <c r="AJQ33" s="182"/>
      <c r="AJR33" s="182"/>
      <c r="AJS33" s="182"/>
      <c r="AJT33" s="182"/>
      <c r="AJU33" s="182"/>
      <c r="AJV33" s="182"/>
      <c r="AJW33" s="182"/>
      <c r="AJX33" s="182"/>
      <c r="AJY33" s="182"/>
      <c r="AJZ33" s="182"/>
      <c r="AKA33" s="182"/>
      <c r="AKB33" s="182"/>
      <c r="AKC33" s="182"/>
      <c r="AKD33" s="182"/>
      <c r="AKE33" s="182"/>
      <c r="AKF33" s="182"/>
      <c r="AKG33" s="182"/>
      <c r="AKH33" s="182"/>
      <c r="AKI33" s="182"/>
      <c r="AKJ33" s="182"/>
      <c r="AKK33" s="182"/>
      <c r="AKL33" s="182"/>
      <c r="AKM33" s="182"/>
      <c r="AKN33" s="182"/>
      <c r="AKO33" s="182"/>
      <c r="AKP33" s="182"/>
      <c r="AKQ33" s="182"/>
      <c r="AKR33" s="182"/>
      <c r="AKS33" s="182"/>
      <c r="AKT33" s="182"/>
      <c r="AKU33" s="182"/>
      <c r="AKV33" s="182"/>
      <c r="AKW33" s="182"/>
      <c r="AKX33" s="182"/>
      <c r="AKY33" s="182"/>
      <c r="AKZ33" s="182"/>
      <c r="ALA33" s="182"/>
      <c r="ALB33" s="182"/>
      <c r="ALC33" s="182"/>
      <c r="ALD33" s="182"/>
      <c r="ALE33" s="182"/>
      <c r="ALF33" s="182"/>
      <c r="ALG33" s="182"/>
      <c r="ALH33" s="182"/>
      <c r="ALI33" s="182"/>
      <c r="ALJ33" s="182"/>
      <c r="ALK33" s="182"/>
      <c r="ALL33" s="182"/>
      <c r="ALM33" s="182"/>
      <c r="ALN33" s="182"/>
      <c r="ALO33" s="182"/>
      <c r="ALP33" s="182"/>
      <c r="ALQ33" s="182"/>
      <c r="ALR33" s="182"/>
      <c r="ALS33" s="182"/>
      <c r="ALT33" s="182"/>
      <c r="ALU33" s="182"/>
      <c r="ALV33" s="182"/>
      <c r="ALW33" s="182"/>
      <c r="ALX33" s="182"/>
      <c r="ALY33" s="182"/>
      <c r="ALZ33" s="182"/>
      <c r="AMA33" s="182"/>
      <c r="AMB33" s="182"/>
      <c r="AMC33" s="182"/>
      <c r="AMD33" s="182"/>
      <c r="AME33" s="182"/>
      <c r="AMF33" s="182"/>
      <c r="AMG33" s="182"/>
      <c r="AMH33" s="182"/>
      <c r="AMI33" s="182"/>
      <c r="AMJ33" s="182"/>
      <c r="AMK33" s="182"/>
    </row>
    <row r="34" spans="1:1025" s="413" customFormat="1" ht="8.25" x14ac:dyDescent="0.15">
      <c r="A34" s="182"/>
      <c r="B34" s="446" t="s">
        <v>763</v>
      </c>
      <c r="C34" s="182" t="str">
        <f>IF(H34&gt;0,"Superávit Orçamentário Consolidado apurado do período","Déficit Orçamentário Consolidado apurado do período")</f>
        <v>Superávit Orçamentário Consolidado apurado do período</v>
      </c>
      <c r="D34" s="182"/>
      <c r="E34" s="182"/>
      <c r="F34" s="182"/>
      <c r="G34" s="182"/>
      <c r="H34" s="448">
        <f>H27-G27</f>
        <v>7516123.9099999964</v>
      </c>
      <c r="I34" s="411" t="s">
        <v>764</v>
      </c>
      <c r="J34" s="182"/>
      <c r="K34" s="182"/>
      <c r="L34" s="182"/>
      <c r="M34" s="447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82"/>
      <c r="BI34" s="182"/>
      <c r="BJ34" s="182"/>
      <c r="BK34" s="182"/>
      <c r="BL34" s="182"/>
      <c r="BM34" s="182"/>
      <c r="BN34" s="182"/>
      <c r="BO34" s="182"/>
      <c r="BP34" s="182"/>
      <c r="BQ34" s="182"/>
      <c r="BR34" s="182"/>
      <c r="BS34" s="182"/>
      <c r="BT34" s="182"/>
      <c r="BU34" s="182"/>
      <c r="BV34" s="182"/>
      <c r="BW34" s="182"/>
      <c r="BX34" s="182"/>
      <c r="BY34" s="182"/>
      <c r="BZ34" s="182"/>
      <c r="CA34" s="182"/>
      <c r="CB34" s="182"/>
      <c r="CC34" s="182"/>
      <c r="CD34" s="182"/>
      <c r="CE34" s="182"/>
      <c r="CF34" s="182"/>
      <c r="CG34" s="182"/>
      <c r="CH34" s="182"/>
      <c r="CI34" s="182"/>
      <c r="CJ34" s="182"/>
      <c r="CK34" s="182"/>
      <c r="CL34" s="182"/>
      <c r="CM34" s="182"/>
      <c r="CN34" s="182"/>
      <c r="CO34" s="182"/>
      <c r="CP34" s="182"/>
      <c r="CQ34" s="182"/>
      <c r="CR34" s="182"/>
      <c r="CS34" s="182"/>
      <c r="CT34" s="182"/>
      <c r="CU34" s="182"/>
      <c r="CV34" s="182"/>
      <c r="CW34" s="182"/>
      <c r="CX34" s="182"/>
      <c r="CY34" s="182"/>
      <c r="CZ34" s="182"/>
      <c r="DA34" s="182"/>
      <c r="DB34" s="182"/>
      <c r="DC34" s="182"/>
      <c r="DD34" s="182"/>
      <c r="DE34" s="182"/>
      <c r="DF34" s="182"/>
      <c r="DG34" s="182"/>
      <c r="DH34" s="182"/>
      <c r="DI34" s="182"/>
      <c r="DJ34" s="182"/>
      <c r="DK34" s="182"/>
      <c r="DL34" s="182"/>
      <c r="DM34" s="182"/>
      <c r="DN34" s="182"/>
      <c r="DO34" s="182"/>
      <c r="DP34" s="182"/>
      <c r="DQ34" s="182"/>
      <c r="DR34" s="182"/>
      <c r="DS34" s="182"/>
      <c r="DT34" s="182"/>
      <c r="DU34" s="182"/>
      <c r="DV34" s="182"/>
      <c r="DW34" s="182"/>
      <c r="DX34" s="182"/>
      <c r="DY34" s="182"/>
      <c r="DZ34" s="182"/>
      <c r="EA34" s="182"/>
      <c r="EB34" s="182"/>
      <c r="EC34" s="182"/>
      <c r="ED34" s="182"/>
      <c r="EE34" s="182"/>
      <c r="EF34" s="182"/>
      <c r="EG34" s="182"/>
      <c r="EH34" s="182"/>
      <c r="EI34" s="182"/>
      <c r="EJ34" s="182"/>
      <c r="EK34" s="182"/>
      <c r="EL34" s="182"/>
      <c r="EM34" s="182"/>
      <c r="EN34" s="182"/>
      <c r="EO34" s="182"/>
      <c r="EP34" s="182"/>
      <c r="EQ34" s="182"/>
      <c r="ER34" s="182"/>
      <c r="ES34" s="182"/>
      <c r="ET34" s="182"/>
      <c r="EU34" s="182"/>
      <c r="EV34" s="182"/>
      <c r="EW34" s="182"/>
      <c r="EX34" s="182"/>
      <c r="EY34" s="182"/>
      <c r="EZ34" s="182"/>
      <c r="FA34" s="182"/>
      <c r="FB34" s="182"/>
      <c r="FC34" s="182"/>
      <c r="FD34" s="182"/>
      <c r="FE34" s="182"/>
      <c r="FF34" s="182"/>
      <c r="FG34" s="182"/>
      <c r="FH34" s="182"/>
      <c r="FI34" s="182"/>
      <c r="FJ34" s="182"/>
      <c r="FK34" s="182"/>
      <c r="FL34" s="182"/>
      <c r="FM34" s="182"/>
      <c r="FN34" s="182"/>
      <c r="FO34" s="182"/>
      <c r="FP34" s="182"/>
      <c r="FQ34" s="182"/>
      <c r="FR34" s="182"/>
      <c r="FS34" s="182"/>
      <c r="FT34" s="182"/>
      <c r="FU34" s="182"/>
      <c r="FV34" s="182"/>
      <c r="FW34" s="182"/>
      <c r="FX34" s="182"/>
      <c r="FY34" s="182"/>
      <c r="FZ34" s="182"/>
      <c r="GA34" s="182"/>
      <c r="GB34" s="182"/>
      <c r="GC34" s="182"/>
      <c r="GD34" s="182"/>
      <c r="GE34" s="182"/>
      <c r="GF34" s="182"/>
      <c r="GG34" s="182"/>
      <c r="GH34" s="182"/>
      <c r="GI34" s="182"/>
      <c r="GJ34" s="182"/>
      <c r="GK34" s="182"/>
      <c r="GL34" s="182"/>
      <c r="GM34" s="182"/>
      <c r="GN34" s="182"/>
      <c r="GO34" s="182"/>
      <c r="GP34" s="182"/>
      <c r="GQ34" s="182"/>
      <c r="GR34" s="182"/>
      <c r="GS34" s="182"/>
      <c r="GT34" s="182"/>
      <c r="GU34" s="182"/>
      <c r="GV34" s="182"/>
      <c r="GW34" s="182"/>
      <c r="GX34" s="182"/>
      <c r="GY34" s="182"/>
      <c r="GZ34" s="182"/>
      <c r="HA34" s="182"/>
      <c r="HB34" s="182"/>
      <c r="HC34" s="182"/>
      <c r="HD34" s="182"/>
      <c r="HE34" s="182"/>
      <c r="HF34" s="182"/>
      <c r="HG34" s="182"/>
      <c r="HH34" s="182"/>
      <c r="HI34" s="182"/>
      <c r="HJ34" s="182"/>
      <c r="HK34" s="182"/>
      <c r="HL34" s="182"/>
      <c r="HM34" s="182"/>
      <c r="HN34" s="182"/>
      <c r="HO34" s="182"/>
      <c r="HP34" s="182"/>
      <c r="HQ34" s="182"/>
      <c r="HR34" s="182"/>
      <c r="HS34" s="182"/>
      <c r="HT34" s="182"/>
      <c r="HU34" s="182"/>
      <c r="HV34" s="182"/>
      <c r="HW34" s="182"/>
      <c r="HX34" s="182"/>
      <c r="HY34" s="182"/>
      <c r="HZ34" s="182"/>
      <c r="IA34" s="182"/>
      <c r="IB34" s="182"/>
      <c r="IC34" s="182"/>
      <c r="ID34" s="182"/>
      <c r="IE34" s="182"/>
      <c r="IF34" s="182"/>
      <c r="IG34" s="182"/>
      <c r="IH34" s="182"/>
      <c r="II34" s="182"/>
      <c r="IJ34" s="182"/>
      <c r="IK34" s="182"/>
      <c r="IL34" s="182"/>
      <c r="IM34" s="182"/>
      <c r="IN34" s="182"/>
      <c r="IO34" s="182"/>
      <c r="IP34" s="182"/>
      <c r="IQ34" s="182"/>
      <c r="IR34" s="182"/>
      <c r="IS34" s="182"/>
      <c r="IT34" s="182"/>
      <c r="IU34" s="182"/>
      <c r="IV34" s="182"/>
      <c r="IW34" s="182"/>
      <c r="IX34" s="182"/>
      <c r="IY34" s="182"/>
      <c r="IZ34" s="182"/>
      <c r="JA34" s="182"/>
      <c r="JB34" s="182"/>
      <c r="JC34" s="182"/>
      <c r="JD34" s="182"/>
      <c r="JE34" s="182"/>
      <c r="JF34" s="182"/>
      <c r="JG34" s="182"/>
      <c r="JH34" s="182"/>
      <c r="JI34" s="182"/>
      <c r="JJ34" s="182"/>
      <c r="JK34" s="182"/>
      <c r="JL34" s="182"/>
      <c r="JM34" s="182"/>
      <c r="JN34" s="182"/>
      <c r="JO34" s="182"/>
      <c r="JP34" s="182"/>
      <c r="JQ34" s="182"/>
      <c r="JR34" s="182"/>
      <c r="JS34" s="182"/>
      <c r="JT34" s="182"/>
      <c r="JU34" s="182"/>
      <c r="JV34" s="182"/>
      <c r="JW34" s="182"/>
      <c r="JX34" s="182"/>
      <c r="JY34" s="182"/>
      <c r="JZ34" s="182"/>
      <c r="KA34" s="182"/>
      <c r="KB34" s="182"/>
      <c r="KC34" s="182"/>
      <c r="KD34" s="182"/>
      <c r="KE34" s="182"/>
      <c r="KF34" s="182"/>
      <c r="KG34" s="182"/>
      <c r="KH34" s="182"/>
      <c r="KI34" s="182"/>
      <c r="KJ34" s="182"/>
      <c r="KK34" s="182"/>
      <c r="KL34" s="182"/>
      <c r="KM34" s="182"/>
      <c r="KN34" s="182"/>
      <c r="KO34" s="182"/>
      <c r="KP34" s="182"/>
      <c r="KQ34" s="182"/>
      <c r="KR34" s="182"/>
      <c r="KS34" s="182"/>
      <c r="KT34" s="182"/>
      <c r="KU34" s="182"/>
      <c r="KV34" s="182"/>
      <c r="KW34" s="182"/>
      <c r="KX34" s="182"/>
      <c r="KY34" s="182"/>
      <c r="KZ34" s="182"/>
      <c r="LA34" s="182"/>
      <c r="LB34" s="182"/>
      <c r="LC34" s="182"/>
      <c r="LD34" s="182"/>
      <c r="LE34" s="182"/>
      <c r="LF34" s="182"/>
      <c r="LG34" s="182"/>
      <c r="LH34" s="182"/>
      <c r="LI34" s="182"/>
      <c r="LJ34" s="182"/>
      <c r="LK34" s="182"/>
      <c r="LL34" s="182"/>
      <c r="LM34" s="182"/>
      <c r="LN34" s="182"/>
      <c r="LO34" s="182"/>
      <c r="LP34" s="182"/>
      <c r="LQ34" s="182"/>
      <c r="LR34" s="182"/>
      <c r="LS34" s="182"/>
      <c r="LT34" s="182"/>
      <c r="LU34" s="182"/>
      <c r="LV34" s="182"/>
      <c r="LW34" s="182"/>
      <c r="LX34" s="182"/>
      <c r="LY34" s="182"/>
      <c r="LZ34" s="182"/>
      <c r="MA34" s="182"/>
      <c r="MB34" s="182"/>
      <c r="MC34" s="182"/>
      <c r="MD34" s="182"/>
      <c r="ME34" s="182"/>
      <c r="MF34" s="182"/>
      <c r="MG34" s="182"/>
      <c r="MH34" s="182"/>
      <c r="MI34" s="182"/>
      <c r="MJ34" s="182"/>
      <c r="MK34" s="182"/>
      <c r="ML34" s="182"/>
      <c r="MM34" s="182"/>
      <c r="MN34" s="182"/>
      <c r="MO34" s="182"/>
      <c r="MP34" s="182"/>
      <c r="MQ34" s="182"/>
      <c r="MR34" s="182"/>
      <c r="MS34" s="182"/>
      <c r="MT34" s="182"/>
      <c r="MU34" s="182"/>
      <c r="MV34" s="182"/>
      <c r="MW34" s="182"/>
      <c r="MX34" s="182"/>
      <c r="MY34" s="182"/>
      <c r="MZ34" s="182"/>
      <c r="NA34" s="182"/>
      <c r="NB34" s="182"/>
      <c r="NC34" s="182"/>
      <c r="ND34" s="182"/>
      <c r="NE34" s="182"/>
      <c r="NF34" s="182"/>
      <c r="NG34" s="182"/>
      <c r="NH34" s="182"/>
      <c r="NI34" s="182"/>
      <c r="NJ34" s="182"/>
      <c r="NK34" s="182"/>
      <c r="NL34" s="182"/>
      <c r="NM34" s="182"/>
      <c r="NN34" s="182"/>
      <c r="NO34" s="182"/>
      <c r="NP34" s="182"/>
      <c r="NQ34" s="182"/>
      <c r="NR34" s="182"/>
      <c r="NS34" s="182"/>
      <c r="NT34" s="182"/>
      <c r="NU34" s="182"/>
      <c r="NV34" s="182"/>
      <c r="NW34" s="182"/>
      <c r="NX34" s="182"/>
      <c r="NY34" s="182"/>
      <c r="NZ34" s="182"/>
      <c r="OA34" s="182"/>
      <c r="OB34" s="182"/>
      <c r="OC34" s="182"/>
      <c r="OD34" s="182"/>
      <c r="OE34" s="182"/>
      <c r="OF34" s="182"/>
      <c r="OG34" s="182"/>
      <c r="OH34" s="182"/>
      <c r="OI34" s="182"/>
      <c r="OJ34" s="182"/>
      <c r="OK34" s="182"/>
      <c r="OL34" s="182"/>
      <c r="OM34" s="182"/>
      <c r="ON34" s="182"/>
      <c r="OO34" s="182"/>
      <c r="OP34" s="182"/>
      <c r="OQ34" s="182"/>
      <c r="OR34" s="182"/>
      <c r="OS34" s="182"/>
      <c r="OT34" s="182"/>
      <c r="OU34" s="182"/>
      <c r="OV34" s="182"/>
      <c r="OW34" s="182"/>
      <c r="OX34" s="182"/>
      <c r="OY34" s="182"/>
      <c r="OZ34" s="182"/>
      <c r="PA34" s="182"/>
      <c r="PB34" s="182"/>
      <c r="PC34" s="182"/>
      <c r="PD34" s="182"/>
      <c r="PE34" s="182"/>
      <c r="PF34" s="182"/>
      <c r="PG34" s="182"/>
      <c r="PH34" s="182"/>
      <c r="PI34" s="182"/>
      <c r="PJ34" s="182"/>
      <c r="PK34" s="182"/>
      <c r="PL34" s="182"/>
      <c r="PM34" s="182"/>
      <c r="PN34" s="182"/>
      <c r="PO34" s="182"/>
      <c r="PP34" s="182"/>
      <c r="PQ34" s="182"/>
      <c r="PR34" s="182"/>
      <c r="PS34" s="182"/>
      <c r="PT34" s="182"/>
      <c r="PU34" s="182"/>
      <c r="PV34" s="182"/>
      <c r="PW34" s="182"/>
      <c r="PX34" s="182"/>
      <c r="PY34" s="182"/>
      <c r="PZ34" s="182"/>
      <c r="QA34" s="182"/>
      <c r="QB34" s="182"/>
      <c r="QC34" s="182"/>
      <c r="QD34" s="182"/>
      <c r="QE34" s="182"/>
      <c r="QF34" s="182"/>
      <c r="QG34" s="182"/>
      <c r="QH34" s="182"/>
      <c r="QI34" s="182"/>
      <c r="QJ34" s="182"/>
      <c r="QK34" s="182"/>
      <c r="QL34" s="182"/>
      <c r="QM34" s="182"/>
      <c r="QN34" s="182"/>
      <c r="QO34" s="182"/>
      <c r="QP34" s="182"/>
      <c r="QQ34" s="182"/>
      <c r="QR34" s="182"/>
      <c r="QS34" s="182"/>
      <c r="QT34" s="182"/>
      <c r="QU34" s="182"/>
      <c r="QV34" s="182"/>
      <c r="QW34" s="182"/>
      <c r="QX34" s="182"/>
      <c r="QY34" s="182"/>
      <c r="QZ34" s="182"/>
      <c r="RA34" s="182"/>
      <c r="RB34" s="182"/>
      <c r="RC34" s="182"/>
      <c r="RD34" s="182"/>
      <c r="RE34" s="182"/>
      <c r="RF34" s="182"/>
      <c r="RG34" s="182"/>
      <c r="RH34" s="182"/>
      <c r="RI34" s="182"/>
      <c r="RJ34" s="182"/>
      <c r="RK34" s="182"/>
      <c r="RL34" s="182"/>
      <c r="RM34" s="182"/>
      <c r="RN34" s="182"/>
      <c r="RO34" s="182"/>
      <c r="RP34" s="182"/>
      <c r="RQ34" s="182"/>
      <c r="RR34" s="182"/>
      <c r="RS34" s="182"/>
      <c r="RT34" s="182"/>
      <c r="RU34" s="182"/>
      <c r="RV34" s="182"/>
      <c r="RW34" s="182"/>
      <c r="RX34" s="182"/>
      <c r="RY34" s="182"/>
      <c r="RZ34" s="182"/>
      <c r="SA34" s="182"/>
      <c r="SB34" s="182"/>
      <c r="SC34" s="182"/>
      <c r="SD34" s="182"/>
      <c r="SE34" s="182"/>
      <c r="SF34" s="182"/>
      <c r="SG34" s="182"/>
      <c r="SH34" s="182"/>
      <c r="SI34" s="182"/>
      <c r="SJ34" s="182"/>
      <c r="SK34" s="182"/>
      <c r="SL34" s="182"/>
      <c r="SM34" s="182"/>
      <c r="SN34" s="182"/>
      <c r="SO34" s="182"/>
      <c r="SP34" s="182"/>
      <c r="SQ34" s="182"/>
      <c r="SR34" s="182"/>
      <c r="SS34" s="182"/>
      <c r="ST34" s="182"/>
      <c r="SU34" s="182"/>
      <c r="SV34" s="182"/>
      <c r="SW34" s="182"/>
      <c r="SX34" s="182"/>
      <c r="SY34" s="182"/>
      <c r="SZ34" s="182"/>
      <c r="TA34" s="182"/>
      <c r="TB34" s="182"/>
      <c r="TC34" s="182"/>
      <c r="TD34" s="182"/>
      <c r="TE34" s="182"/>
      <c r="TF34" s="182"/>
      <c r="TG34" s="182"/>
      <c r="TH34" s="182"/>
      <c r="TI34" s="182"/>
      <c r="TJ34" s="182"/>
      <c r="TK34" s="182"/>
      <c r="TL34" s="182"/>
      <c r="TM34" s="182"/>
      <c r="TN34" s="182"/>
      <c r="TO34" s="182"/>
      <c r="TP34" s="182"/>
      <c r="TQ34" s="182"/>
      <c r="TR34" s="182"/>
      <c r="TS34" s="182"/>
      <c r="TT34" s="182"/>
      <c r="TU34" s="182"/>
      <c r="TV34" s="182"/>
      <c r="TW34" s="182"/>
      <c r="TX34" s="182"/>
      <c r="TY34" s="182"/>
      <c r="TZ34" s="182"/>
      <c r="UA34" s="182"/>
      <c r="UB34" s="182"/>
      <c r="UC34" s="182"/>
      <c r="UD34" s="182"/>
      <c r="UE34" s="182"/>
      <c r="UF34" s="182"/>
      <c r="UG34" s="182"/>
      <c r="UH34" s="182"/>
      <c r="UI34" s="182"/>
      <c r="UJ34" s="182"/>
      <c r="UK34" s="182"/>
      <c r="UL34" s="182"/>
      <c r="UM34" s="182"/>
      <c r="UN34" s="182"/>
      <c r="UO34" s="182"/>
      <c r="UP34" s="182"/>
      <c r="UQ34" s="182"/>
      <c r="UR34" s="182"/>
      <c r="US34" s="182"/>
      <c r="UT34" s="182"/>
      <c r="UU34" s="182"/>
      <c r="UV34" s="182"/>
      <c r="UW34" s="182"/>
      <c r="UX34" s="182"/>
      <c r="UY34" s="182"/>
      <c r="UZ34" s="182"/>
      <c r="VA34" s="182"/>
      <c r="VB34" s="182"/>
      <c r="VC34" s="182"/>
      <c r="VD34" s="182"/>
      <c r="VE34" s="182"/>
      <c r="VF34" s="182"/>
      <c r="VG34" s="182"/>
      <c r="VH34" s="182"/>
      <c r="VI34" s="182"/>
      <c r="VJ34" s="182"/>
      <c r="VK34" s="182"/>
      <c r="VL34" s="182"/>
      <c r="VM34" s="182"/>
      <c r="VN34" s="182"/>
      <c r="VO34" s="182"/>
      <c r="VP34" s="182"/>
      <c r="VQ34" s="182"/>
      <c r="VR34" s="182"/>
      <c r="VS34" s="182"/>
      <c r="VT34" s="182"/>
      <c r="VU34" s="182"/>
      <c r="VV34" s="182"/>
      <c r="VW34" s="182"/>
      <c r="VX34" s="182"/>
      <c r="VY34" s="182"/>
      <c r="VZ34" s="182"/>
      <c r="WA34" s="182"/>
      <c r="WB34" s="182"/>
      <c r="WC34" s="182"/>
      <c r="WD34" s="182"/>
      <c r="WE34" s="182"/>
      <c r="WF34" s="182"/>
      <c r="WG34" s="182"/>
      <c r="WH34" s="182"/>
      <c r="WI34" s="182"/>
      <c r="WJ34" s="182"/>
      <c r="WK34" s="182"/>
      <c r="WL34" s="182"/>
      <c r="WM34" s="182"/>
      <c r="WN34" s="182"/>
      <c r="WO34" s="182"/>
      <c r="WP34" s="182"/>
      <c r="WQ34" s="182"/>
      <c r="WR34" s="182"/>
      <c r="WS34" s="182"/>
      <c r="WT34" s="182"/>
      <c r="WU34" s="182"/>
      <c r="WV34" s="182"/>
      <c r="WW34" s="182"/>
      <c r="WX34" s="182"/>
      <c r="WY34" s="182"/>
      <c r="WZ34" s="182"/>
      <c r="XA34" s="182"/>
      <c r="XB34" s="182"/>
      <c r="XC34" s="182"/>
      <c r="XD34" s="182"/>
      <c r="XE34" s="182"/>
      <c r="XF34" s="182"/>
      <c r="XG34" s="182"/>
      <c r="XH34" s="182"/>
      <c r="XI34" s="182"/>
      <c r="XJ34" s="182"/>
      <c r="XK34" s="182"/>
      <c r="XL34" s="182"/>
      <c r="XM34" s="182"/>
      <c r="XN34" s="182"/>
      <c r="XO34" s="182"/>
      <c r="XP34" s="182"/>
      <c r="XQ34" s="182"/>
      <c r="XR34" s="182"/>
      <c r="XS34" s="182"/>
      <c r="XT34" s="182"/>
      <c r="XU34" s="182"/>
      <c r="XV34" s="182"/>
      <c r="XW34" s="182"/>
      <c r="XX34" s="182"/>
      <c r="XY34" s="182"/>
      <c r="XZ34" s="182"/>
      <c r="YA34" s="182"/>
      <c r="YB34" s="182"/>
      <c r="YC34" s="182"/>
      <c r="YD34" s="182"/>
      <c r="YE34" s="182"/>
      <c r="YF34" s="182"/>
      <c r="YG34" s="182"/>
      <c r="YH34" s="182"/>
      <c r="YI34" s="182"/>
      <c r="YJ34" s="182"/>
      <c r="YK34" s="182"/>
      <c r="YL34" s="182"/>
      <c r="YM34" s="182"/>
      <c r="YN34" s="182"/>
      <c r="YO34" s="182"/>
      <c r="YP34" s="182"/>
      <c r="YQ34" s="182"/>
      <c r="YR34" s="182"/>
      <c r="YS34" s="182"/>
      <c r="YT34" s="182"/>
      <c r="YU34" s="182"/>
      <c r="YV34" s="182"/>
      <c r="YW34" s="182"/>
      <c r="YX34" s="182"/>
      <c r="YY34" s="182"/>
      <c r="YZ34" s="182"/>
      <c r="ZA34" s="182"/>
      <c r="ZB34" s="182"/>
      <c r="ZC34" s="182"/>
      <c r="ZD34" s="182"/>
      <c r="ZE34" s="182"/>
      <c r="ZF34" s="182"/>
      <c r="ZG34" s="182"/>
      <c r="ZH34" s="182"/>
      <c r="ZI34" s="182"/>
      <c r="ZJ34" s="182"/>
      <c r="ZK34" s="182"/>
      <c r="ZL34" s="182"/>
      <c r="ZM34" s="182"/>
      <c r="ZN34" s="182"/>
      <c r="ZO34" s="182"/>
      <c r="ZP34" s="182"/>
      <c r="ZQ34" s="182"/>
      <c r="ZR34" s="182"/>
      <c r="ZS34" s="182"/>
      <c r="ZT34" s="182"/>
      <c r="ZU34" s="182"/>
      <c r="ZV34" s="182"/>
      <c r="ZW34" s="182"/>
      <c r="ZX34" s="182"/>
      <c r="ZY34" s="182"/>
      <c r="ZZ34" s="182"/>
      <c r="AAA34" s="182"/>
      <c r="AAB34" s="182"/>
      <c r="AAC34" s="182"/>
      <c r="AAD34" s="182"/>
      <c r="AAE34" s="182"/>
      <c r="AAF34" s="182"/>
      <c r="AAG34" s="182"/>
      <c r="AAH34" s="182"/>
      <c r="AAI34" s="182"/>
      <c r="AAJ34" s="182"/>
      <c r="AAK34" s="182"/>
      <c r="AAL34" s="182"/>
      <c r="AAM34" s="182"/>
      <c r="AAN34" s="182"/>
      <c r="AAO34" s="182"/>
      <c r="AAP34" s="182"/>
      <c r="AAQ34" s="182"/>
      <c r="AAR34" s="182"/>
      <c r="AAS34" s="182"/>
      <c r="AAT34" s="182"/>
      <c r="AAU34" s="182"/>
      <c r="AAV34" s="182"/>
      <c r="AAW34" s="182"/>
      <c r="AAX34" s="182"/>
      <c r="AAY34" s="182"/>
      <c r="AAZ34" s="182"/>
      <c r="ABA34" s="182"/>
      <c r="ABB34" s="182"/>
      <c r="ABC34" s="182"/>
      <c r="ABD34" s="182"/>
      <c r="ABE34" s="182"/>
      <c r="ABF34" s="182"/>
      <c r="ABG34" s="182"/>
      <c r="ABH34" s="182"/>
      <c r="ABI34" s="182"/>
      <c r="ABJ34" s="182"/>
      <c r="ABK34" s="182"/>
      <c r="ABL34" s="182"/>
      <c r="ABM34" s="182"/>
      <c r="ABN34" s="182"/>
      <c r="ABO34" s="182"/>
      <c r="ABP34" s="182"/>
      <c r="ABQ34" s="182"/>
      <c r="ABR34" s="182"/>
      <c r="ABS34" s="182"/>
      <c r="ABT34" s="182"/>
      <c r="ABU34" s="182"/>
      <c r="ABV34" s="182"/>
      <c r="ABW34" s="182"/>
      <c r="ABX34" s="182"/>
      <c r="ABY34" s="182"/>
      <c r="ABZ34" s="182"/>
      <c r="ACA34" s="182"/>
      <c r="ACB34" s="182"/>
      <c r="ACC34" s="182"/>
      <c r="ACD34" s="182"/>
      <c r="ACE34" s="182"/>
      <c r="ACF34" s="182"/>
      <c r="ACG34" s="182"/>
      <c r="ACH34" s="182"/>
      <c r="ACI34" s="182"/>
      <c r="ACJ34" s="182"/>
      <c r="ACK34" s="182"/>
      <c r="ACL34" s="182"/>
      <c r="ACM34" s="182"/>
      <c r="ACN34" s="182"/>
      <c r="ACO34" s="182"/>
      <c r="ACP34" s="182"/>
      <c r="ACQ34" s="182"/>
      <c r="ACR34" s="182"/>
      <c r="ACS34" s="182"/>
      <c r="ACT34" s="182"/>
      <c r="ACU34" s="182"/>
      <c r="ACV34" s="182"/>
      <c r="ACW34" s="182"/>
      <c r="ACX34" s="182"/>
      <c r="ACY34" s="182"/>
      <c r="ACZ34" s="182"/>
      <c r="ADA34" s="182"/>
      <c r="ADB34" s="182"/>
      <c r="ADC34" s="182"/>
      <c r="ADD34" s="182"/>
      <c r="ADE34" s="182"/>
      <c r="ADF34" s="182"/>
      <c r="ADG34" s="182"/>
      <c r="ADH34" s="182"/>
      <c r="ADI34" s="182"/>
      <c r="ADJ34" s="182"/>
      <c r="ADK34" s="182"/>
      <c r="ADL34" s="182"/>
      <c r="ADM34" s="182"/>
      <c r="ADN34" s="182"/>
      <c r="ADO34" s="182"/>
      <c r="ADP34" s="182"/>
      <c r="ADQ34" s="182"/>
      <c r="ADR34" s="182"/>
      <c r="ADS34" s="182"/>
      <c r="ADT34" s="182"/>
      <c r="ADU34" s="182"/>
      <c r="ADV34" s="182"/>
      <c r="ADW34" s="182"/>
      <c r="ADX34" s="182"/>
      <c r="ADY34" s="182"/>
      <c r="ADZ34" s="182"/>
      <c r="AEA34" s="182"/>
      <c r="AEB34" s="182"/>
      <c r="AEC34" s="182"/>
      <c r="AED34" s="182"/>
      <c r="AEE34" s="182"/>
      <c r="AEF34" s="182"/>
      <c r="AEG34" s="182"/>
      <c r="AEH34" s="182"/>
      <c r="AEI34" s="182"/>
      <c r="AEJ34" s="182"/>
      <c r="AEK34" s="182"/>
      <c r="AEL34" s="182"/>
      <c r="AEM34" s="182"/>
      <c r="AEN34" s="182"/>
      <c r="AEO34" s="182"/>
      <c r="AEP34" s="182"/>
      <c r="AEQ34" s="182"/>
      <c r="AER34" s="182"/>
      <c r="AES34" s="182"/>
      <c r="AET34" s="182"/>
      <c r="AEU34" s="182"/>
      <c r="AEV34" s="182"/>
      <c r="AEW34" s="182"/>
      <c r="AEX34" s="182"/>
      <c r="AEY34" s="182"/>
      <c r="AEZ34" s="182"/>
      <c r="AFA34" s="182"/>
      <c r="AFB34" s="182"/>
      <c r="AFC34" s="182"/>
      <c r="AFD34" s="182"/>
      <c r="AFE34" s="182"/>
      <c r="AFF34" s="182"/>
      <c r="AFG34" s="182"/>
      <c r="AFH34" s="182"/>
      <c r="AFI34" s="182"/>
      <c r="AFJ34" s="182"/>
      <c r="AFK34" s="182"/>
      <c r="AFL34" s="182"/>
      <c r="AFM34" s="182"/>
      <c r="AFN34" s="182"/>
      <c r="AFO34" s="182"/>
      <c r="AFP34" s="182"/>
      <c r="AFQ34" s="182"/>
      <c r="AFR34" s="182"/>
      <c r="AFS34" s="182"/>
      <c r="AFT34" s="182"/>
      <c r="AFU34" s="182"/>
      <c r="AFV34" s="182"/>
      <c r="AFW34" s="182"/>
      <c r="AFX34" s="182"/>
      <c r="AFY34" s="182"/>
      <c r="AFZ34" s="182"/>
      <c r="AGA34" s="182"/>
      <c r="AGB34" s="182"/>
      <c r="AGC34" s="182"/>
      <c r="AGD34" s="182"/>
      <c r="AGE34" s="182"/>
      <c r="AGF34" s="182"/>
      <c r="AGG34" s="182"/>
      <c r="AGH34" s="182"/>
      <c r="AGI34" s="182"/>
      <c r="AGJ34" s="182"/>
      <c r="AGK34" s="182"/>
      <c r="AGL34" s="182"/>
      <c r="AGM34" s="182"/>
      <c r="AGN34" s="182"/>
      <c r="AGO34" s="182"/>
      <c r="AGP34" s="182"/>
      <c r="AGQ34" s="182"/>
      <c r="AGR34" s="182"/>
      <c r="AGS34" s="182"/>
      <c r="AGT34" s="182"/>
      <c r="AGU34" s="182"/>
      <c r="AGV34" s="182"/>
      <c r="AGW34" s="182"/>
      <c r="AGX34" s="182"/>
      <c r="AGY34" s="182"/>
      <c r="AGZ34" s="182"/>
      <c r="AHA34" s="182"/>
      <c r="AHB34" s="182"/>
      <c r="AHC34" s="182"/>
      <c r="AHD34" s="182"/>
      <c r="AHE34" s="182"/>
      <c r="AHF34" s="182"/>
      <c r="AHG34" s="182"/>
      <c r="AHH34" s="182"/>
      <c r="AHI34" s="182"/>
      <c r="AHJ34" s="182"/>
      <c r="AHK34" s="182"/>
      <c r="AHL34" s="182"/>
      <c r="AHM34" s="182"/>
      <c r="AHN34" s="182"/>
      <c r="AHO34" s="182"/>
      <c r="AHP34" s="182"/>
      <c r="AHQ34" s="182"/>
      <c r="AHR34" s="182"/>
      <c r="AHS34" s="182"/>
      <c r="AHT34" s="182"/>
      <c r="AHU34" s="182"/>
      <c r="AHV34" s="182"/>
      <c r="AHW34" s="182"/>
      <c r="AHX34" s="182"/>
      <c r="AHY34" s="182"/>
      <c r="AHZ34" s="182"/>
      <c r="AIA34" s="182"/>
      <c r="AIB34" s="182"/>
      <c r="AIC34" s="182"/>
      <c r="AID34" s="182"/>
      <c r="AIE34" s="182"/>
      <c r="AIF34" s="182"/>
      <c r="AIG34" s="182"/>
      <c r="AIH34" s="182"/>
      <c r="AII34" s="182"/>
      <c r="AIJ34" s="182"/>
      <c r="AIK34" s="182"/>
      <c r="AIL34" s="182"/>
      <c r="AIM34" s="182"/>
      <c r="AIN34" s="182"/>
      <c r="AIO34" s="182"/>
      <c r="AIP34" s="182"/>
      <c r="AIQ34" s="182"/>
      <c r="AIR34" s="182"/>
      <c r="AIS34" s="182"/>
      <c r="AIT34" s="182"/>
      <c r="AIU34" s="182"/>
      <c r="AIV34" s="182"/>
      <c r="AIW34" s="182"/>
      <c r="AIX34" s="182"/>
      <c r="AIY34" s="182"/>
      <c r="AIZ34" s="182"/>
      <c r="AJA34" s="182"/>
      <c r="AJB34" s="182"/>
      <c r="AJC34" s="182"/>
      <c r="AJD34" s="182"/>
      <c r="AJE34" s="182"/>
      <c r="AJF34" s="182"/>
      <c r="AJG34" s="182"/>
      <c r="AJH34" s="182"/>
      <c r="AJI34" s="182"/>
      <c r="AJJ34" s="182"/>
      <c r="AJK34" s="182"/>
      <c r="AJL34" s="182"/>
      <c r="AJM34" s="182"/>
      <c r="AJN34" s="182"/>
      <c r="AJO34" s="182"/>
      <c r="AJP34" s="182"/>
      <c r="AJQ34" s="182"/>
      <c r="AJR34" s="182"/>
      <c r="AJS34" s="182"/>
      <c r="AJT34" s="182"/>
      <c r="AJU34" s="182"/>
      <c r="AJV34" s="182"/>
      <c r="AJW34" s="182"/>
      <c r="AJX34" s="182"/>
      <c r="AJY34" s="182"/>
      <c r="AJZ34" s="182"/>
      <c r="AKA34" s="182"/>
      <c r="AKB34" s="182"/>
      <c r="AKC34" s="182"/>
      <c r="AKD34" s="182"/>
      <c r="AKE34" s="182"/>
      <c r="AKF34" s="182"/>
      <c r="AKG34" s="182"/>
      <c r="AKH34" s="182"/>
      <c r="AKI34" s="182"/>
      <c r="AKJ34" s="182"/>
      <c r="AKK34" s="182"/>
      <c r="AKL34" s="182"/>
      <c r="AKM34" s="182"/>
      <c r="AKN34" s="182"/>
      <c r="AKO34" s="182"/>
      <c r="AKP34" s="182"/>
      <c r="AKQ34" s="182"/>
      <c r="AKR34" s="182"/>
      <c r="AKS34" s="182"/>
      <c r="AKT34" s="182"/>
      <c r="AKU34" s="182"/>
      <c r="AKV34" s="182"/>
      <c r="AKW34" s="182"/>
      <c r="AKX34" s="182"/>
      <c r="AKY34" s="182"/>
      <c r="AKZ34" s="182"/>
      <c r="ALA34" s="182"/>
      <c r="ALB34" s="182"/>
      <c r="ALC34" s="182"/>
      <c r="ALD34" s="182"/>
      <c r="ALE34" s="182"/>
      <c r="ALF34" s="182"/>
      <c r="ALG34" s="182"/>
      <c r="ALH34" s="182"/>
      <c r="ALI34" s="182"/>
      <c r="ALJ34" s="182"/>
      <c r="ALK34" s="182"/>
      <c r="ALL34" s="182"/>
      <c r="ALM34" s="182"/>
      <c r="ALN34" s="182"/>
      <c r="ALO34" s="182"/>
      <c r="ALP34" s="182"/>
      <c r="ALQ34" s="182"/>
      <c r="ALR34" s="182"/>
      <c r="ALS34" s="182"/>
      <c r="ALT34" s="182"/>
      <c r="ALU34" s="182"/>
      <c r="ALV34" s="182"/>
      <c r="ALW34" s="182"/>
      <c r="ALX34" s="182"/>
      <c r="ALY34" s="182"/>
      <c r="ALZ34" s="182"/>
      <c r="AMA34" s="182"/>
      <c r="AMB34" s="182"/>
      <c r="AMC34" s="182"/>
      <c r="AMD34" s="182"/>
      <c r="AME34" s="182"/>
      <c r="AMF34" s="182"/>
      <c r="AMG34" s="182"/>
      <c r="AMH34" s="182"/>
      <c r="AMI34" s="182"/>
      <c r="AMJ34" s="182"/>
      <c r="AMK34" s="182"/>
    </row>
    <row r="35" spans="1:1025" s="413" customFormat="1" ht="8.25" x14ac:dyDescent="0.15">
      <c r="A35" s="182"/>
      <c r="B35" s="446" t="s">
        <v>765</v>
      </c>
      <c r="C35" s="182" t="str">
        <f>IF(H35&gt;0,"Superávit Orçamentário da Pref. Municipal apurado do período","Déficit Orçamentário da Pref. Municipal apurado do período")</f>
        <v>Superávit Orçamentário da Pref. Municipal apurado do período</v>
      </c>
      <c r="D35" s="182"/>
      <c r="E35" s="182"/>
      <c r="F35" s="182"/>
      <c r="G35" s="182"/>
      <c r="H35" s="203">
        <f>H16-SUM(G11:G24)</f>
        <v>5463982.1200000048</v>
      </c>
      <c r="I35" s="449"/>
      <c r="J35" s="450"/>
      <c r="K35" s="333"/>
      <c r="L35" s="182"/>
      <c r="M35" s="182"/>
      <c r="N35" s="182"/>
      <c r="O35" s="411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2"/>
      <c r="BK35" s="182"/>
      <c r="BL35" s="182"/>
      <c r="BM35" s="182"/>
      <c r="BN35" s="182"/>
      <c r="BO35" s="182"/>
      <c r="BP35" s="182"/>
      <c r="BQ35" s="182"/>
      <c r="BR35" s="182"/>
      <c r="BS35" s="182"/>
      <c r="BT35" s="182"/>
      <c r="BU35" s="182"/>
      <c r="BV35" s="182"/>
      <c r="BW35" s="182"/>
      <c r="BX35" s="182"/>
      <c r="BY35" s="182"/>
      <c r="BZ35" s="182"/>
      <c r="CA35" s="182"/>
      <c r="CB35" s="182"/>
      <c r="CC35" s="182"/>
      <c r="CD35" s="182"/>
      <c r="CE35" s="182"/>
      <c r="CF35" s="182"/>
      <c r="CG35" s="182"/>
      <c r="CH35" s="182"/>
      <c r="CI35" s="182"/>
      <c r="CJ35" s="182"/>
      <c r="CK35" s="182"/>
      <c r="CL35" s="182"/>
      <c r="CM35" s="182"/>
      <c r="CN35" s="182"/>
      <c r="CO35" s="182"/>
      <c r="CP35" s="182"/>
      <c r="CQ35" s="182"/>
      <c r="CR35" s="182"/>
      <c r="CS35" s="182"/>
      <c r="CT35" s="182"/>
      <c r="CU35" s="182"/>
      <c r="CV35" s="182"/>
      <c r="CW35" s="182"/>
      <c r="CX35" s="182"/>
      <c r="CY35" s="182"/>
      <c r="CZ35" s="182"/>
      <c r="DA35" s="182"/>
      <c r="DB35" s="182"/>
      <c r="DC35" s="182"/>
      <c r="DD35" s="182"/>
      <c r="DE35" s="182"/>
      <c r="DF35" s="182"/>
      <c r="DG35" s="182"/>
      <c r="DH35" s="182"/>
      <c r="DI35" s="182"/>
      <c r="DJ35" s="182"/>
      <c r="DK35" s="182"/>
      <c r="DL35" s="182"/>
      <c r="DM35" s="182"/>
      <c r="DN35" s="182"/>
      <c r="DO35" s="182"/>
      <c r="DP35" s="182"/>
      <c r="DQ35" s="182"/>
      <c r="DR35" s="182"/>
      <c r="DS35" s="182"/>
      <c r="DT35" s="182"/>
      <c r="DU35" s="182"/>
      <c r="DV35" s="182"/>
      <c r="DW35" s="182"/>
      <c r="DX35" s="182"/>
      <c r="DY35" s="182"/>
      <c r="DZ35" s="182"/>
      <c r="EA35" s="182"/>
      <c r="EB35" s="182"/>
      <c r="EC35" s="182"/>
      <c r="ED35" s="182"/>
      <c r="EE35" s="182"/>
      <c r="EF35" s="182"/>
      <c r="EG35" s="182"/>
      <c r="EH35" s="182"/>
      <c r="EI35" s="182"/>
      <c r="EJ35" s="182"/>
      <c r="EK35" s="182"/>
      <c r="EL35" s="182"/>
      <c r="EM35" s="182"/>
      <c r="EN35" s="182"/>
      <c r="EO35" s="182"/>
      <c r="EP35" s="182"/>
      <c r="EQ35" s="182"/>
      <c r="ER35" s="182"/>
      <c r="ES35" s="182"/>
      <c r="ET35" s="182"/>
      <c r="EU35" s="182"/>
      <c r="EV35" s="182"/>
      <c r="EW35" s="182"/>
      <c r="EX35" s="182"/>
      <c r="EY35" s="182"/>
      <c r="EZ35" s="182"/>
      <c r="FA35" s="182"/>
      <c r="FB35" s="182"/>
      <c r="FC35" s="182"/>
      <c r="FD35" s="182"/>
      <c r="FE35" s="182"/>
      <c r="FF35" s="182"/>
      <c r="FG35" s="182"/>
      <c r="FH35" s="182"/>
      <c r="FI35" s="182"/>
      <c r="FJ35" s="182"/>
      <c r="FK35" s="182"/>
      <c r="FL35" s="182"/>
      <c r="FM35" s="182"/>
      <c r="FN35" s="182"/>
      <c r="FO35" s="182"/>
      <c r="FP35" s="182"/>
      <c r="FQ35" s="182"/>
      <c r="FR35" s="182"/>
      <c r="FS35" s="182"/>
      <c r="FT35" s="182"/>
      <c r="FU35" s="182"/>
      <c r="FV35" s="182"/>
      <c r="FW35" s="182"/>
      <c r="FX35" s="182"/>
      <c r="FY35" s="182"/>
      <c r="FZ35" s="182"/>
      <c r="GA35" s="182"/>
      <c r="GB35" s="182"/>
      <c r="GC35" s="182"/>
      <c r="GD35" s="182"/>
      <c r="GE35" s="182"/>
      <c r="GF35" s="182"/>
      <c r="GG35" s="182"/>
      <c r="GH35" s="182"/>
      <c r="GI35" s="182"/>
      <c r="GJ35" s="182"/>
      <c r="GK35" s="182"/>
      <c r="GL35" s="182"/>
      <c r="GM35" s="182"/>
      <c r="GN35" s="182"/>
      <c r="GO35" s="182"/>
      <c r="GP35" s="182"/>
      <c r="GQ35" s="182"/>
      <c r="GR35" s="182"/>
      <c r="GS35" s="182"/>
      <c r="GT35" s="182"/>
      <c r="GU35" s="182"/>
      <c r="GV35" s="182"/>
      <c r="GW35" s="182"/>
      <c r="GX35" s="182"/>
      <c r="GY35" s="182"/>
      <c r="GZ35" s="182"/>
      <c r="HA35" s="182"/>
      <c r="HB35" s="182"/>
      <c r="HC35" s="182"/>
      <c r="HD35" s="182"/>
      <c r="HE35" s="182"/>
      <c r="HF35" s="182"/>
      <c r="HG35" s="182"/>
      <c r="HH35" s="182"/>
      <c r="HI35" s="182"/>
      <c r="HJ35" s="182"/>
      <c r="HK35" s="182"/>
      <c r="HL35" s="182"/>
      <c r="HM35" s="182"/>
      <c r="HN35" s="182"/>
      <c r="HO35" s="182"/>
      <c r="HP35" s="182"/>
      <c r="HQ35" s="182"/>
      <c r="HR35" s="182"/>
      <c r="HS35" s="182"/>
      <c r="HT35" s="182"/>
      <c r="HU35" s="182"/>
      <c r="HV35" s="182"/>
      <c r="HW35" s="182"/>
      <c r="HX35" s="182"/>
      <c r="HY35" s="182"/>
      <c r="HZ35" s="182"/>
      <c r="IA35" s="182"/>
      <c r="IB35" s="182"/>
      <c r="IC35" s="182"/>
      <c r="ID35" s="182"/>
      <c r="IE35" s="182"/>
      <c r="IF35" s="182"/>
      <c r="IG35" s="182"/>
      <c r="IH35" s="182"/>
      <c r="II35" s="182"/>
      <c r="IJ35" s="182"/>
      <c r="IK35" s="182"/>
      <c r="IL35" s="182"/>
      <c r="IM35" s="182"/>
      <c r="IN35" s="182"/>
      <c r="IO35" s="182"/>
      <c r="IP35" s="182"/>
      <c r="IQ35" s="182"/>
      <c r="IR35" s="182"/>
      <c r="IS35" s="182"/>
      <c r="IT35" s="182"/>
      <c r="IU35" s="182"/>
      <c r="IV35" s="182"/>
      <c r="IW35" s="182"/>
      <c r="IX35" s="182"/>
      <c r="IY35" s="182"/>
      <c r="IZ35" s="182"/>
      <c r="JA35" s="182"/>
      <c r="JB35" s="182"/>
      <c r="JC35" s="182"/>
      <c r="JD35" s="182"/>
      <c r="JE35" s="182"/>
      <c r="JF35" s="182"/>
      <c r="JG35" s="182"/>
      <c r="JH35" s="182"/>
      <c r="JI35" s="182"/>
      <c r="JJ35" s="182"/>
      <c r="JK35" s="182"/>
      <c r="JL35" s="182"/>
      <c r="JM35" s="182"/>
      <c r="JN35" s="182"/>
      <c r="JO35" s="182"/>
      <c r="JP35" s="182"/>
      <c r="JQ35" s="182"/>
      <c r="JR35" s="182"/>
      <c r="JS35" s="182"/>
      <c r="JT35" s="182"/>
      <c r="JU35" s="182"/>
      <c r="JV35" s="182"/>
      <c r="JW35" s="182"/>
      <c r="JX35" s="182"/>
      <c r="JY35" s="182"/>
      <c r="JZ35" s="182"/>
      <c r="KA35" s="182"/>
      <c r="KB35" s="182"/>
      <c r="KC35" s="182"/>
      <c r="KD35" s="182"/>
      <c r="KE35" s="182"/>
      <c r="KF35" s="182"/>
      <c r="KG35" s="182"/>
      <c r="KH35" s="182"/>
      <c r="KI35" s="182"/>
      <c r="KJ35" s="182"/>
      <c r="KK35" s="182"/>
      <c r="KL35" s="182"/>
      <c r="KM35" s="182"/>
      <c r="KN35" s="182"/>
      <c r="KO35" s="182"/>
      <c r="KP35" s="182"/>
      <c r="KQ35" s="182"/>
      <c r="KR35" s="182"/>
      <c r="KS35" s="182"/>
      <c r="KT35" s="182"/>
      <c r="KU35" s="182"/>
      <c r="KV35" s="182"/>
      <c r="KW35" s="182"/>
      <c r="KX35" s="182"/>
      <c r="KY35" s="182"/>
      <c r="KZ35" s="182"/>
      <c r="LA35" s="182"/>
      <c r="LB35" s="182"/>
      <c r="LC35" s="182"/>
      <c r="LD35" s="182"/>
      <c r="LE35" s="182"/>
      <c r="LF35" s="182"/>
      <c r="LG35" s="182"/>
      <c r="LH35" s="182"/>
      <c r="LI35" s="182"/>
      <c r="LJ35" s="182"/>
      <c r="LK35" s="182"/>
      <c r="LL35" s="182"/>
      <c r="LM35" s="182"/>
      <c r="LN35" s="182"/>
      <c r="LO35" s="182"/>
      <c r="LP35" s="182"/>
      <c r="LQ35" s="182"/>
      <c r="LR35" s="182"/>
      <c r="LS35" s="182"/>
      <c r="LT35" s="182"/>
      <c r="LU35" s="182"/>
      <c r="LV35" s="182"/>
      <c r="LW35" s="182"/>
      <c r="LX35" s="182"/>
      <c r="LY35" s="182"/>
      <c r="LZ35" s="182"/>
      <c r="MA35" s="182"/>
      <c r="MB35" s="182"/>
      <c r="MC35" s="182"/>
      <c r="MD35" s="182"/>
      <c r="ME35" s="182"/>
      <c r="MF35" s="182"/>
      <c r="MG35" s="182"/>
      <c r="MH35" s="182"/>
      <c r="MI35" s="182"/>
      <c r="MJ35" s="182"/>
      <c r="MK35" s="182"/>
      <c r="ML35" s="182"/>
      <c r="MM35" s="182"/>
      <c r="MN35" s="182"/>
      <c r="MO35" s="182"/>
      <c r="MP35" s="182"/>
      <c r="MQ35" s="182"/>
      <c r="MR35" s="182"/>
      <c r="MS35" s="182"/>
      <c r="MT35" s="182"/>
      <c r="MU35" s="182"/>
      <c r="MV35" s="182"/>
      <c r="MW35" s="182"/>
      <c r="MX35" s="182"/>
      <c r="MY35" s="182"/>
      <c r="MZ35" s="182"/>
      <c r="NA35" s="182"/>
      <c r="NB35" s="182"/>
      <c r="NC35" s="182"/>
      <c r="ND35" s="182"/>
      <c r="NE35" s="182"/>
      <c r="NF35" s="182"/>
      <c r="NG35" s="182"/>
      <c r="NH35" s="182"/>
      <c r="NI35" s="182"/>
      <c r="NJ35" s="182"/>
      <c r="NK35" s="182"/>
      <c r="NL35" s="182"/>
      <c r="NM35" s="182"/>
      <c r="NN35" s="182"/>
      <c r="NO35" s="182"/>
      <c r="NP35" s="182"/>
      <c r="NQ35" s="182"/>
      <c r="NR35" s="182"/>
      <c r="NS35" s="182"/>
      <c r="NT35" s="182"/>
      <c r="NU35" s="182"/>
      <c r="NV35" s="182"/>
      <c r="NW35" s="182"/>
      <c r="NX35" s="182"/>
      <c r="NY35" s="182"/>
      <c r="NZ35" s="182"/>
      <c r="OA35" s="182"/>
      <c r="OB35" s="182"/>
      <c r="OC35" s="182"/>
      <c r="OD35" s="182"/>
      <c r="OE35" s="182"/>
      <c r="OF35" s="182"/>
      <c r="OG35" s="182"/>
      <c r="OH35" s="182"/>
      <c r="OI35" s="182"/>
      <c r="OJ35" s="182"/>
      <c r="OK35" s="182"/>
      <c r="OL35" s="182"/>
      <c r="OM35" s="182"/>
      <c r="ON35" s="182"/>
      <c r="OO35" s="182"/>
      <c r="OP35" s="182"/>
      <c r="OQ35" s="182"/>
      <c r="OR35" s="182"/>
      <c r="OS35" s="182"/>
      <c r="OT35" s="182"/>
      <c r="OU35" s="182"/>
      <c r="OV35" s="182"/>
      <c r="OW35" s="182"/>
      <c r="OX35" s="182"/>
      <c r="OY35" s="182"/>
      <c r="OZ35" s="182"/>
      <c r="PA35" s="182"/>
      <c r="PB35" s="182"/>
      <c r="PC35" s="182"/>
      <c r="PD35" s="182"/>
      <c r="PE35" s="182"/>
      <c r="PF35" s="182"/>
      <c r="PG35" s="182"/>
      <c r="PH35" s="182"/>
      <c r="PI35" s="182"/>
      <c r="PJ35" s="182"/>
      <c r="PK35" s="182"/>
      <c r="PL35" s="182"/>
      <c r="PM35" s="182"/>
      <c r="PN35" s="182"/>
      <c r="PO35" s="182"/>
      <c r="PP35" s="182"/>
      <c r="PQ35" s="182"/>
      <c r="PR35" s="182"/>
      <c r="PS35" s="182"/>
      <c r="PT35" s="182"/>
      <c r="PU35" s="182"/>
      <c r="PV35" s="182"/>
      <c r="PW35" s="182"/>
      <c r="PX35" s="182"/>
      <c r="PY35" s="182"/>
      <c r="PZ35" s="182"/>
      <c r="QA35" s="182"/>
      <c r="QB35" s="182"/>
      <c r="QC35" s="182"/>
      <c r="QD35" s="182"/>
      <c r="QE35" s="182"/>
      <c r="QF35" s="182"/>
      <c r="QG35" s="182"/>
      <c r="QH35" s="182"/>
      <c r="QI35" s="182"/>
      <c r="QJ35" s="182"/>
      <c r="QK35" s="182"/>
      <c r="QL35" s="182"/>
      <c r="QM35" s="182"/>
      <c r="QN35" s="182"/>
      <c r="QO35" s="182"/>
      <c r="QP35" s="182"/>
      <c r="QQ35" s="182"/>
      <c r="QR35" s="182"/>
      <c r="QS35" s="182"/>
      <c r="QT35" s="182"/>
      <c r="QU35" s="182"/>
      <c r="QV35" s="182"/>
      <c r="QW35" s="182"/>
      <c r="QX35" s="182"/>
      <c r="QY35" s="182"/>
      <c r="QZ35" s="182"/>
      <c r="RA35" s="182"/>
      <c r="RB35" s="182"/>
      <c r="RC35" s="182"/>
      <c r="RD35" s="182"/>
      <c r="RE35" s="182"/>
      <c r="RF35" s="182"/>
      <c r="RG35" s="182"/>
      <c r="RH35" s="182"/>
      <c r="RI35" s="182"/>
      <c r="RJ35" s="182"/>
      <c r="RK35" s="182"/>
      <c r="RL35" s="182"/>
      <c r="RM35" s="182"/>
      <c r="RN35" s="182"/>
      <c r="RO35" s="182"/>
      <c r="RP35" s="182"/>
      <c r="RQ35" s="182"/>
      <c r="RR35" s="182"/>
      <c r="RS35" s="182"/>
      <c r="RT35" s="182"/>
      <c r="RU35" s="182"/>
      <c r="RV35" s="182"/>
      <c r="RW35" s="182"/>
      <c r="RX35" s="182"/>
      <c r="RY35" s="182"/>
      <c r="RZ35" s="182"/>
      <c r="SA35" s="182"/>
      <c r="SB35" s="182"/>
      <c r="SC35" s="182"/>
      <c r="SD35" s="182"/>
      <c r="SE35" s="182"/>
      <c r="SF35" s="182"/>
      <c r="SG35" s="182"/>
      <c r="SH35" s="182"/>
      <c r="SI35" s="182"/>
      <c r="SJ35" s="182"/>
      <c r="SK35" s="182"/>
      <c r="SL35" s="182"/>
      <c r="SM35" s="182"/>
      <c r="SN35" s="182"/>
      <c r="SO35" s="182"/>
      <c r="SP35" s="182"/>
      <c r="SQ35" s="182"/>
      <c r="SR35" s="182"/>
      <c r="SS35" s="182"/>
      <c r="ST35" s="182"/>
      <c r="SU35" s="182"/>
      <c r="SV35" s="182"/>
      <c r="SW35" s="182"/>
      <c r="SX35" s="182"/>
      <c r="SY35" s="182"/>
      <c r="SZ35" s="182"/>
      <c r="TA35" s="182"/>
      <c r="TB35" s="182"/>
      <c r="TC35" s="182"/>
      <c r="TD35" s="182"/>
      <c r="TE35" s="182"/>
      <c r="TF35" s="182"/>
      <c r="TG35" s="182"/>
      <c r="TH35" s="182"/>
      <c r="TI35" s="182"/>
      <c r="TJ35" s="182"/>
      <c r="TK35" s="182"/>
      <c r="TL35" s="182"/>
      <c r="TM35" s="182"/>
      <c r="TN35" s="182"/>
      <c r="TO35" s="182"/>
      <c r="TP35" s="182"/>
      <c r="TQ35" s="182"/>
      <c r="TR35" s="182"/>
      <c r="TS35" s="182"/>
      <c r="TT35" s="182"/>
      <c r="TU35" s="182"/>
      <c r="TV35" s="182"/>
      <c r="TW35" s="182"/>
      <c r="TX35" s="182"/>
      <c r="TY35" s="182"/>
      <c r="TZ35" s="182"/>
      <c r="UA35" s="182"/>
      <c r="UB35" s="182"/>
      <c r="UC35" s="182"/>
      <c r="UD35" s="182"/>
      <c r="UE35" s="182"/>
      <c r="UF35" s="182"/>
      <c r="UG35" s="182"/>
      <c r="UH35" s="182"/>
      <c r="UI35" s="182"/>
      <c r="UJ35" s="182"/>
      <c r="UK35" s="182"/>
      <c r="UL35" s="182"/>
      <c r="UM35" s="182"/>
      <c r="UN35" s="182"/>
      <c r="UO35" s="182"/>
      <c r="UP35" s="182"/>
      <c r="UQ35" s="182"/>
      <c r="UR35" s="182"/>
      <c r="US35" s="182"/>
      <c r="UT35" s="182"/>
      <c r="UU35" s="182"/>
      <c r="UV35" s="182"/>
      <c r="UW35" s="182"/>
      <c r="UX35" s="182"/>
      <c r="UY35" s="182"/>
      <c r="UZ35" s="182"/>
      <c r="VA35" s="182"/>
      <c r="VB35" s="182"/>
      <c r="VC35" s="182"/>
      <c r="VD35" s="182"/>
      <c r="VE35" s="182"/>
      <c r="VF35" s="182"/>
      <c r="VG35" s="182"/>
      <c r="VH35" s="182"/>
      <c r="VI35" s="182"/>
      <c r="VJ35" s="182"/>
      <c r="VK35" s="182"/>
      <c r="VL35" s="182"/>
      <c r="VM35" s="182"/>
      <c r="VN35" s="182"/>
      <c r="VO35" s="182"/>
      <c r="VP35" s="182"/>
      <c r="VQ35" s="182"/>
      <c r="VR35" s="182"/>
      <c r="VS35" s="182"/>
      <c r="VT35" s="182"/>
      <c r="VU35" s="182"/>
      <c r="VV35" s="182"/>
      <c r="VW35" s="182"/>
      <c r="VX35" s="182"/>
      <c r="VY35" s="182"/>
      <c r="VZ35" s="182"/>
      <c r="WA35" s="182"/>
      <c r="WB35" s="182"/>
      <c r="WC35" s="182"/>
      <c r="WD35" s="182"/>
      <c r="WE35" s="182"/>
      <c r="WF35" s="182"/>
      <c r="WG35" s="182"/>
      <c r="WH35" s="182"/>
      <c r="WI35" s="182"/>
      <c r="WJ35" s="182"/>
      <c r="WK35" s="182"/>
      <c r="WL35" s="182"/>
      <c r="WM35" s="182"/>
      <c r="WN35" s="182"/>
      <c r="WO35" s="182"/>
      <c r="WP35" s="182"/>
      <c r="WQ35" s="182"/>
      <c r="WR35" s="182"/>
      <c r="WS35" s="182"/>
      <c r="WT35" s="182"/>
      <c r="WU35" s="182"/>
      <c r="WV35" s="182"/>
      <c r="WW35" s="182"/>
      <c r="WX35" s="182"/>
      <c r="WY35" s="182"/>
      <c r="WZ35" s="182"/>
      <c r="XA35" s="182"/>
      <c r="XB35" s="182"/>
      <c r="XC35" s="182"/>
      <c r="XD35" s="182"/>
      <c r="XE35" s="182"/>
      <c r="XF35" s="182"/>
      <c r="XG35" s="182"/>
      <c r="XH35" s="182"/>
      <c r="XI35" s="182"/>
      <c r="XJ35" s="182"/>
      <c r="XK35" s="182"/>
      <c r="XL35" s="182"/>
      <c r="XM35" s="182"/>
      <c r="XN35" s="182"/>
      <c r="XO35" s="182"/>
      <c r="XP35" s="182"/>
      <c r="XQ35" s="182"/>
      <c r="XR35" s="182"/>
      <c r="XS35" s="182"/>
      <c r="XT35" s="182"/>
      <c r="XU35" s="182"/>
      <c r="XV35" s="182"/>
      <c r="XW35" s="182"/>
      <c r="XX35" s="182"/>
      <c r="XY35" s="182"/>
      <c r="XZ35" s="182"/>
      <c r="YA35" s="182"/>
      <c r="YB35" s="182"/>
      <c r="YC35" s="182"/>
      <c r="YD35" s="182"/>
      <c r="YE35" s="182"/>
      <c r="YF35" s="182"/>
      <c r="YG35" s="182"/>
      <c r="YH35" s="182"/>
      <c r="YI35" s="182"/>
      <c r="YJ35" s="182"/>
      <c r="YK35" s="182"/>
      <c r="YL35" s="182"/>
      <c r="YM35" s="182"/>
      <c r="YN35" s="182"/>
      <c r="YO35" s="182"/>
      <c r="YP35" s="182"/>
      <c r="YQ35" s="182"/>
      <c r="YR35" s="182"/>
      <c r="YS35" s="182"/>
      <c r="YT35" s="182"/>
      <c r="YU35" s="182"/>
      <c r="YV35" s="182"/>
      <c r="YW35" s="182"/>
      <c r="YX35" s="182"/>
      <c r="YY35" s="182"/>
      <c r="YZ35" s="182"/>
      <c r="ZA35" s="182"/>
      <c r="ZB35" s="182"/>
      <c r="ZC35" s="182"/>
      <c r="ZD35" s="182"/>
      <c r="ZE35" s="182"/>
      <c r="ZF35" s="182"/>
      <c r="ZG35" s="182"/>
      <c r="ZH35" s="182"/>
      <c r="ZI35" s="182"/>
      <c r="ZJ35" s="182"/>
      <c r="ZK35" s="182"/>
      <c r="ZL35" s="182"/>
      <c r="ZM35" s="182"/>
      <c r="ZN35" s="182"/>
      <c r="ZO35" s="182"/>
      <c r="ZP35" s="182"/>
      <c r="ZQ35" s="182"/>
      <c r="ZR35" s="182"/>
      <c r="ZS35" s="182"/>
      <c r="ZT35" s="182"/>
      <c r="ZU35" s="182"/>
      <c r="ZV35" s="182"/>
      <c r="ZW35" s="182"/>
      <c r="ZX35" s="182"/>
      <c r="ZY35" s="182"/>
      <c r="ZZ35" s="182"/>
      <c r="AAA35" s="182"/>
      <c r="AAB35" s="182"/>
      <c r="AAC35" s="182"/>
      <c r="AAD35" s="182"/>
      <c r="AAE35" s="182"/>
      <c r="AAF35" s="182"/>
      <c r="AAG35" s="182"/>
      <c r="AAH35" s="182"/>
      <c r="AAI35" s="182"/>
      <c r="AAJ35" s="182"/>
      <c r="AAK35" s="182"/>
      <c r="AAL35" s="182"/>
      <c r="AAM35" s="182"/>
      <c r="AAN35" s="182"/>
      <c r="AAO35" s="182"/>
      <c r="AAP35" s="182"/>
      <c r="AAQ35" s="182"/>
      <c r="AAR35" s="182"/>
      <c r="AAS35" s="182"/>
      <c r="AAT35" s="182"/>
      <c r="AAU35" s="182"/>
      <c r="AAV35" s="182"/>
      <c r="AAW35" s="182"/>
      <c r="AAX35" s="182"/>
      <c r="AAY35" s="182"/>
      <c r="AAZ35" s="182"/>
      <c r="ABA35" s="182"/>
      <c r="ABB35" s="182"/>
      <c r="ABC35" s="182"/>
      <c r="ABD35" s="182"/>
      <c r="ABE35" s="182"/>
      <c r="ABF35" s="182"/>
      <c r="ABG35" s="182"/>
      <c r="ABH35" s="182"/>
      <c r="ABI35" s="182"/>
      <c r="ABJ35" s="182"/>
      <c r="ABK35" s="182"/>
      <c r="ABL35" s="182"/>
      <c r="ABM35" s="182"/>
      <c r="ABN35" s="182"/>
      <c r="ABO35" s="182"/>
      <c r="ABP35" s="182"/>
      <c r="ABQ35" s="182"/>
      <c r="ABR35" s="182"/>
      <c r="ABS35" s="182"/>
      <c r="ABT35" s="182"/>
      <c r="ABU35" s="182"/>
      <c r="ABV35" s="182"/>
      <c r="ABW35" s="182"/>
      <c r="ABX35" s="182"/>
      <c r="ABY35" s="182"/>
      <c r="ABZ35" s="182"/>
      <c r="ACA35" s="182"/>
      <c r="ACB35" s="182"/>
      <c r="ACC35" s="182"/>
      <c r="ACD35" s="182"/>
      <c r="ACE35" s="182"/>
      <c r="ACF35" s="182"/>
      <c r="ACG35" s="182"/>
      <c r="ACH35" s="182"/>
      <c r="ACI35" s="182"/>
      <c r="ACJ35" s="182"/>
      <c r="ACK35" s="182"/>
      <c r="ACL35" s="182"/>
      <c r="ACM35" s="182"/>
      <c r="ACN35" s="182"/>
      <c r="ACO35" s="182"/>
      <c r="ACP35" s="182"/>
      <c r="ACQ35" s="182"/>
      <c r="ACR35" s="182"/>
      <c r="ACS35" s="182"/>
      <c r="ACT35" s="182"/>
      <c r="ACU35" s="182"/>
      <c r="ACV35" s="182"/>
      <c r="ACW35" s="182"/>
      <c r="ACX35" s="182"/>
      <c r="ACY35" s="182"/>
      <c r="ACZ35" s="182"/>
      <c r="ADA35" s="182"/>
      <c r="ADB35" s="182"/>
      <c r="ADC35" s="182"/>
      <c r="ADD35" s="182"/>
      <c r="ADE35" s="182"/>
      <c r="ADF35" s="182"/>
      <c r="ADG35" s="182"/>
      <c r="ADH35" s="182"/>
      <c r="ADI35" s="182"/>
      <c r="ADJ35" s="182"/>
      <c r="ADK35" s="182"/>
      <c r="ADL35" s="182"/>
      <c r="ADM35" s="182"/>
      <c r="ADN35" s="182"/>
      <c r="ADO35" s="182"/>
      <c r="ADP35" s="182"/>
      <c r="ADQ35" s="182"/>
      <c r="ADR35" s="182"/>
      <c r="ADS35" s="182"/>
      <c r="ADT35" s="182"/>
      <c r="ADU35" s="182"/>
      <c r="ADV35" s="182"/>
      <c r="ADW35" s="182"/>
      <c r="ADX35" s="182"/>
      <c r="ADY35" s="182"/>
      <c r="ADZ35" s="182"/>
      <c r="AEA35" s="182"/>
      <c r="AEB35" s="182"/>
      <c r="AEC35" s="182"/>
      <c r="AED35" s="182"/>
      <c r="AEE35" s="182"/>
      <c r="AEF35" s="182"/>
      <c r="AEG35" s="182"/>
      <c r="AEH35" s="182"/>
      <c r="AEI35" s="182"/>
      <c r="AEJ35" s="182"/>
      <c r="AEK35" s="182"/>
      <c r="AEL35" s="182"/>
      <c r="AEM35" s="182"/>
      <c r="AEN35" s="182"/>
      <c r="AEO35" s="182"/>
      <c r="AEP35" s="182"/>
      <c r="AEQ35" s="182"/>
      <c r="AER35" s="182"/>
      <c r="AES35" s="182"/>
      <c r="AET35" s="182"/>
      <c r="AEU35" s="182"/>
      <c r="AEV35" s="182"/>
      <c r="AEW35" s="182"/>
      <c r="AEX35" s="182"/>
      <c r="AEY35" s="182"/>
      <c r="AEZ35" s="182"/>
      <c r="AFA35" s="182"/>
      <c r="AFB35" s="182"/>
      <c r="AFC35" s="182"/>
      <c r="AFD35" s="182"/>
      <c r="AFE35" s="182"/>
      <c r="AFF35" s="182"/>
      <c r="AFG35" s="182"/>
      <c r="AFH35" s="182"/>
      <c r="AFI35" s="182"/>
      <c r="AFJ35" s="182"/>
      <c r="AFK35" s="182"/>
      <c r="AFL35" s="182"/>
      <c r="AFM35" s="182"/>
      <c r="AFN35" s="182"/>
      <c r="AFO35" s="182"/>
      <c r="AFP35" s="182"/>
      <c r="AFQ35" s="182"/>
      <c r="AFR35" s="182"/>
      <c r="AFS35" s="182"/>
      <c r="AFT35" s="182"/>
      <c r="AFU35" s="182"/>
      <c r="AFV35" s="182"/>
      <c r="AFW35" s="182"/>
      <c r="AFX35" s="182"/>
      <c r="AFY35" s="182"/>
      <c r="AFZ35" s="182"/>
      <c r="AGA35" s="182"/>
      <c r="AGB35" s="182"/>
      <c r="AGC35" s="182"/>
      <c r="AGD35" s="182"/>
      <c r="AGE35" s="182"/>
      <c r="AGF35" s="182"/>
      <c r="AGG35" s="182"/>
      <c r="AGH35" s="182"/>
      <c r="AGI35" s="182"/>
      <c r="AGJ35" s="182"/>
      <c r="AGK35" s="182"/>
      <c r="AGL35" s="182"/>
      <c r="AGM35" s="182"/>
      <c r="AGN35" s="182"/>
      <c r="AGO35" s="182"/>
      <c r="AGP35" s="182"/>
      <c r="AGQ35" s="182"/>
      <c r="AGR35" s="182"/>
      <c r="AGS35" s="182"/>
      <c r="AGT35" s="182"/>
      <c r="AGU35" s="182"/>
      <c r="AGV35" s="182"/>
      <c r="AGW35" s="182"/>
      <c r="AGX35" s="182"/>
      <c r="AGY35" s="182"/>
      <c r="AGZ35" s="182"/>
      <c r="AHA35" s="182"/>
      <c r="AHB35" s="182"/>
      <c r="AHC35" s="182"/>
      <c r="AHD35" s="182"/>
      <c r="AHE35" s="182"/>
      <c r="AHF35" s="182"/>
      <c r="AHG35" s="182"/>
      <c r="AHH35" s="182"/>
      <c r="AHI35" s="182"/>
      <c r="AHJ35" s="182"/>
      <c r="AHK35" s="182"/>
      <c r="AHL35" s="182"/>
      <c r="AHM35" s="182"/>
      <c r="AHN35" s="182"/>
      <c r="AHO35" s="182"/>
      <c r="AHP35" s="182"/>
      <c r="AHQ35" s="182"/>
      <c r="AHR35" s="182"/>
      <c r="AHS35" s="182"/>
      <c r="AHT35" s="182"/>
      <c r="AHU35" s="182"/>
      <c r="AHV35" s="182"/>
      <c r="AHW35" s="182"/>
      <c r="AHX35" s="182"/>
      <c r="AHY35" s="182"/>
      <c r="AHZ35" s="182"/>
      <c r="AIA35" s="182"/>
      <c r="AIB35" s="182"/>
      <c r="AIC35" s="182"/>
      <c r="AID35" s="182"/>
      <c r="AIE35" s="182"/>
      <c r="AIF35" s="182"/>
      <c r="AIG35" s="182"/>
      <c r="AIH35" s="182"/>
      <c r="AII35" s="182"/>
      <c r="AIJ35" s="182"/>
      <c r="AIK35" s="182"/>
      <c r="AIL35" s="182"/>
      <c r="AIM35" s="182"/>
      <c r="AIN35" s="182"/>
      <c r="AIO35" s="182"/>
      <c r="AIP35" s="182"/>
      <c r="AIQ35" s="182"/>
      <c r="AIR35" s="182"/>
      <c r="AIS35" s="182"/>
      <c r="AIT35" s="182"/>
      <c r="AIU35" s="182"/>
      <c r="AIV35" s="182"/>
      <c r="AIW35" s="182"/>
      <c r="AIX35" s="182"/>
      <c r="AIY35" s="182"/>
      <c r="AIZ35" s="182"/>
      <c r="AJA35" s="182"/>
      <c r="AJB35" s="182"/>
      <c r="AJC35" s="182"/>
      <c r="AJD35" s="182"/>
      <c r="AJE35" s="182"/>
      <c r="AJF35" s="182"/>
      <c r="AJG35" s="182"/>
      <c r="AJH35" s="182"/>
      <c r="AJI35" s="182"/>
      <c r="AJJ35" s="182"/>
      <c r="AJK35" s="182"/>
      <c r="AJL35" s="182"/>
      <c r="AJM35" s="182"/>
      <c r="AJN35" s="182"/>
      <c r="AJO35" s="182"/>
      <c r="AJP35" s="182"/>
      <c r="AJQ35" s="182"/>
      <c r="AJR35" s="182"/>
      <c r="AJS35" s="182"/>
      <c r="AJT35" s="182"/>
      <c r="AJU35" s="182"/>
      <c r="AJV35" s="182"/>
      <c r="AJW35" s="182"/>
      <c r="AJX35" s="182"/>
      <c r="AJY35" s="182"/>
      <c r="AJZ35" s="182"/>
      <c r="AKA35" s="182"/>
      <c r="AKB35" s="182"/>
      <c r="AKC35" s="182"/>
      <c r="AKD35" s="182"/>
      <c r="AKE35" s="182"/>
      <c r="AKF35" s="182"/>
      <c r="AKG35" s="182"/>
      <c r="AKH35" s="182"/>
      <c r="AKI35" s="182"/>
      <c r="AKJ35" s="182"/>
      <c r="AKK35" s="182"/>
      <c r="AKL35" s="182"/>
      <c r="AKM35" s="182"/>
      <c r="AKN35" s="182"/>
      <c r="AKO35" s="182"/>
      <c r="AKP35" s="182"/>
      <c r="AKQ35" s="182"/>
      <c r="AKR35" s="182"/>
      <c r="AKS35" s="182"/>
      <c r="AKT35" s="182"/>
      <c r="AKU35" s="182"/>
      <c r="AKV35" s="182"/>
      <c r="AKW35" s="182"/>
      <c r="AKX35" s="182"/>
      <c r="AKY35" s="182"/>
      <c r="AKZ35" s="182"/>
      <c r="ALA35" s="182"/>
      <c r="ALB35" s="182"/>
      <c r="ALC35" s="182"/>
      <c r="ALD35" s="182"/>
      <c r="ALE35" s="182"/>
      <c r="ALF35" s="182"/>
      <c r="ALG35" s="182"/>
      <c r="ALH35" s="182"/>
      <c r="ALI35" s="182"/>
      <c r="ALJ35" s="182"/>
      <c r="ALK35" s="182"/>
      <c r="ALL35" s="182"/>
      <c r="ALM35" s="182"/>
      <c r="ALN35" s="182"/>
      <c r="ALO35" s="182"/>
      <c r="ALP35" s="182"/>
      <c r="ALQ35" s="182"/>
      <c r="ALR35" s="182"/>
      <c r="ALS35" s="182"/>
      <c r="ALT35" s="182"/>
      <c r="ALU35" s="182"/>
      <c r="ALV35" s="182"/>
      <c r="ALW35" s="182"/>
      <c r="ALX35" s="182"/>
      <c r="ALY35" s="182"/>
      <c r="ALZ35" s="182"/>
      <c r="AMA35" s="182"/>
      <c r="AMB35" s="182"/>
      <c r="AMC35" s="182"/>
      <c r="AMD35" s="182"/>
      <c r="AME35" s="182"/>
      <c r="AMF35" s="182"/>
      <c r="AMG35" s="182"/>
      <c r="AMH35" s="182"/>
      <c r="AMI35" s="182"/>
      <c r="AMJ35" s="182"/>
      <c r="AMK35" s="182"/>
    </row>
    <row r="36" spans="1:1025" s="413" customFormat="1" ht="8.25" x14ac:dyDescent="0.15">
      <c r="A36" s="182"/>
      <c r="B36" s="638" t="s">
        <v>766</v>
      </c>
      <c r="C36" s="262" t="s">
        <v>2626</v>
      </c>
      <c r="D36" s="639"/>
      <c r="E36" s="639"/>
      <c r="F36" s="639"/>
      <c r="G36" s="639"/>
      <c r="H36" s="640"/>
      <c r="I36" s="639"/>
      <c r="J36" s="640">
        <f>Exec_Orç!K19</f>
        <v>10351906.34</v>
      </c>
      <c r="K36" s="450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2"/>
      <c r="BE36" s="182"/>
      <c r="BF36" s="182"/>
      <c r="BG36" s="182"/>
      <c r="BH36" s="182"/>
      <c r="BI36" s="182"/>
      <c r="BJ36" s="182"/>
      <c r="BK36" s="182"/>
      <c r="BL36" s="182"/>
      <c r="BM36" s="182"/>
      <c r="BN36" s="182"/>
      <c r="BO36" s="182"/>
      <c r="BP36" s="182"/>
      <c r="BQ36" s="182"/>
      <c r="BR36" s="182"/>
      <c r="BS36" s="182"/>
      <c r="BT36" s="182"/>
      <c r="BU36" s="182"/>
      <c r="BV36" s="182"/>
      <c r="BW36" s="182"/>
      <c r="BX36" s="182"/>
      <c r="BY36" s="182"/>
      <c r="BZ36" s="182"/>
      <c r="CA36" s="182"/>
      <c r="CB36" s="182"/>
      <c r="CC36" s="182"/>
      <c r="CD36" s="182"/>
      <c r="CE36" s="182"/>
      <c r="CF36" s="182"/>
      <c r="CG36" s="182"/>
      <c r="CH36" s="182"/>
      <c r="CI36" s="182"/>
      <c r="CJ36" s="182"/>
      <c r="CK36" s="182"/>
      <c r="CL36" s="182"/>
      <c r="CM36" s="182"/>
      <c r="CN36" s="182"/>
      <c r="CO36" s="182"/>
      <c r="CP36" s="182"/>
      <c r="CQ36" s="182"/>
      <c r="CR36" s="182"/>
      <c r="CS36" s="182"/>
      <c r="CT36" s="182"/>
      <c r="CU36" s="182"/>
      <c r="CV36" s="182"/>
      <c r="CW36" s="182"/>
      <c r="CX36" s="182"/>
      <c r="CY36" s="182"/>
      <c r="CZ36" s="182"/>
      <c r="DA36" s="182"/>
      <c r="DB36" s="182"/>
      <c r="DC36" s="182"/>
      <c r="DD36" s="182"/>
      <c r="DE36" s="182"/>
      <c r="DF36" s="182"/>
      <c r="DG36" s="182"/>
      <c r="DH36" s="182"/>
      <c r="DI36" s="182"/>
      <c r="DJ36" s="182"/>
      <c r="DK36" s="182"/>
      <c r="DL36" s="182"/>
      <c r="DM36" s="182"/>
      <c r="DN36" s="182"/>
      <c r="DO36" s="182"/>
      <c r="DP36" s="182"/>
      <c r="DQ36" s="182"/>
      <c r="DR36" s="182"/>
      <c r="DS36" s="182"/>
      <c r="DT36" s="182"/>
      <c r="DU36" s="182"/>
      <c r="DV36" s="182"/>
      <c r="DW36" s="182"/>
      <c r="DX36" s="182"/>
      <c r="DY36" s="182"/>
      <c r="DZ36" s="182"/>
      <c r="EA36" s="182"/>
      <c r="EB36" s="182"/>
      <c r="EC36" s="182"/>
      <c r="ED36" s="182"/>
      <c r="EE36" s="182"/>
      <c r="EF36" s="182"/>
      <c r="EG36" s="182"/>
      <c r="EH36" s="182"/>
      <c r="EI36" s="182"/>
      <c r="EJ36" s="182"/>
      <c r="EK36" s="182"/>
      <c r="EL36" s="182"/>
      <c r="EM36" s="182"/>
      <c r="EN36" s="182"/>
      <c r="EO36" s="182"/>
      <c r="EP36" s="182"/>
      <c r="EQ36" s="182"/>
      <c r="ER36" s="182"/>
      <c r="ES36" s="182"/>
      <c r="ET36" s="182"/>
      <c r="EU36" s="182"/>
      <c r="EV36" s="182"/>
      <c r="EW36" s="182"/>
      <c r="EX36" s="182"/>
      <c r="EY36" s="182"/>
      <c r="EZ36" s="182"/>
      <c r="FA36" s="182"/>
      <c r="FB36" s="182"/>
      <c r="FC36" s="182"/>
      <c r="FD36" s="182"/>
      <c r="FE36" s="182"/>
      <c r="FF36" s="182"/>
      <c r="FG36" s="182"/>
      <c r="FH36" s="182"/>
      <c r="FI36" s="182"/>
      <c r="FJ36" s="182"/>
      <c r="FK36" s="182"/>
      <c r="FL36" s="182"/>
      <c r="FM36" s="182"/>
      <c r="FN36" s="182"/>
      <c r="FO36" s="182"/>
      <c r="FP36" s="182"/>
      <c r="FQ36" s="182"/>
      <c r="FR36" s="182"/>
      <c r="FS36" s="182"/>
      <c r="FT36" s="182"/>
      <c r="FU36" s="182"/>
      <c r="FV36" s="182"/>
      <c r="FW36" s="182"/>
      <c r="FX36" s="182"/>
      <c r="FY36" s="182"/>
      <c r="FZ36" s="182"/>
      <c r="GA36" s="182"/>
      <c r="GB36" s="182"/>
      <c r="GC36" s="182"/>
      <c r="GD36" s="182"/>
      <c r="GE36" s="182"/>
      <c r="GF36" s="182"/>
      <c r="GG36" s="182"/>
      <c r="GH36" s="182"/>
      <c r="GI36" s="182"/>
      <c r="GJ36" s="182"/>
      <c r="GK36" s="182"/>
      <c r="GL36" s="182"/>
      <c r="GM36" s="182"/>
      <c r="GN36" s="182"/>
      <c r="GO36" s="182"/>
      <c r="GP36" s="182"/>
      <c r="GQ36" s="182"/>
      <c r="GR36" s="182"/>
      <c r="GS36" s="182"/>
      <c r="GT36" s="182"/>
      <c r="GU36" s="182"/>
      <c r="GV36" s="182"/>
      <c r="GW36" s="182"/>
      <c r="GX36" s="182"/>
      <c r="GY36" s="182"/>
      <c r="GZ36" s="182"/>
      <c r="HA36" s="182"/>
      <c r="HB36" s="182"/>
      <c r="HC36" s="182"/>
      <c r="HD36" s="182"/>
      <c r="HE36" s="182"/>
      <c r="HF36" s="182"/>
      <c r="HG36" s="182"/>
      <c r="HH36" s="182"/>
      <c r="HI36" s="182"/>
      <c r="HJ36" s="182"/>
      <c r="HK36" s="182"/>
      <c r="HL36" s="182"/>
      <c r="HM36" s="182"/>
      <c r="HN36" s="182"/>
      <c r="HO36" s="182"/>
      <c r="HP36" s="182"/>
      <c r="HQ36" s="182"/>
      <c r="HR36" s="182"/>
      <c r="HS36" s="182"/>
      <c r="HT36" s="182"/>
      <c r="HU36" s="182"/>
      <c r="HV36" s="182"/>
      <c r="HW36" s="182"/>
      <c r="HX36" s="182"/>
      <c r="HY36" s="182"/>
      <c r="HZ36" s="182"/>
      <c r="IA36" s="182"/>
      <c r="IB36" s="182"/>
      <c r="IC36" s="182"/>
      <c r="ID36" s="182"/>
      <c r="IE36" s="182"/>
      <c r="IF36" s="182"/>
      <c r="IG36" s="182"/>
      <c r="IH36" s="182"/>
      <c r="II36" s="182"/>
      <c r="IJ36" s="182"/>
      <c r="IK36" s="182"/>
      <c r="IL36" s="182"/>
      <c r="IM36" s="182"/>
      <c r="IN36" s="182"/>
      <c r="IO36" s="182"/>
      <c r="IP36" s="182"/>
      <c r="IQ36" s="182"/>
      <c r="IR36" s="182"/>
      <c r="IS36" s="182"/>
      <c r="IT36" s="182"/>
      <c r="IU36" s="182"/>
      <c r="IV36" s="182"/>
      <c r="IW36" s="182"/>
      <c r="IX36" s="182"/>
      <c r="IY36" s="182"/>
      <c r="IZ36" s="182"/>
      <c r="JA36" s="182"/>
      <c r="JB36" s="182"/>
      <c r="JC36" s="182"/>
      <c r="JD36" s="182"/>
      <c r="JE36" s="182"/>
      <c r="JF36" s="182"/>
      <c r="JG36" s="182"/>
      <c r="JH36" s="182"/>
      <c r="JI36" s="182"/>
      <c r="JJ36" s="182"/>
      <c r="JK36" s="182"/>
      <c r="JL36" s="182"/>
      <c r="JM36" s="182"/>
      <c r="JN36" s="182"/>
      <c r="JO36" s="182"/>
      <c r="JP36" s="182"/>
      <c r="JQ36" s="182"/>
      <c r="JR36" s="182"/>
      <c r="JS36" s="182"/>
      <c r="JT36" s="182"/>
      <c r="JU36" s="182"/>
      <c r="JV36" s="182"/>
      <c r="JW36" s="182"/>
      <c r="JX36" s="182"/>
      <c r="JY36" s="182"/>
      <c r="JZ36" s="182"/>
      <c r="KA36" s="182"/>
      <c r="KB36" s="182"/>
      <c r="KC36" s="182"/>
      <c r="KD36" s="182"/>
      <c r="KE36" s="182"/>
      <c r="KF36" s="182"/>
      <c r="KG36" s="182"/>
      <c r="KH36" s="182"/>
      <c r="KI36" s="182"/>
      <c r="KJ36" s="182"/>
      <c r="KK36" s="182"/>
      <c r="KL36" s="182"/>
      <c r="KM36" s="182"/>
      <c r="KN36" s="182"/>
      <c r="KO36" s="182"/>
      <c r="KP36" s="182"/>
      <c r="KQ36" s="182"/>
      <c r="KR36" s="182"/>
      <c r="KS36" s="182"/>
      <c r="KT36" s="182"/>
      <c r="KU36" s="182"/>
      <c r="KV36" s="182"/>
      <c r="KW36" s="182"/>
      <c r="KX36" s="182"/>
      <c r="KY36" s="182"/>
      <c r="KZ36" s="182"/>
      <c r="LA36" s="182"/>
      <c r="LB36" s="182"/>
      <c r="LC36" s="182"/>
      <c r="LD36" s="182"/>
      <c r="LE36" s="182"/>
      <c r="LF36" s="182"/>
      <c r="LG36" s="182"/>
      <c r="LH36" s="182"/>
      <c r="LI36" s="182"/>
      <c r="LJ36" s="182"/>
      <c r="LK36" s="182"/>
      <c r="LL36" s="182"/>
      <c r="LM36" s="182"/>
      <c r="LN36" s="182"/>
      <c r="LO36" s="182"/>
      <c r="LP36" s="182"/>
      <c r="LQ36" s="182"/>
      <c r="LR36" s="182"/>
      <c r="LS36" s="182"/>
      <c r="LT36" s="182"/>
      <c r="LU36" s="182"/>
      <c r="LV36" s="182"/>
      <c r="LW36" s="182"/>
      <c r="LX36" s="182"/>
      <c r="LY36" s="182"/>
      <c r="LZ36" s="182"/>
      <c r="MA36" s="182"/>
      <c r="MB36" s="182"/>
      <c r="MC36" s="182"/>
      <c r="MD36" s="182"/>
      <c r="ME36" s="182"/>
      <c r="MF36" s="182"/>
      <c r="MG36" s="182"/>
      <c r="MH36" s="182"/>
      <c r="MI36" s="182"/>
      <c r="MJ36" s="182"/>
      <c r="MK36" s="182"/>
      <c r="ML36" s="182"/>
      <c r="MM36" s="182"/>
      <c r="MN36" s="182"/>
      <c r="MO36" s="182"/>
      <c r="MP36" s="182"/>
      <c r="MQ36" s="182"/>
      <c r="MR36" s="182"/>
      <c r="MS36" s="182"/>
      <c r="MT36" s="182"/>
      <c r="MU36" s="182"/>
      <c r="MV36" s="182"/>
      <c r="MW36" s="182"/>
      <c r="MX36" s="182"/>
      <c r="MY36" s="182"/>
      <c r="MZ36" s="182"/>
      <c r="NA36" s="182"/>
      <c r="NB36" s="182"/>
      <c r="NC36" s="182"/>
      <c r="ND36" s="182"/>
      <c r="NE36" s="182"/>
      <c r="NF36" s="182"/>
      <c r="NG36" s="182"/>
      <c r="NH36" s="182"/>
      <c r="NI36" s="182"/>
      <c r="NJ36" s="182"/>
      <c r="NK36" s="182"/>
      <c r="NL36" s="182"/>
      <c r="NM36" s="182"/>
      <c r="NN36" s="182"/>
      <c r="NO36" s="182"/>
      <c r="NP36" s="182"/>
      <c r="NQ36" s="182"/>
      <c r="NR36" s="182"/>
      <c r="NS36" s="182"/>
      <c r="NT36" s="182"/>
      <c r="NU36" s="182"/>
      <c r="NV36" s="182"/>
      <c r="NW36" s="182"/>
      <c r="NX36" s="182"/>
      <c r="NY36" s="182"/>
      <c r="NZ36" s="182"/>
      <c r="OA36" s="182"/>
      <c r="OB36" s="182"/>
      <c r="OC36" s="182"/>
      <c r="OD36" s="182"/>
      <c r="OE36" s="182"/>
      <c r="OF36" s="182"/>
      <c r="OG36" s="182"/>
      <c r="OH36" s="182"/>
      <c r="OI36" s="182"/>
      <c r="OJ36" s="182"/>
      <c r="OK36" s="182"/>
      <c r="OL36" s="182"/>
      <c r="OM36" s="182"/>
      <c r="ON36" s="182"/>
      <c r="OO36" s="182"/>
      <c r="OP36" s="182"/>
      <c r="OQ36" s="182"/>
      <c r="OR36" s="182"/>
      <c r="OS36" s="182"/>
      <c r="OT36" s="182"/>
      <c r="OU36" s="182"/>
      <c r="OV36" s="182"/>
      <c r="OW36" s="182"/>
      <c r="OX36" s="182"/>
      <c r="OY36" s="182"/>
      <c r="OZ36" s="182"/>
      <c r="PA36" s="182"/>
      <c r="PB36" s="182"/>
      <c r="PC36" s="182"/>
      <c r="PD36" s="182"/>
      <c r="PE36" s="182"/>
      <c r="PF36" s="182"/>
      <c r="PG36" s="182"/>
      <c r="PH36" s="182"/>
      <c r="PI36" s="182"/>
      <c r="PJ36" s="182"/>
      <c r="PK36" s="182"/>
      <c r="PL36" s="182"/>
      <c r="PM36" s="182"/>
      <c r="PN36" s="182"/>
      <c r="PO36" s="182"/>
      <c r="PP36" s="182"/>
      <c r="PQ36" s="182"/>
      <c r="PR36" s="182"/>
      <c r="PS36" s="182"/>
      <c r="PT36" s="182"/>
      <c r="PU36" s="182"/>
      <c r="PV36" s="182"/>
      <c r="PW36" s="182"/>
      <c r="PX36" s="182"/>
      <c r="PY36" s="182"/>
      <c r="PZ36" s="182"/>
      <c r="QA36" s="182"/>
      <c r="QB36" s="182"/>
      <c r="QC36" s="182"/>
      <c r="QD36" s="182"/>
      <c r="QE36" s="182"/>
      <c r="QF36" s="182"/>
      <c r="QG36" s="182"/>
      <c r="QH36" s="182"/>
      <c r="QI36" s="182"/>
      <c r="QJ36" s="182"/>
      <c r="QK36" s="182"/>
      <c r="QL36" s="182"/>
      <c r="QM36" s="182"/>
      <c r="QN36" s="182"/>
      <c r="QO36" s="182"/>
      <c r="QP36" s="182"/>
      <c r="QQ36" s="182"/>
      <c r="QR36" s="182"/>
      <c r="QS36" s="182"/>
      <c r="QT36" s="182"/>
      <c r="QU36" s="182"/>
      <c r="QV36" s="182"/>
      <c r="QW36" s="182"/>
      <c r="QX36" s="182"/>
      <c r="QY36" s="182"/>
      <c r="QZ36" s="182"/>
      <c r="RA36" s="182"/>
      <c r="RB36" s="182"/>
      <c r="RC36" s="182"/>
      <c r="RD36" s="182"/>
      <c r="RE36" s="182"/>
      <c r="RF36" s="182"/>
      <c r="RG36" s="182"/>
      <c r="RH36" s="182"/>
      <c r="RI36" s="182"/>
      <c r="RJ36" s="182"/>
      <c r="RK36" s="182"/>
      <c r="RL36" s="182"/>
      <c r="RM36" s="182"/>
      <c r="RN36" s="182"/>
      <c r="RO36" s="182"/>
      <c r="RP36" s="182"/>
      <c r="RQ36" s="182"/>
      <c r="RR36" s="182"/>
      <c r="RS36" s="182"/>
      <c r="RT36" s="182"/>
      <c r="RU36" s="182"/>
      <c r="RV36" s="182"/>
      <c r="RW36" s="182"/>
      <c r="RX36" s="182"/>
      <c r="RY36" s="182"/>
      <c r="RZ36" s="182"/>
      <c r="SA36" s="182"/>
      <c r="SB36" s="182"/>
      <c r="SC36" s="182"/>
      <c r="SD36" s="182"/>
      <c r="SE36" s="182"/>
      <c r="SF36" s="182"/>
      <c r="SG36" s="182"/>
      <c r="SH36" s="182"/>
      <c r="SI36" s="182"/>
      <c r="SJ36" s="182"/>
      <c r="SK36" s="182"/>
      <c r="SL36" s="182"/>
      <c r="SM36" s="182"/>
      <c r="SN36" s="182"/>
      <c r="SO36" s="182"/>
      <c r="SP36" s="182"/>
      <c r="SQ36" s="182"/>
      <c r="SR36" s="182"/>
      <c r="SS36" s="182"/>
      <c r="ST36" s="182"/>
      <c r="SU36" s="182"/>
      <c r="SV36" s="182"/>
      <c r="SW36" s="182"/>
      <c r="SX36" s="182"/>
      <c r="SY36" s="182"/>
      <c r="SZ36" s="182"/>
      <c r="TA36" s="182"/>
      <c r="TB36" s="182"/>
      <c r="TC36" s="182"/>
      <c r="TD36" s="182"/>
      <c r="TE36" s="182"/>
      <c r="TF36" s="182"/>
      <c r="TG36" s="182"/>
      <c r="TH36" s="182"/>
      <c r="TI36" s="182"/>
      <c r="TJ36" s="182"/>
      <c r="TK36" s="182"/>
      <c r="TL36" s="182"/>
      <c r="TM36" s="182"/>
      <c r="TN36" s="182"/>
      <c r="TO36" s="182"/>
      <c r="TP36" s="182"/>
      <c r="TQ36" s="182"/>
      <c r="TR36" s="182"/>
      <c r="TS36" s="182"/>
      <c r="TT36" s="182"/>
      <c r="TU36" s="182"/>
      <c r="TV36" s="182"/>
      <c r="TW36" s="182"/>
      <c r="TX36" s="182"/>
      <c r="TY36" s="182"/>
      <c r="TZ36" s="182"/>
      <c r="UA36" s="182"/>
      <c r="UB36" s="182"/>
      <c r="UC36" s="182"/>
      <c r="UD36" s="182"/>
      <c r="UE36" s="182"/>
      <c r="UF36" s="182"/>
      <c r="UG36" s="182"/>
      <c r="UH36" s="182"/>
      <c r="UI36" s="182"/>
      <c r="UJ36" s="182"/>
      <c r="UK36" s="182"/>
      <c r="UL36" s="182"/>
      <c r="UM36" s="182"/>
      <c r="UN36" s="182"/>
      <c r="UO36" s="182"/>
      <c r="UP36" s="182"/>
      <c r="UQ36" s="182"/>
      <c r="UR36" s="182"/>
      <c r="US36" s="182"/>
      <c r="UT36" s="182"/>
      <c r="UU36" s="182"/>
      <c r="UV36" s="182"/>
      <c r="UW36" s="182"/>
      <c r="UX36" s="182"/>
      <c r="UY36" s="182"/>
      <c r="UZ36" s="182"/>
      <c r="VA36" s="182"/>
      <c r="VB36" s="182"/>
      <c r="VC36" s="182"/>
      <c r="VD36" s="182"/>
      <c r="VE36" s="182"/>
      <c r="VF36" s="182"/>
      <c r="VG36" s="182"/>
      <c r="VH36" s="182"/>
      <c r="VI36" s="182"/>
      <c r="VJ36" s="182"/>
      <c r="VK36" s="182"/>
      <c r="VL36" s="182"/>
      <c r="VM36" s="182"/>
      <c r="VN36" s="182"/>
      <c r="VO36" s="182"/>
      <c r="VP36" s="182"/>
      <c r="VQ36" s="182"/>
      <c r="VR36" s="182"/>
      <c r="VS36" s="182"/>
      <c r="VT36" s="182"/>
      <c r="VU36" s="182"/>
      <c r="VV36" s="182"/>
      <c r="VW36" s="182"/>
      <c r="VX36" s="182"/>
      <c r="VY36" s="182"/>
      <c r="VZ36" s="182"/>
      <c r="WA36" s="182"/>
      <c r="WB36" s="182"/>
      <c r="WC36" s="182"/>
      <c r="WD36" s="182"/>
      <c r="WE36" s="182"/>
      <c r="WF36" s="182"/>
      <c r="WG36" s="182"/>
      <c r="WH36" s="182"/>
      <c r="WI36" s="182"/>
      <c r="WJ36" s="182"/>
      <c r="WK36" s="182"/>
      <c r="WL36" s="182"/>
      <c r="WM36" s="182"/>
      <c r="WN36" s="182"/>
      <c r="WO36" s="182"/>
      <c r="WP36" s="182"/>
      <c r="WQ36" s="182"/>
      <c r="WR36" s="182"/>
      <c r="WS36" s="182"/>
      <c r="WT36" s="182"/>
      <c r="WU36" s="182"/>
      <c r="WV36" s="182"/>
      <c r="WW36" s="182"/>
      <c r="WX36" s="182"/>
      <c r="WY36" s="182"/>
      <c r="WZ36" s="182"/>
      <c r="XA36" s="182"/>
      <c r="XB36" s="182"/>
      <c r="XC36" s="182"/>
      <c r="XD36" s="182"/>
      <c r="XE36" s="182"/>
      <c r="XF36" s="182"/>
      <c r="XG36" s="182"/>
      <c r="XH36" s="182"/>
      <c r="XI36" s="182"/>
      <c r="XJ36" s="182"/>
      <c r="XK36" s="182"/>
      <c r="XL36" s="182"/>
      <c r="XM36" s="182"/>
      <c r="XN36" s="182"/>
      <c r="XO36" s="182"/>
      <c r="XP36" s="182"/>
      <c r="XQ36" s="182"/>
      <c r="XR36" s="182"/>
      <c r="XS36" s="182"/>
      <c r="XT36" s="182"/>
      <c r="XU36" s="182"/>
      <c r="XV36" s="182"/>
      <c r="XW36" s="182"/>
      <c r="XX36" s="182"/>
      <c r="XY36" s="182"/>
      <c r="XZ36" s="182"/>
      <c r="YA36" s="182"/>
      <c r="YB36" s="182"/>
      <c r="YC36" s="182"/>
      <c r="YD36" s="182"/>
      <c r="YE36" s="182"/>
      <c r="YF36" s="182"/>
      <c r="YG36" s="182"/>
      <c r="YH36" s="182"/>
      <c r="YI36" s="182"/>
      <c r="YJ36" s="182"/>
      <c r="YK36" s="182"/>
      <c r="YL36" s="182"/>
      <c r="YM36" s="182"/>
      <c r="YN36" s="182"/>
      <c r="YO36" s="182"/>
      <c r="YP36" s="182"/>
      <c r="YQ36" s="182"/>
      <c r="YR36" s="182"/>
      <c r="YS36" s="182"/>
      <c r="YT36" s="182"/>
      <c r="YU36" s="182"/>
      <c r="YV36" s="182"/>
      <c r="YW36" s="182"/>
      <c r="YX36" s="182"/>
      <c r="YY36" s="182"/>
      <c r="YZ36" s="182"/>
      <c r="ZA36" s="182"/>
      <c r="ZB36" s="182"/>
      <c r="ZC36" s="182"/>
      <c r="ZD36" s="182"/>
      <c r="ZE36" s="182"/>
      <c r="ZF36" s="182"/>
      <c r="ZG36" s="182"/>
      <c r="ZH36" s="182"/>
      <c r="ZI36" s="182"/>
      <c r="ZJ36" s="182"/>
      <c r="ZK36" s="182"/>
      <c r="ZL36" s="182"/>
      <c r="ZM36" s="182"/>
      <c r="ZN36" s="182"/>
      <c r="ZO36" s="182"/>
      <c r="ZP36" s="182"/>
      <c r="ZQ36" s="182"/>
      <c r="ZR36" s="182"/>
      <c r="ZS36" s="182"/>
      <c r="ZT36" s="182"/>
      <c r="ZU36" s="182"/>
      <c r="ZV36" s="182"/>
      <c r="ZW36" s="182"/>
      <c r="ZX36" s="182"/>
      <c r="ZY36" s="182"/>
      <c r="ZZ36" s="182"/>
      <c r="AAA36" s="182"/>
      <c r="AAB36" s="182"/>
      <c r="AAC36" s="182"/>
      <c r="AAD36" s="182"/>
      <c r="AAE36" s="182"/>
      <c r="AAF36" s="182"/>
      <c r="AAG36" s="182"/>
      <c r="AAH36" s="182"/>
      <c r="AAI36" s="182"/>
      <c r="AAJ36" s="182"/>
      <c r="AAK36" s="182"/>
      <c r="AAL36" s="182"/>
      <c r="AAM36" s="182"/>
      <c r="AAN36" s="182"/>
      <c r="AAO36" s="182"/>
      <c r="AAP36" s="182"/>
      <c r="AAQ36" s="182"/>
      <c r="AAR36" s="182"/>
      <c r="AAS36" s="182"/>
      <c r="AAT36" s="182"/>
      <c r="AAU36" s="182"/>
      <c r="AAV36" s="182"/>
      <c r="AAW36" s="182"/>
      <c r="AAX36" s="182"/>
      <c r="AAY36" s="182"/>
      <c r="AAZ36" s="182"/>
      <c r="ABA36" s="182"/>
      <c r="ABB36" s="182"/>
      <c r="ABC36" s="182"/>
      <c r="ABD36" s="182"/>
      <c r="ABE36" s="182"/>
      <c r="ABF36" s="182"/>
      <c r="ABG36" s="182"/>
      <c r="ABH36" s="182"/>
      <c r="ABI36" s="182"/>
      <c r="ABJ36" s="182"/>
      <c r="ABK36" s="182"/>
      <c r="ABL36" s="182"/>
      <c r="ABM36" s="182"/>
      <c r="ABN36" s="182"/>
      <c r="ABO36" s="182"/>
      <c r="ABP36" s="182"/>
      <c r="ABQ36" s="182"/>
      <c r="ABR36" s="182"/>
      <c r="ABS36" s="182"/>
      <c r="ABT36" s="182"/>
      <c r="ABU36" s="182"/>
      <c r="ABV36" s="182"/>
      <c r="ABW36" s="182"/>
      <c r="ABX36" s="182"/>
      <c r="ABY36" s="182"/>
      <c r="ABZ36" s="182"/>
      <c r="ACA36" s="182"/>
      <c r="ACB36" s="182"/>
      <c r="ACC36" s="182"/>
      <c r="ACD36" s="182"/>
      <c r="ACE36" s="182"/>
      <c r="ACF36" s="182"/>
      <c r="ACG36" s="182"/>
      <c r="ACH36" s="182"/>
      <c r="ACI36" s="182"/>
      <c r="ACJ36" s="182"/>
      <c r="ACK36" s="182"/>
      <c r="ACL36" s="182"/>
      <c r="ACM36" s="182"/>
      <c r="ACN36" s="182"/>
      <c r="ACO36" s="182"/>
      <c r="ACP36" s="182"/>
      <c r="ACQ36" s="182"/>
      <c r="ACR36" s="182"/>
      <c r="ACS36" s="182"/>
      <c r="ACT36" s="182"/>
      <c r="ACU36" s="182"/>
      <c r="ACV36" s="182"/>
      <c r="ACW36" s="182"/>
      <c r="ACX36" s="182"/>
      <c r="ACY36" s="182"/>
      <c r="ACZ36" s="182"/>
      <c r="ADA36" s="182"/>
      <c r="ADB36" s="182"/>
      <c r="ADC36" s="182"/>
      <c r="ADD36" s="182"/>
      <c r="ADE36" s="182"/>
      <c r="ADF36" s="182"/>
      <c r="ADG36" s="182"/>
      <c r="ADH36" s="182"/>
      <c r="ADI36" s="182"/>
      <c r="ADJ36" s="182"/>
      <c r="ADK36" s="182"/>
      <c r="ADL36" s="182"/>
      <c r="ADM36" s="182"/>
      <c r="ADN36" s="182"/>
      <c r="ADO36" s="182"/>
      <c r="ADP36" s="182"/>
      <c r="ADQ36" s="182"/>
      <c r="ADR36" s="182"/>
      <c r="ADS36" s="182"/>
      <c r="ADT36" s="182"/>
      <c r="ADU36" s="182"/>
      <c r="ADV36" s="182"/>
      <c r="ADW36" s="182"/>
      <c r="ADX36" s="182"/>
      <c r="ADY36" s="182"/>
      <c r="ADZ36" s="182"/>
      <c r="AEA36" s="182"/>
      <c r="AEB36" s="182"/>
      <c r="AEC36" s="182"/>
      <c r="AED36" s="182"/>
      <c r="AEE36" s="182"/>
      <c r="AEF36" s="182"/>
      <c r="AEG36" s="182"/>
      <c r="AEH36" s="182"/>
      <c r="AEI36" s="182"/>
      <c r="AEJ36" s="182"/>
      <c r="AEK36" s="182"/>
      <c r="AEL36" s="182"/>
      <c r="AEM36" s="182"/>
      <c r="AEN36" s="182"/>
      <c r="AEO36" s="182"/>
      <c r="AEP36" s="182"/>
      <c r="AEQ36" s="182"/>
      <c r="AER36" s="182"/>
      <c r="AES36" s="182"/>
      <c r="AET36" s="182"/>
      <c r="AEU36" s="182"/>
      <c r="AEV36" s="182"/>
      <c r="AEW36" s="182"/>
      <c r="AEX36" s="182"/>
      <c r="AEY36" s="182"/>
      <c r="AEZ36" s="182"/>
      <c r="AFA36" s="182"/>
      <c r="AFB36" s="182"/>
      <c r="AFC36" s="182"/>
      <c r="AFD36" s="182"/>
      <c r="AFE36" s="182"/>
      <c r="AFF36" s="182"/>
      <c r="AFG36" s="182"/>
      <c r="AFH36" s="182"/>
      <c r="AFI36" s="182"/>
      <c r="AFJ36" s="182"/>
      <c r="AFK36" s="182"/>
      <c r="AFL36" s="182"/>
      <c r="AFM36" s="182"/>
      <c r="AFN36" s="182"/>
      <c r="AFO36" s="182"/>
      <c r="AFP36" s="182"/>
      <c r="AFQ36" s="182"/>
      <c r="AFR36" s="182"/>
      <c r="AFS36" s="182"/>
      <c r="AFT36" s="182"/>
      <c r="AFU36" s="182"/>
      <c r="AFV36" s="182"/>
      <c r="AFW36" s="182"/>
      <c r="AFX36" s="182"/>
      <c r="AFY36" s="182"/>
      <c r="AFZ36" s="182"/>
      <c r="AGA36" s="182"/>
      <c r="AGB36" s="182"/>
      <c r="AGC36" s="182"/>
      <c r="AGD36" s="182"/>
      <c r="AGE36" s="182"/>
      <c r="AGF36" s="182"/>
      <c r="AGG36" s="182"/>
      <c r="AGH36" s="182"/>
      <c r="AGI36" s="182"/>
      <c r="AGJ36" s="182"/>
      <c r="AGK36" s="182"/>
      <c r="AGL36" s="182"/>
      <c r="AGM36" s="182"/>
      <c r="AGN36" s="182"/>
      <c r="AGO36" s="182"/>
      <c r="AGP36" s="182"/>
      <c r="AGQ36" s="182"/>
      <c r="AGR36" s="182"/>
      <c r="AGS36" s="182"/>
      <c r="AGT36" s="182"/>
      <c r="AGU36" s="182"/>
      <c r="AGV36" s="182"/>
      <c r="AGW36" s="182"/>
      <c r="AGX36" s="182"/>
      <c r="AGY36" s="182"/>
      <c r="AGZ36" s="182"/>
      <c r="AHA36" s="182"/>
      <c r="AHB36" s="182"/>
      <c r="AHC36" s="182"/>
      <c r="AHD36" s="182"/>
      <c r="AHE36" s="182"/>
      <c r="AHF36" s="182"/>
      <c r="AHG36" s="182"/>
      <c r="AHH36" s="182"/>
      <c r="AHI36" s="182"/>
      <c r="AHJ36" s="182"/>
      <c r="AHK36" s="182"/>
      <c r="AHL36" s="182"/>
      <c r="AHM36" s="182"/>
      <c r="AHN36" s="182"/>
      <c r="AHO36" s="182"/>
      <c r="AHP36" s="182"/>
      <c r="AHQ36" s="182"/>
      <c r="AHR36" s="182"/>
      <c r="AHS36" s="182"/>
      <c r="AHT36" s="182"/>
      <c r="AHU36" s="182"/>
      <c r="AHV36" s="182"/>
      <c r="AHW36" s="182"/>
      <c r="AHX36" s="182"/>
      <c r="AHY36" s="182"/>
      <c r="AHZ36" s="182"/>
      <c r="AIA36" s="182"/>
      <c r="AIB36" s="182"/>
      <c r="AIC36" s="182"/>
      <c r="AID36" s="182"/>
      <c r="AIE36" s="182"/>
      <c r="AIF36" s="182"/>
      <c r="AIG36" s="182"/>
      <c r="AIH36" s="182"/>
      <c r="AII36" s="182"/>
      <c r="AIJ36" s="182"/>
      <c r="AIK36" s="182"/>
      <c r="AIL36" s="182"/>
      <c r="AIM36" s="182"/>
      <c r="AIN36" s="182"/>
      <c r="AIO36" s="182"/>
      <c r="AIP36" s="182"/>
      <c r="AIQ36" s="182"/>
      <c r="AIR36" s="182"/>
      <c r="AIS36" s="182"/>
      <c r="AIT36" s="182"/>
      <c r="AIU36" s="182"/>
      <c r="AIV36" s="182"/>
      <c r="AIW36" s="182"/>
      <c r="AIX36" s="182"/>
      <c r="AIY36" s="182"/>
      <c r="AIZ36" s="182"/>
      <c r="AJA36" s="182"/>
      <c r="AJB36" s="182"/>
      <c r="AJC36" s="182"/>
      <c r="AJD36" s="182"/>
      <c r="AJE36" s="182"/>
      <c r="AJF36" s="182"/>
      <c r="AJG36" s="182"/>
      <c r="AJH36" s="182"/>
      <c r="AJI36" s="182"/>
      <c r="AJJ36" s="182"/>
      <c r="AJK36" s="182"/>
      <c r="AJL36" s="182"/>
      <c r="AJM36" s="182"/>
      <c r="AJN36" s="182"/>
      <c r="AJO36" s="182"/>
      <c r="AJP36" s="182"/>
      <c r="AJQ36" s="182"/>
      <c r="AJR36" s="182"/>
      <c r="AJS36" s="182"/>
      <c r="AJT36" s="182"/>
      <c r="AJU36" s="182"/>
      <c r="AJV36" s="182"/>
      <c r="AJW36" s="182"/>
      <c r="AJX36" s="182"/>
      <c r="AJY36" s="182"/>
      <c r="AJZ36" s="182"/>
      <c r="AKA36" s="182"/>
      <c r="AKB36" s="182"/>
      <c r="AKC36" s="182"/>
      <c r="AKD36" s="182"/>
      <c r="AKE36" s="182"/>
      <c r="AKF36" s="182"/>
      <c r="AKG36" s="182"/>
      <c r="AKH36" s="182"/>
      <c r="AKI36" s="182"/>
      <c r="AKJ36" s="182"/>
      <c r="AKK36" s="182"/>
      <c r="AKL36" s="182"/>
      <c r="AKM36" s="182"/>
      <c r="AKN36" s="182"/>
      <c r="AKO36" s="182"/>
      <c r="AKP36" s="182"/>
      <c r="AKQ36" s="182"/>
      <c r="AKR36" s="182"/>
      <c r="AKS36" s="182"/>
      <c r="AKT36" s="182"/>
      <c r="AKU36" s="182"/>
      <c r="AKV36" s="182"/>
      <c r="AKW36" s="182"/>
      <c r="AKX36" s="182"/>
      <c r="AKY36" s="182"/>
      <c r="AKZ36" s="182"/>
      <c r="ALA36" s="182"/>
      <c r="ALB36" s="182"/>
      <c r="ALC36" s="182"/>
      <c r="ALD36" s="182"/>
      <c r="ALE36" s="182"/>
      <c r="ALF36" s="182"/>
      <c r="ALG36" s="182"/>
      <c r="ALH36" s="182"/>
      <c r="ALI36" s="182"/>
      <c r="ALJ36" s="182"/>
      <c r="ALK36" s="182"/>
      <c r="ALL36" s="182"/>
      <c r="ALM36" s="182"/>
      <c r="ALN36" s="182"/>
      <c r="ALO36" s="182"/>
      <c r="ALP36" s="182"/>
      <c r="ALQ36" s="182"/>
      <c r="ALR36" s="182"/>
      <c r="ALS36" s="182"/>
      <c r="ALT36" s="182"/>
      <c r="ALU36" s="182"/>
      <c r="ALV36" s="182"/>
      <c r="ALW36" s="182"/>
      <c r="ALX36" s="182"/>
      <c r="ALY36" s="182"/>
      <c r="ALZ36" s="182"/>
      <c r="AMA36" s="182"/>
      <c r="AMB36" s="182"/>
      <c r="AMC36" s="182"/>
      <c r="AMD36" s="182"/>
      <c r="AME36" s="182"/>
      <c r="AMF36" s="182"/>
      <c r="AMG36" s="182"/>
      <c r="AMH36" s="182"/>
      <c r="AMI36" s="182"/>
      <c r="AMJ36" s="182"/>
      <c r="AMK36" s="182"/>
    </row>
    <row r="37" spans="1:1025" s="182" customFormat="1" ht="8.25" x14ac:dyDescent="0.15">
      <c r="B37" s="446"/>
      <c r="C37" s="254"/>
      <c r="E37" s="411"/>
      <c r="G37" s="411"/>
      <c r="H37" s="411"/>
      <c r="J37" s="203"/>
    </row>
    <row r="38" spans="1:1025" s="283" customFormat="1" ht="11.25" x14ac:dyDescent="0.2">
      <c r="B38" s="19"/>
      <c r="C38" s="229" t="s">
        <v>1454</v>
      </c>
      <c r="D38" s="230"/>
      <c r="E38" s="230"/>
      <c r="F38" s="231" t="s">
        <v>1453</v>
      </c>
      <c r="G38" s="231"/>
      <c r="H38" s="336"/>
      <c r="I38" s="15"/>
      <c r="J38" s="17" t="s">
        <v>98</v>
      </c>
      <c r="K38" s="153"/>
    </row>
    <row r="39" spans="1:1025" s="283" customFormat="1" ht="11.25" x14ac:dyDescent="0.2">
      <c r="B39" s="19"/>
      <c r="C39" s="229" t="s">
        <v>99</v>
      </c>
      <c r="D39" s="230"/>
      <c r="E39" s="230"/>
      <c r="F39" s="231" t="s">
        <v>100</v>
      </c>
      <c r="G39" s="231"/>
      <c r="H39" s="153"/>
      <c r="I39" s="15"/>
      <c r="J39" s="17" t="s">
        <v>101</v>
      </c>
      <c r="K39" s="153"/>
    </row>
    <row r="40" spans="1:1025" x14ac:dyDescent="0.25">
      <c r="B40" s="154"/>
      <c r="C40" s="154"/>
      <c r="D40" s="154"/>
      <c r="E40" s="154"/>
      <c r="F40" s="154"/>
      <c r="G40" s="154"/>
      <c r="H40" s="178"/>
      <c r="I40" s="154"/>
      <c r="J40" s="154"/>
      <c r="K40" s="154"/>
    </row>
    <row r="41" spans="1:1025" s="283" customFormat="1" ht="11.25" x14ac:dyDescent="0.2"/>
    <row r="42" spans="1:1025" s="283" customFormat="1" ht="11.25" x14ac:dyDescent="0.2"/>
    <row r="43" spans="1:1025" s="283" customFormat="1" ht="11.25" x14ac:dyDescent="0.2"/>
    <row r="44" spans="1:1025" s="283" customFormat="1" ht="11.25" x14ac:dyDescent="0.2"/>
    <row r="45" spans="1:1025" s="283" customFormat="1" ht="11.25" x14ac:dyDescent="0.2"/>
    <row r="46" spans="1:1025" s="283" customFormat="1" ht="11.25" x14ac:dyDescent="0.2"/>
    <row r="47" spans="1:1025" s="283" customFormat="1" ht="11.25" x14ac:dyDescent="0.2"/>
    <row r="48" spans="1:1025" s="283" customFormat="1" ht="11.25" x14ac:dyDescent="0.2"/>
    <row r="49" s="283" customFormat="1" ht="11.25" x14ac:dyDescent="0.2"/>
    <row r="50" s="283" customFormat="1" ht="11.25" x14ac:dyDescent="0.2"/>
    <row r="51" s="283" customFormat="1" ht="11.25" x14ac:dyDescent="0.2"/>
    <row r="52" s="283" customFormat="1" ht="11.25" x14ac:dyDescent="0.2"/>
    <row r="53" s="283" customFormat="1" ht="11.25" x14ac:dyDescent="0.2"/>
    <row r="54" s="283" customFormat="1" ht="11.25" x14ac:dyDescent="0.2"/>
    <row r="55" s="283" customFormat="1" ht="11.25" x14ac:dyDescent="0.2"/>
    <row r="56" s="283" customFormat="1" ht="11.25" x14ac:dyDescent="0.2"/>
    <row r="57" s="283" customFormat="1" ht="11.25" x14ac:dyDescent="0.2"/>
    <row r="58" s="283" customFormat="1" ht="11.25" x14ac:dyDescent="0.2"/>
    <row r="59" s="283" customFormat="1" ht="11.25" x14ac:dyDescent="0.2"/>
    <row r="60" s="283" customFormat="1" ht="11.25" x14ac:dyDescent="0.2"/>
    <row r="61" s="283" customFormat="1" ht="11.25" x14ac:dyDescent="0.2"/>
    <row r="62" s="283" customFormat="1" ht="11.25" x14ac:dyDescent="0.2"/>
    <row r="63" s="283" customFormat="1" ht="11.25" x14ac:dyDescent="0.2"/>
    <row r="64" s="283" customFormat="1" ht="11.25" x14ac:dyDescent="0.2"/>
    <row r="65" spans="1:1025" s="283" customFormat="1" ht="11.25" x14ac:dyDescent="0.2"/>
    <row r="66" spans="1:1025" s="283" customFormat="1" ht="11.25" x14ac:dyDescent="0.2"/>
    <row r="67" spans="1:1025" s="283" customFormat="1" ht="11.25" x14ac:dyDescent="0.2"/>
    <row r="68" spans="1:1025" s="283" customFormat="1" ht="11.25" x14ac:dyDescent="0.2"/>
    <row r="69" spans="1:1025" s="283" customFormat="1" ht="11.25" x14ac:dyDescent="0.2"/>
    <row r="70" spans="1:1025" s="283" customFormat="1" ht="11.25" x14ac:dyDescent="0.2"/>
    <row r="71" spans="1:1025" s="283" customFormat="1" ht="11.25" x14ac:dyDescent="0.2"/>
    <row r="72" spans="1:1025" s="283" customFormat="1" ht="11.25" x14ac:dyDescent="0.2"/>
    <row r="73" spans="1:1025" s="417" customFormat="1" ht="11.25" x14ac:dyDescent="0.2">
      <c r="A73" s="283"/>
      <c r="B73" s="283" t="s">
        <v>767</v>
      </c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3"/>
      <c r="AN73" s="283"/>
      <c r="AO73" s="283"/>
      <c r="AP73" s="283"/>
      <c r="AQ73" s="283"/>
      <c r="AR73" s="283"/>
      <c r="AS73" s="283"/>
      <c r="AT73" s="283"/>
      <c r="AU73" s="283"/>
      <c r="AV73" s="283"/>
      <c r="AW73" s="283"/>
      <c r="AX73" s="283"/>
      <c r="AY73" s="283"/>
      <c r="AZ73" s="283"/>
      <c r="BA73" s="283"/>
      <c r="BB73" s="283"/>
      <c r="BC73" s="283"/>
      <c r="BD73" s="283"/>
      <c r="BE73" s="283"/>
      <c r="BF73" s="283"/>
      <c r="BG73" s="283"/>
      <c r="BH73" s="283"/>
      <c r="BI73" s="283"/>
      <c r="BJ73" s="283"/>
      <c r="BK73" s="283"/>
      <c r="BL73" s="283"/>
      <c r="BM73" s="283"/>
      <c r="BN73" s="283"/>
      <c r="BO73" s="283"/>
      <c r="BP73" s="283"/>
      <c r="BQ73" s="283"/>
      <c r="BR73" s="283"/>
      <c r="BS73" s="283"/>
      <c r="BT73" s="283"/>
      <c r="BU73" s="283"/>
      <c r="BV73" s="283"/>
      <c r="BW73" s="283"/>
      <c r="BX73" s="283"/>
      <c r="BY73" s="283"/>
      <c r="BZ73" s="283"/>
      <c r="CA73" s="283"/>
      <c r="CB73" s="283"/>
      <c r="CC73" s="283"/>
      <c r="CD73" s="283"/>
      <c r="CE73" s="283"/>
      <c r="CF73" s="283"/>
      <c r="CG73" s="283"/>
      <c r="CH73" s="283"/>
      <c r="CI73" s="283"/>
      <c r="CJ73" s="283"/>
      <c r="CK73" s="283"/>
      <c r="CL73" s="283"/>
      <c r="CM73" s="283"/>
      <c r="CN73" s="283"/>
      <c r="CO73" s="283"/>
      <c r="CP73" s="283"/>
      <c r="CQ73" s="283"/>
      <c r="CR73" s="283"/>
      <c r="CS73" s="283"/>
      <c r="CT73" s="283"/>
      <c r="CU73" s="283"/>
      <c r="CV73" s="283"/>
      <c r="CW73" s="283"/>
      <c r="CX73" s="283"/>
      <c r="CY73" s="283"/>
      <c r="CZ73" s="283"/>
      <c r="DA73" s="283"/>
      <c r="DB73" s="283"/>
      <c r="DC73" s="283"/>
      <c r="DD73" s="283"/>
      <c r="DE73" s="283"/>
      <c r="DF73" s="283"/>
      <c r="DG73" s="283"/>
      <c r="DH73" s="283"/>
      <c r="DI73" s="283"/>
      <c r="DJ73" s="283"/>
      <c r="DK73" s="283"/>
      <c r="DL73" s="283"/>
      <c r="DM73" s="283"/>
      <c r="DN73" s="283"/>
      <c r="DO73" s="283"/>
      <c r="DP73" s="283"/>
      <c r="DQ73" s="283"/>
      <c r="DR73" s="283"/>
      <c r="DS73" s="283"/>
      <c r="DT73" s="283"/>
      <c r="DU73" s="283"/>
      <c r="DV73" s="283"/>
      <c r="DW73" s="283"/>
      <c r="DX73" s="283"/>
      <c r="DY73" s="283"/>
      <c r="DZ73" s="283"/>
      <c r="EA73" s="283"/>
      <c r="EB73" s="283"/>
      <c r="EC73" s="283"/>
      <c r="ED73" s="283"/>
      <c r="EE73" s="283"/>
      <c r="EF73" s="283"/>
      <c r="EG73" s="283"/>
      <c r="EH73" s="283"/>
      <c r="EI73" s="283"/>
      <c r="EJ73" s="283"/>
      <c r="EK73" s="283"/>
      <c r="EL73" s="283"/>
      <c r="EM73" s="283"/>
      <c r="EN73" s="283"/>
      <c r="EO73" s="283"/>
      <c r="EP73" s="283"/>
      <c r="EQ73" s="283"/>
      <c r="ER73" s="283"/>
      <c r="ES73" s="283"/>
      <c r="ET73" s="283"/>
      <c r="EU73" s="283"/>
      <c r="EV73" s="283"/>
      <c r="EW73" s="283"/>
      <c r="EX73" s="283"/>
      <c r="EY73" s="283"/>
      <c r="EZ73" s="283"/>
      <c r="FA73" s="283"/>
      <c r="FB73" s="283"/>
      <c r="FC73" s="283"/>
      <c r="FD73" s="283"/>
      <c r="FE73" s="283"/>
      <c r="FF73" s="283"/>
      <c r="FG73" s="283"/>
      <c r="FH73" s="283"/>
      <c r="FI73" s="283"/>
      <c r="FJ73" s="283"/>
      <c r="FK73" s="283"/>
      <c r="FL73" s="283"/>
      <c r="FM73" s="283"/>
      <c r="FN73" s="283"/>
      <c r="FO73" s="283"/>
      <c r="FP73" s="283"/>
      <c r="FQ73" s="283"/>
      <c r="FR73" s="283"/>
      <c r="FS73" s="283"/>
      <c r="FT73" s="283"/>
      <c r="FU73" s="283"/>
      <c r="FV73" s="283"/>
      <c r="FW73" s="283"/>
      <c r="FX73" s="283"/>
      <c r="FY73" s="283"/>
      <c r="FZ73" s="283"/>
      <c r="GA73" s="283"/>
      <c r="GB73" s="283"/>
      <c r="GC73" s="283"/>
      <c r="GD73" s="283"/>
      <c r="GE73" s="283"/>
      <c r="GF73" s="283"/>
      <c r="GG73" s="283"/>
      <c r="GH73" s="283"/>
      <c r="GI73" s="283"/>
      <c r="GJ73" s="283"/>
      <c r="GK73" s="283"/>
      <c r="GL73" s="283"/>
      <c r="GM73" s="283"/>
      <c r="GN73" s="283"/>
      <c r="GO73" s="283"/>
      <c r="GP73" s="283"/>
      <c r="GQ73" s="283"/>
      <c r="GR73" s="283"/>
      <c r="GS73" s="283"/>
      <c r="GT73" s="283"/>
      <c r="GU73" s="283"/>
      <c r="GV73" s="283"/>
      <c r="GW73" s="283"/>
      <c r="GX73" s="283"/>
      <c r="GY73" s="283"/>
      <c r="GZ73" s="283"/>
      <c r="HA73" s="283"/>
      <c r="HB73" s="283"/>
      <c r="HC73" s="283"/>
      <c r="HD73" s="283"/>
      <c r="HE73" s="283"/>
      <c r="HF73" s="283"/>
      <c r="HG73" s="283"/>
      <c r="HH73" s="283"/>
      <c r="HI73" s="283"/>
      <c r="HJ73" s="283"/>
      <c r="HK73" s="283"/>
      <c r="HL73" s="283"/>
      <c r="HM73" s="283"/>
      <c r="HN73" s="283"/>
      <c r="HO73" s="283"/>
      <c r="HP73" s="283"/>
      <c r="HQ73" s="283"/>
      <c r="HR73" s="283"/>
      <c r="HS73" s="283"/>
      <c r="HT73" s="283"/>
      <c r="HU73" s="283"/>
      <c r="HV73" s="283"/>
      <c r="HW73" s="283"/>
      <c r="HX73" s="283"/>
      <c r="HY73" s="283"/>
      <c r="HZ73" s="283"/>
      <c r="IA73" s="283"/>
      <c r="IB73" s="283"/>
      <c r="IC73" s="283"/>
      <c r="ID73" s="283"/>
      <c r="IE73" s="283"/>
      <c r="IF73" s="283"/>
      <c r="IG73" s="283"/>
      <c r="IH73" s="283"/>
      <c r="II73" s="283"/>
      <c r="IJ73" s="283"/>
      <c r="IK73" s="283"/>
      <c r="IL73" s="283"/>
      <c r="IM73" s="283"/>
      <c r="IN73" s="283"/>
      <c r="IO73" s="283"/>
      <c r="IP73" s="283"/>
      <c r="IQ73" s="283"/>
      <c r="IR73" s="283"/>
      <c r="IS73" s="283"/>
      <c r="IT73" s="283"/>
      <c r="IU73" s="283"/>
      <c r="IV73" s="283"/>
      <c r="IW73" s="283"/>
      <c r="IX73" s="283"/>
      <c r="IY73" s="283"/>
      <c r="IZ73" s="283"/>
      <c r="JA73" s="283"/>
      <c r="JB73" s="283"/>
      <c r="JC73" s="283"/>
      <c r="JD73" s="283"/>
      <c r="JE73" s="283"/>
      <c r="JF73" s="283"/>
      <c r="JG73" s="283"/>
      <c r="JH73" s="283"/>
      <c r="JI73" s="283"/>
      <c r="JJ73" s="283"/>
      <c r="JK73" s="283"/>
      <c r="JL73" s="283"/>
      <c r="JM73" s="283"/>
      <c r="JN73" s="283"/>
      <c r="JO73" s="283"/>
      <c r="JP73" s="283"/>
      <c r="JQ73" s="283"/>
      <c r="JR73" s="283"/>
      <c r="JS73" s="283"/>
      <c r="JT73" s="283"/>
      <c r="JU73" s="283"/>
      <c r="JV73" s="283"/>
      <c r="JW73" s="283"/>
      <c r="JX73" s="283"/>
      <c r="JY73" s="283"/>
      <c r="JZ73" s="283"/>
      <c r="KA73" s="283"/>
      <c r="KB73" s="283"/>
      <c r="KC73" s="283"/>
      <c r="KD73" s="283"/>
      <c r="KE73" s="283"/>
      <c r="KF73" s="283"/>
      <c r="KG73" s="283"/>
      <c r="KH73" s="283"/>
      <c r="KI73" s="283"/>
      <c r="KJ73" s="283"/>
      <c r="KK73" s="283"/>
      <c r="KL73" s="283"/>
      <c r="KM73" s="283"/>
      <c r="KN73" s="283"/>
      <c r="KO73" s="283"/>
      <c r="KP73" s="283"/>
      <c r="KQ73" s="283"/>
      <c r="KR73" s="283"/>
      <c r="KS73" s="283"/>
      <c r="KT73" s="283"/>
      <c r="KU73" s="283"/>
      <c r="KV73" s="283"/>
      <c r="KW73" s="283"/>
      <c r="KX73" s="283"/>
      <c r="KY73" s="283"/>
      <c r="KZ73" s="283"/>
      <c r="LA73" s="283"/>
      <c r="LB73" s="283"/>
      <c r="LC73" s="283"/>
      <c r="LD73" s="283"/>
      <c r="LE73" s="283"/>
      <c r="LF73" s="283"/>
      <c r="LG73" s="283"/>
      <c r="LH73" s="283"/>
      <c r="LI73" s="283"/>
      <c r="LJ73" s="283"/>
      <c r="LK73" s="283"/>
      <c r="LL73" s="283"/>
      <c r="LM73" s="283"/>
      <c r="LN73" s="283"/>
      <c r="LO73" s="283"/>
      <c r="LP73" s="283"/>
      <c r="LQ73" s="283"/>
      <c r="LR73" s="283"/>
      <c r="LS73" s="283"/>
      <c r="LT73" s="283"/>
      <c r="LU73" s="283"/>
      <c r="LV73" s="283"/>
      <c r="LW73" s="283"/>
      <c r="LX73" s="283"/>
      <c r="LY73" s="283"/>
      <c r="LZ73" s="283"/>
      <c r="MA73" s="283"/>
      <c r="MB73" s="283"/>
      <c r="MC73" s="283"/>
      <c r="MD73" s="283"/>
      <c r="ME73" s="283"/>
      <c r="MF73" s="283"/>
      <c r="MG73" s="283"/>
      <c r="MH73" s="283"/>
      <c r="MI73" s="283"/>
      <c r="MJ73" s="283"/>
      <c r="MK73" s="283"/>
      <c r="ML73" s="283"/>
      <c r="MM73" s="283"/>
      <c r="MN73" s="283"/>
      <c r="MO73" s="283"/>
      <c r="MP73" s="283"/>
      <c r="MQ73" s="283"/>
      <c r="MR73" s="283"/>
      <c r="MS73" s="283"/>
      <c r="MT73" s="283"/>
      <c r="MU73" s="283"/>
      <c r="MV73" s="283"/>
      <c r="MW73" s="283"/>
      <c r="MX73" s="283"/>
      <c r="MY73" s="283"/>
      <c r="MZ73" s="283"/>
      <c r="NA73" s="283"/>
      <c r="NB73" s="283"/>
      <c r="NC73" s="283"/>
      <c r="ND73" s="283"/>
      <c r="NE73" s="283"/>
      <c r="NF73" s="283"/>
      <c r="NG73" s="283"/>
      <c r="NH73" s="283"/>
      <c r="NI73" s="283"/>
      <c r="NJ73" s="283"/>
      <c r="NK73" s="283"/>
      <c r="NL73" s="283"/>
      <c r="NM73" s="283"/>
      <c r="NN73" s="283"/>
      <c r="NO73" s="283"/>
      <c r="NP73" s="283"/>
      <c r="NQ73" s="283"/>
      <c r="NR73" s="283"/>
      <c r="NS73" s="283"/>
      <c r="NT73" s="283"/>
      <c r="NU73" s="283"/>
      <c r="NV73" s="283"/>
      <c r="NW73" s="283"/>
      <c r="NX73" s="283"/>
      <c r="NY73" s="283"/>
      <c r="NZ73" s="283"/>
      <c r="OA73" s="283"/>
      <c r="OB73" s="283"/>
      <c r="OC73" s="283"/>
      <c r="OD73" s="283"/>
      <c r="OE73" s="283"/>
      <c r="OF73" s="283"/>
      <c r="OG73" s="283"/>
      <c r="OH73" s="283"/>
      <c r="OI73" s="283"/>
      <c r="OJ73" s="283"/>
      <c r="OK73" s="283"/>
      <c r="OL73" s="283"/>
      <c r="OM73" s="283"/>
      <c r="ON73" s="283"/>
      <c r="OO73" s="283"/>
      <c r="OP73" s="283"/>
      <c r="OQ73" s="283"/>
      <c r="OR73" s="283"/>
      <c r="OS73" s="283"/>
      <c r="OT73" s="283"/>
      <c r="OU73" s="283"/>
      <c r="OV73" s="283"/>
      <c r="OW73" s="283"/>
      <c r="OX73" s="283"/>
      <c r="OY73" s="283"/>
      <c r="OZ73" s="283"/>
      <c r="PA73" s="283"/>
      <c r="PB73" s="283"/>
      <c r="PC73" s="283"/>
      <c r="PD73" s="283"/>
      <c r="PE73" s="283"/>
      <c r="PF73" s="283"/>
      <c r="PG73" s="283"/>
      <c r="PH73" s="283"/>
      <c r="PI73" s="283"/>
      <c r="PJ73" s="283"/>
      <c r="PK73" s="283"/>
      <c r="PL73" s="283"/>
      <c r="PM73" s="283"/>
      <c r="PN73" s="283"/>
      <c r="PO73" s="283"/>
      <c r="PP73" s="283"/>
      <c r="PQ73" s="283"/>
      <c r="PR73" s="283"/>
      <c r="PS73" s="283"/>
      <c r="PT73" s="283"/>
      <c r="PU73" s="283"/>
      <c r="PV73" s="283"/>
      <c r="PW73" s="283"/>
      <c r="PX73" s="283"/>
      <c r="PY73" s="283"/>
      <c r="PZ73" s="283"/>
      <c r="QA73" s="283"/>
      <c r="QB73" s="283"/>
      <c r="QC73" s="283"/>
      <c r="QD73" s="283"/>
      <c r="QE73" s="283"/>
      <c r="QF73" s="283"/>
      <c r="QG73" s="283"/>
      <c r="QH73" s="283"/>
      <c r="QI73" s="283"/>
      <c r="QJ73" s="283"/>
      <c r="QK73" s="283"/>
      <c r="QL73" s="283"/>
      <c r="QM73" s="283"/>
      <c r="QN73" s="283"/>
      <c r="QO73" s="283"/>
      <c r="QP73" s="283"/>
      <c r="QQ73" s="283"/>
      <c r="QR73" s="283"/>
      <c r="QS73" s="283"/>
      <c r="QT73" s="283"/>
      <c r="QU73" s="283"/>
      <c r="QV73" s="283"/>
      <c r="QW73" s="283"/>
      <c r="QX73" s="283"/>
      <c r="QY73" s="283"/>
      <c r="QZ73" s="283"/>
      <c r="RA73" s="283"/>
      <c r="RB73" s="283"/>
      <c r="RC73" s="283"/>
      <c r="RD73" s="283"/>
      <c r="RE73" s="283"/>
      <c r="RF73" s="283"/>
      <c r="RG73" s="283"/>
      <c r="RH73" s="283"/>
      <c r="RI73" s="283"/>
      <c r="RJ73" s="283"/>
      <c r="RK73" s="283"/>
      <c r="RL73" s="283"/>
      <c r="RM73" s="283"/>
      <c r="RN73" s="283"/>
      <c r="RO73" s="283"/>
      <c r="RP73" s="283"/>
      <c r="RQ73" s="283"/>
      <c r="RR73" s="283"/>
      <c r="RS73" s="283"/>
      <c r="RT73" s="283"/>
      <c r="RU73" s="283"/>
      <c r="RV73" s="283"/>
      <c r="RW73" s="283"/>
      <c r="RX73" s="283"/>
      <c r="RY73" s="283"/>
      <c r="RZ73" s="283"/>
      <c r="SA73" s="283"/>
      <c r="SB73" s="283"/>
      <c r="SC73" s="283"/>
      <c r="SD73" s="283"/>
      <c r="SE73" s="283"/>
      <c r="SF73" s="283"/>
      <c r="SG73" s="283"/>
      <c r="SH73" s="283"/>
      <c r="SI73" s="283"/>
      <c r="SJ73" s="283"/>
      <c r="SK73" s="283"/>
      <c r="SL73" s="283"/>
      <c r="SM73" s="283"/>
      <c r="SN73" s="283"/>
      <c r="SO73" s="283"/>
      <c r="SP73" s="283"/>
      <c r="SQ73" s="283"/>
      <c r="SR73" s="283"/>
      <c r="SS73" s="283"/>
      <c r="ST73" s="283"/>
      <c r="SU73" s="283"/>
      <c r="SV73" s="283"/>
      <c r="SW73" s="283"/>
      <c r="SX73" s="283"/>
      <c r="SY73" s="283"/>
      <c r="SZ73" s="283"/>
      <c r="TA73" s="283"/>
      <c r="TB73" s="283"/>
      <c r="TC73" s="283"/>
      <c r="TD73" s="283"/>
      <c r="TE73" s="283"/>
      <c r="TF73" s="283"/>
      <c r="TG73" s="283"/>
      <c r="TH73" s="283"/>
      <c r="TI73" s="283"/>
      <c r="TJ73" s="283"/>
      <c r="TK73" s="283"/>
      <c r="TL73" s="283"/>
      <c r="TM73" s="283"/>
      <c r="TN73" s="283"/>
      <c r="TO73" s="283"/>
      <c r="TP73" s="283"/>
      <c r="TQ73" s="283"/>
      <c r="TR73" s="283"/>
      <c r="TS73" s="283"/>
      <c r="TT73" s="283"/>
      <c r="TU73" s="283"/>
      <c r="TV73" s="283"/>
      <c r="TW73" s="283"/>
      <c r="TX73" s="283"/>
      <c r="TY73" s="283"/>
      <c r="TZ73" s="283"/>
      <c r="UA73" s="283"/>
      <c r="UB73" s="283"/>
      <c r="UC73" s="283"/>
      <c r="UD73" s="283"/>
      <c r="UE73" s="283"/>
      <c r="UF73" s="283"/>
      <c r="UG73" s="283"/>
      <c r="UH73" s="283"/>
      <c r="UI73" s="283"/>
      <c r="UJ73" s="283"/>
      <c r="UK73" s="283"/>
      <c r="UL73" s="283"/>
      <c r="UM73" s="283"/>
      <c r="UN73" s="283"/>
      <c r="UO73" s="283"/>
      <c r="UP73" s="283"/>
      <c r="UQ73" s="283"/>
      <c r="UR73" s="283"/>
      <c r="US73" s="283"/>
      <c r="UT73" s="283"/>
      <c r="UU73" s="283"/>
      <c r="UV73" s="283"/>
      <c r="UW73" s="283"/>
      <c r="UX73" s="283"/>
      <c r="UY73" s="283"/>
      <c r="UZ73" s="283"/>
      <c r="VA73" s="283"/>
      <c r="VB73" s="283"/>
      <c r="VC73" s="283"/>
      <c r="VD73" s="283"/>
      <c r="VE73" s="283"/>
      <c r="VF73" s="283"/>
      <c r="VG73" s="283"/>
      <c r="VH73" s="283"/>
      <c r="VI73" s="283"/>
      <c r="VJ73" s="283"/>
      <c r="VK73" s="283"/>
      <c r="VL73" s="283"/>
      <c r="VM73" s="283"/>
      <c r="VN73" s="283"/>
      <c r="VO73" s="283"/>
      <c r="VP73" s="283"/>
      <c r="VQ73" s="283"/>
      <c r="VR73" s="283"/>
      <c r="VS73" s="283"/>
      <c r="VT73" s="283"/>
      <c r="VU73" s="283"/>
      <c r="VV73" s="283"/>
      <c r="VW73" s="283"/>
      <c r="VX73" s="283"/>
      <c r="VY73" s="283"/>
      <c r="VZ73" s="283"/>
      <c r="WA73" s="283"/>
      <c r="WB73" s="283"/>
      <c r="WC73" s="283"/>
      <c r="WD73" s="283"/>
      <c r="WE73" s="283"/>
      <c r="WF73" s="283"/>
      <c r="WG73" s="283"/>
      <c r="WH73" s="283"/>
      <c r="WI73" s="283"/>
      <c r="WJ73" s="283"/>
      <c r="WK73" s="283"/>
      <c r="WL73" s="283"/>
      <c r="WM73" s="283"/>
      <c r="WN73" s="283"/>
      <c r="WO73" s="283"/>
      <c r="WP73" s="283"/>
      <c r="WQ73" s="283"/>
      <c r="WR73" s="283"/>
      <c r="WS73" s="283"/>
      <c r="WT73" s="283"/>
      <c r="WU73" s="283"/>
      <c r="WV73" s="283"/>
      <c r="WW73" s="283"/>
      <c r="WX73" s="283"/>
      <c r="WY73" s="283"/>
      <c r="WZ73" s="283"/>
      <c r="XA73" s="283"/>
      <c r="XB73" s="283"/>
      <c r="XC73" s="283"/>
      <c r="XD73" s="283"/>
      <c r="XE73" s="283"/>
      <c r="XF73" s="283"/>
      <c r="XG73" s="283"/>
      <c r="XH73" s="283"/>
      <c r="XI73" s="283"/>
      <c r="XJ73" s="283"/>
      <c r="XK73" s="283"/>
      <c r="XL73" s="283"/>
      <c r="XM73" s="283"/>
      <c r="XN73" s="283"/>
      <c r="XO73" s="283"/>
      <c r="XP73" s="283"/>
      <c r="XQ73" s="283"/>
      <c r="XR73" s="283"/>
      <c r="XS73" s="283"/>
      <c r="XT73" s="283"/>
      <c r="XU73" s="283"/>
      <c r="XV73" s="283"/>
      <c r="XW73" s="283"/>
      <c r="XX73" s="283"/>
      <c r="XY73" s="283"/>
      <c r="XZ73" s="283"/>
      <c r="YA73" s="283"/>
      <c r="YB73" s="283"/>
      <c r="YC73" s="283"/>
      <c r="YD73" s="283"/>
      <c r="YE73" s="283"/>
      <c r="YF73" s="283"/>
      <c r="YG73" s="283"/>
      <c r="YH73" s="283"/>
      <c r="YI73" s="283"/>
      <c r="YJ73" s="283"/>
      <c r="YK73" s="283"/>
      <c r="YL73" s="283"/>
      <c r="YM73" s="283"/>
      <c r="YN73" s="283"/>
      <c r="YO73" s="283"/>
      <c r="YP73" s="283"/>
      <c r="YQ73" s="283"/>
      <c r="YR73" s="283"/>
      <c r="YS73" s="283"/>
      <c r="YT73" s="283"/>
      <c r="YU73" s="283"/>
      <c r="YV73" s="283"/>
      <c r="YW73" s="283"/>
      <c r="YX73" s="283"/>
      <c r="YY73" s="283"/>
      <c r="YZ73" s="283"/>
      <c r="ZA73" s="283"/>
      <c r="ZB73" s="283"/>
      <c r="ZC73" s="283"/>
      <c r="ZD73" s="283"/>
      <c r="ZE73" s="283"/>
      <c r="ZF73" s="283"/>
      <c r="ZG73" s="283"/>
      <c r="ZH73" s="283"/>
      <c r="ZI73" s="283"/>
      <c r="ZJ73" s="283"/>
      <c r="ZK73" s="283"/>
      <c r="ZL73" s="283"/>
      <c r="ZM73" s="283"/>
      <c r="ZN73" s="283"/>
      <c r="ZO73" s="283"/>
      <c r="ZP73" s="283"/>
      <c r="ZQ73" s="283"/>
      <c r="ZR73" s="283"/>
      <c r="ZS73" s="283"/>
      <c r="ZT73" s="283"/>
      <c r="ZU73" s="283"/>
      <c r="ZV73" s="283"/>
      <c r="ZW73" s="283"/>
      <c r="ZX73" s="283"/>
      <c r="ZY73" s="283"/>
      <c r="ZZ73" s="283"/>
      <c r="AAA73" s="283"/>
      <c r="AAB73" s="283"/>
      <c r="AAC73" s="283"/>
      <c r="AAD73" s="283"/>
      <c r="AAE73" s="283"/>
      <c r="AAF73" s="283"/>
      <c r="AAG73" s="283"/>
      <c r="AAH73" s="283"/>
      <c r="AAI73" s="283"/>
      <c r="AAJ73" s="283"/>
      <c r="AAK73" s="283"/>
      <c r="AAL73" s="283"/>
      <c r="AAM73" s="283"/>
      <c r="AAN73" s="283"/>
      <c r="AAO73" s="283"/>
      <c r="AAP73" s="283"/>
      <c r="AAQ73" s="283"/>
      <c r="AAR73" s="283"/>
      <c r="AAS73" s="283"/>
      <c r="AAT73" s="283"/>
      <c r="AAU73" s="283"/>
      <c r="AAV73" s="283"/>
      <c r="AAW73" s="283"/>
      <c r="AAX73" s="283"/>
      <c r="AAY73" s="283"/>
      <c r="AAZ73" s="283"/>
      <c r="ABA73" s="283"/>
      <c r="ABB73" s="283"/>
      <c r="ABC73" s="283"/>
      <c r="ABD73" s="283"/>
      <c r="ABE73" s="283"/>
      <c r="ABF73" s="283"/>
      <c r="ABG73" s="283"/>
      <c r="ABH73" s="283"/>
      <c r="ABI73" s="283"/>
      <c r="ABJ73" s="283"/>
      <c r="ABK73" s="283"/>
      <c r="ABL73" s="283"/>
      <c r="ABM73" s="283"/>
      <c r="ABN73" s="283"/>
      <c r="ABO73" s="283"/>
      <c r="ABP73" s="283"/>
      <c r="ABQ73" s="283"/>
      <c r="ABR73" s="283"/>
      <c r="ABS73" s="283"/>
      <c r="ABT73" s="283"/>
      <c r="ABU73" s="283"/>
      <c r="ABV73" s="283"/>
      <c r="ABW73" s="283"/>
      <c r="ABX73" s="283"/>
      <c r="ABY73" s="283"/>
      <c r="ABZ73" s="283"/>
      <c r="ACA73" s="283"/>
      <c r="ACB73" s="283"/>
      <c r="ACC73" s="283"/>
      <c r="ACD73" s="283"/>
      <c r="ACE73" s="283"/>
      <c r="ACF73" s="283"/>
      <c r="ACG73" s="283"/>
      <c r="ACH73" s="283"/>
      <c r="ACI73" s="283"/>
      <c r="ACJ73" s="283"/>
      <c r="ACK73" s="283"/>
      <c r="ACL73" s="283"/>
      <c r="ACM73" s="283"/>
      <c r="ACN73" s="283"/>
      <c r="ACO73" s="283"/>
      <c r="ACP73" s="283"/>
      <c r="ACQ73" s="283"/>
      <c r="ACR73" s="283"/>
      <c r="ACS73" s="283"/>
      <c r="ACT73" s="283"/>
      <c r="ACU73" s="283"/>
      <c r="ACV73" s="283"/>
      <c r="ACW73" s="283"/>
      <c r="ACX73" s="283"/>
      <c r="ACY73" s="283"/>
      <c r="ACZ73" s="283"/>
      <c r="ADA73" s="283"/>
      <c r="ADB73" s="283"/>
      <c r="ADC73" s="283"/>
      <c r="ADD73" s="283"/>
      <c r="ADE73" s="283"/>
      <c r="ADF73" s="283"/>
      <c r="ADG73" s="283"/>
      <c r="ADH73" s="283"/>
      <c r="ADI73" s="283"/>
      <c r="ADJ73" s="283"/>
      <c r="ADK73" s="283"/>
      <c r="ADL73" s="283"/>
      <c r="ADM73" s="283"/>
      <c r="ADN73" s="283"/>
      <c r="ADO73" s="283"/>
      <c r="ADP73" s="283"/>
      <c r="ADQ73" s="283"/>
      <c r="ADR73" s="283"/>
      <c r="ADS73" s="283"/>
      <c r="ADT73" s="283"/>
      <c r="ADU73" s="283"/>
      <c r="ADV73" s="283"/>
      <c r="ADW73" s="283"/>
      <c r="ADX73" s="283"/>
      <c r="ADY73" s="283"/>
      <c r="ADZ73" s="283"/>
      <c r="AEA73" s="283"/>
      <c r="AEB73" s="283"/>
      <c r="AEC73" s="283"/>
      <c r="AED73" s="283"/>
      <c r="AEE73" s="283"/>
      <c r="AEF73" s="283"/>
      <c r="AEG73" s="283"/>
      <c r="AEH73" s="283"/>
      <c r="AEI73" s="283"/>
      <c r="AEJ73" s="283"/>
      <c r="AEK73" s="283"/>
      <c r="AEL73" s="283"/>
      <c r="AEM73" s="283"/>
      <c r="AEN73" s="283"/>
      <c r="AEO73" s="283"/>
      <c r="AEP73" s="283"/>
      <c r="AEQ73" s="283"/>
      <c r="AER73" s="283"/>
      <c r="AES73" s="283"/>
      <c r="AET73" s="283"/>
      <c r="AEU73" s="283"/>
      <c r="AEV73" s="283"/>
      <c r="AEW73" s="283"/>
      <c r="AEX73" s="283"/>
      <c r="AEY73" s="283"/>
      <c r="AEZ73" s="283"/>
      <c r="AFA73" s="283"/>
      <c r="AFB73" s="283"/>
      <c r="AFC73" s="283"/>
      <c r="AFD73" s="283"/>
      <c r="AFE73" s="283"/>
      <c r="AFF73" s="283"/>
      <c r="AFG73" s="283"/>
      <c r="AFH73" s="283"/>
      <c r="AFI73" s="283"/>
      <c r="AFJ73" s="283"/>
      <c r="AFK73" s="283"/>
      <c r="AFL73" s="283"/>
      <c r="AFM73" s="283"/>
      <c r="AFN73" s="283"/>
      <c r="AFO73" s="283"/>
      <c r="AFP73" s="283"/>
      <c r="AFQ73" s="283"/>
      <c r="AFR73" s="283"/>
      <c r="AFS73" s="283"/>
      <c r="AFT73" s="283"/>
      <c r="AFU73" s="283"/>
      <c r="AFV73" s="283"/>
      <c r="AFW73" s="283"/>
      <c r="AFX73" s="283"/>
      <c r="AFY73" s="283"/>
      <c r="AFZ73" s="283"/>
      <c r="AGA73" s="283"/>
      <c r="AGB73" s="283"/>
      <c r="AGC73" s="283"/>
      <c r="AGD73" s="283"/>
      <c r="AGE73" s="283"/>
      <c r="AGF73" s="283"/>
      <c r="AGG73" s="283"/>
      <c r="AGH73" s="283"/>
      <c r="AGI73" s="283"/>
      <c r="AGJ73" s="283"/>
      <c r="AGK73" s="283"/>
      <c r="AGL73" s="283"/>
      <c r="AGM73" s="283"/>
      <c r="AGN73" s="283"/>
      <c r="AGO73" s="283"/>
      <c r="AGP73" s="283"/>
      <c r="AGQ73" s="283"/>
      <c r="AGR73" s="283"/>
      <c r="AGS73" s="283"/>
      <c r="AGT73" s="283"/>
      <c r="AGU73" s="283"/>
      <c r="AGV73" s="283"/>
      <c r="AGW73" s="283"/>
      <c r="AGX73" s="283"/>
      <c r="AGY73" s="283"/>
      <c r="AGZ73" s="283"/>
      <c r="AHA73" s="283"/>
      <c r="AHB73" s="283"/>
      <c r="AHC73" s="283"/>
      <c r="AHD73" s="283"/>
      <c r="AHE73" s="283"/>
      <c r="AHF73" s="283"/>
      <c r="AHG73" s="283"/>
      <c r="AHH73" s="283"/>
      <c r="AHI73" s="283"/>
      <c r="AHJ73" s="283"/>
      <c r="AHK73" s="283"/>
      <c r="AHL73" s="283"/>
      <c r="AHM73" s="283"/>
      <c r="AHN73" s="283"/>
      <c r="AHO73" s="283"/>
      <c r="AHP73" s="283"/>
      <c r="AHQ73" s="283"/>
      <c r="AHR73" s="283"/>
      <c r="AHS73" s="283"/>
      <c r="AHT73" s="283"/>
      <c r="AHU73" s="283"/>
      <c r="AHV73" s="283"/>
      <c r="AHW73" s="283"/>
      <c r="AHX73" s="283"/>
      <c r="AHY73" s="283"/>
      <c r="AHZ73" s="283"/>
      <c r="AIA73" s="283"/>
      <c r="AIB73" s="283"/>
      <c r="AIC73" s="283"/>
      <c r="AID73" s="283"/>
      <c r="AIE73" s="283"/>
      <c r="AIF73" s="283"/>
      <c r="AIG73" s="283"/>
      <c r="AIH73" s="283"/>
      <c r="AII73" s="283"/>
      <c r="AIJ73" s="283"/>
      <c r="AIK73" s="283"/>
      <c r="AIL73" s="283"/>
      <c r="AIM73" s="283"/>
      <c r="AIN73" s="283"/>
      <c r="AIO73" s="283"/>
      <c r="AIP73" s="283"/>
      <c r="AIQ73" s="283"/>
      <c r="AIR73" s="283"/>
      <c r="AIS73" s="283"/>
      <c r="AIT73" s="283"/>
      <c r="AIU73" s="283"/>
      <c r="AIV73" s="283"/>
      <c r="AIW73" s="283"/>
      <c r="AIX73" s="283"/>
      <c r="AIY73" s="283"/>
      <c r="AIZ73" s="283"/>
      <c r="AJA73" s="283"/>
      <c r="AJB73" s="283"/>
      <c r="AJC73" s="283"/>
      <c r="AJD73" s="283"/>
      <c r="AJE73" s="283"/>
      <c r="AJF73" s="283"/>
      <c r="AJG73" s="283"/>
      <c r="AJH73" s="283"/>
      <c r="AJI73" s="283"/>
      <c r="AJJ73" s="283"/>
      <c r="AJK73" s="283"/>
      <c r="AJL73" s="283"/>
      <c r="AJM73" s="283"/>
      <c r="AJN73" s="283"/>
      <c r="AJO73" s="283"/>
      <c r="AJP73" s="283"/>
      <c r="AJQ73" s="283"/>
      <c r="AJR73" s="283"/>
      <c r="AJS73" s="283"/>
      <c r="AJT73" s="283"/>
      <c r="AJU73" s="283"/>
      <c r="AJV73" s="283"/>
      <c r="AJW73" s="283"/>
      <c r="AJX73" s="283"/>
      <c r="AJY73" s="283"/>
      <c r="AJZ73" s="283"/>
      <c r="AKA73" s="283"/>
      <c r="AKB73" s="283"/>
      <c r="AKC73" s="283"/>
      <c r="AKD73" s="283"/>
      <c r="AKE73" s="283"/>
      <c r="AKF73" s="283"/>
      <c r="AKG73" s="283"/>
      <c r="AKH73" s="283"/>
      <c r="AKI73" s="283"/>
      <c r="AKJ73" s="283"/>
      <c r="AKK73" s="283"/>
      <c r="AKL73" s="283"/>
      <c r="AKM73" s="283"/>
      <c r="AKN73" s="283"/>
      <c r="AKO73" s="283"/>
      <c r="AKP73" s="283"/>
      <c r="AKQ73" s="283"/>
      <c r="AKR73" s="283"/>
      <c r="AKS73" s="283"/>
      <c r="AKT73" s="283"/>
      <c r="AKU73" s="283"/>
      <c r="AKV73" s="283"/>
      <c r="AKW73" s="283"/>
      <c r="AKX73" s="283"/>
      <c r="AKY73" s="283"/>
      <c r="AKZ73" s="283"/>
      <c r="ALA73" s="283"/>
      <c r="ALB73" s="283"/>
      <c r="ALC73" s="283"/>
      <c r="ALD73" s="283"/>
      <c r="ALE73" s="283"/>
      <c r="ALF73" s="283"/>
      <c r="ALG73" s="283"/>
      <c r="ALH73" s="283"/>
      <c r="ALI73" s="283"/>
      <c r="ALJ73" s="283"/>
      <c r="ALK73" s="283"/>
      <c r="ALL73" s="283"/>
      <c r="ALM73" s="283"/>
      <c r="ALN73" s="283"/>
      <c r="ALO73" s="283"/>
      <c r="ALP73" s="283"/>
      <c r="ALQ73" s="283"/>
      <c r="ALR73" s="283"/>
      <c r="ALS73" s="283"/>
      <c r="ALT73" s="283"/>
      <c r="ALU73" s="283"/>
      <c r="ALV73" s="283"/>
      <c r="ALW73" s="283"/>
      <c r="ALX73" s="283"/>
      <c r="ALY73" s="283"/>
      <c r="ALZ73" s="283"/>
      <c r="AMA73" s="283"/>
      <c r="AMB73" s="283"/>
      <c r="AMC73" s="283"/>
      <c r="AMD73" s="283"/>
      <c r="AME73" s="283"/>
      <c r="AMF73" s="283"/>
      <c r="AMG73" s="283"/>
      <c r="AMH73" s="283"/>
      <c r="AMI73" s="283"/>
      <c r="AMJ73" s="283"/>
      <c r="AMK73" s="283"/>
    </row>
    <row r="74" spans="1:1025" s="283" customFormat="1" ht="11.25" x14ac:dyDescent="0.2">
      <c r="B74" s="153" t="s">
        <v>768</v>
      </c>
    </row>
    <row r="75" spans="1:1025" s="283" customFormat="1" ht="11.25" x14ac:dyDescent="0.2">
      <c r="B75" s="153" t="s">
        <v>769</v>
      </c>
    </row>
    <row r="76" spans="1:1025" s="283" customFormat="1" ht="11.25" x14ac:dyDescent="0.2">
      <c r="B76" s="153" t="s">
        <v>958</v>
      </c>
    </row>
    <row r="77" spans="1:1025" s="417" customFormat="1" ht="11.25" x14ac:dyDescent="0.2">
      <c r="A77" s="313"/>
      <c r="B77" s="153" t="s">
        <v>770</v>
      </c>
      <c r="C77" s="283"/>
      <c r="D77" s="283"/>
      <c r="E77" s="283"/>
      <c r="F77" s="283"/>
      <c r="G77" s="283"/>
      <c r="H77" s="283"/>
      <c r="I77" s="451">
        <f>((Cronogra!AE56-(9279680.2+6653073.75))/SUM(RCL!D4:I4))*100</f>
        <v>88.105637304944096</v>
      </c>
      <c r="J77" s="283"/>
      <c r="K77" s="283"/>
      <c r="L77" s="283"/>
      <c r="M77" s="283"/>
      <c r="N77" s="283"/>
      <c r="O77" s="283"/>
      <c r="P77" s="283"/>
      <c r="Q77" s="283"/>
      <c r="R77" s="283"/>
      <c r="S77" s="283"/>
      <c r="T77" s="283"/>
      <c r="U77" s="283"/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  <c r="AG77" s="283"/>
      <c r="AH77" s="283"/>
      <c r="AI77" s="283"/>
      <c r="AJ77" s="283"/>
      <c r="AK77" s="283"/>
      <c r="AL77" s="283"/>
      <c r="AM77" s="283"/>
      <c r="AN77" s="283"/>
      <c r="AO77" s="283"/>
      <c r="AP77" s="283"/>
      <c r="AQ77" s="283"/>
      <c r="AR77" s="283"/>
      <c r="AS77" s="283"/>
      <c r="AT77" s="283"/>
      <c r="AU77" s="283"/>
      <c r="AV77" s="283"/>
      <c r="AW77" s="283"/>
      <c r="AX77" s="283"/>
      <c r="AY77" s="283"/>
      <c r="AZ77" s="283"/>
      <c r="BA77" s="283"/>
      <c r="BB77" s="283"/>
      <c r="BC77" s="283"/>
      <c r="BD77" s="283"/>
      <c r="BE77" s="283"/>
      <c r="BF77" s="283"/>
      <c r="BG77" s="283"/>
      <c r="BH77" s="283"/>
      <c r="BI77" s="283"/>
      <c r="BJ77" s="283"/>
      <c r="BK77" s="283"/>
      <c r="BL77" s="283"/>
      <c r="BM77" s="283"/>
      <c r="BN77" s="283"/>
      <c r="BO77" s="283"/>
      <c r="BP77" s="283"/>
      <c r="BQ77" s="283"/>
      <c r="BR77" s="283"/>
      <c r="BS77" s="283"/>
      <c r="BT77" s="283"/>
      <c r="BU77" s="283"/>
      <c r="BV77" s="283"/>
      <c r="BW77" s="283"/>
      <c r="BX77" s="283"/>
      <c r="BY77" s="283"/>
      <c r="BZ77" s="283"/>
      <c r="CA77" s="283"/>
      <c r="CB77" s="283"/>
      <c r="CC77" s="283"/>
      <c r="CD77" s="283"/>
      <c r="CE77" s="283"/>
      <c r="CF77" s="283"/>
      <c r="CG77" s="283"/>
      <c r="CH77" s="283"/>
      <c r="CI77" s="283"/>
      <c r="CJ77" s="283"/>
      <c r="CK77" s="283"/>
      <c r="CL77" s="283"/>
      <c r="CM77" s="283"/>
      <c r="CN77" s="283"/>
      <c r="CO77" s="283"/>
      <c r="CP77" s="283"/>
      <c r="CQ77" s="283"/>
      <c r="CR77" s="283"/>
      <c r="CS77" s="283"/>
      <c r="CT77" s="283"/>
      <c r="CU77" s="283"/>
      <c r="CV77" s="283"/>
      <c r="CW77" s="283"/>
      <c r="CX77" s="283"/>
      <c r="CY77" s="283"/>
      <c r="CZ77" s="283"/>
      <c r="DA77" s="283"/>
      <c r="DB77" s="283"/>
      <c r="DC77" s="283"/>
      <c r="DD77" s="283"/>
      <c r="DE77" s="283"/>
      <c r="DF77" s="283"/>
      <c r="DG77" s="283"/>
      <c r="DH77" s="283"/>
      <c r="DI77" s="283"/>
      <c r="DJ77" s="283"/>
      <c r="DK77" s="283"/>
      <c r="DL77" s="283"/>
      <c r="DM77" s="283"/>
      <c r="DN77" s="283"/>
      <c r="DO77" s="283"/>
      <c r="DP77" s="283"/>
      <c r="DQ77" s="283"/>
      <c r="DR77" s="283"/>
      <c r="DS77" s="283"/>
      <c r="DT77" s="283"/>
      <c r="DU77" s="283"/>
      <c r="DV77" s="283"/>
      <c r="DW77" s="283"/>
      <c r="DX77" s="283"/>
      <c r="DY77" s="283"/>
      <c r="DZ77" s="283"/>
      <c r="EA77" s="283"/>
      <c r="EB77" s="283"/>
      <c r="EC77" s="283"/>
      <c r="ED77" s="283"/>
      <c r="EE77" s="283"/>
      <c r="EF77" s="283"/>
      <c r="EG77" s="283"/>
      <c r="EH77" s="283"/>
      <c r="EI77" s="283"/>
      <c r="EJ77" s="283"/>
      <c r="EK77" s="283"/>
      <c r="EL77" s="283"/>
      <c r="EM77" s="283"/>
      <c r="EN77" s="283"/>
      <c r="EO77" s="283"/>
      <c r="EP77" s="283"/>
      <c r="EQ77" s="283"/>
      <c r="ER77" s="283"/>
      <c r="ES77" s="283"/>
      <c r="ET77" s="283"/>
      <c r="EU77" s="283"/>
      <c r="EV77" s="283"/>
      <c r="EW77" s="283"/>
      <c r="EX77" s="283"/>
      <c r="EY77" s="283"/>
      <c r="EZ77" s="283"/>
      <c r="FA77" s="283"/>
      <c r="FB77" s="283"/>
      <c r="FC77" s="283"/>
      <c r="FD77" s="283"/>
      <c r="FE77" s="283"/>
      <c r="FF77" s="283"/>
      <c r="FG77" s="283"/>
      <c r="FH77" s="283"/>
      <c r="FI77" s="283"/>
      <c r="FJ77" s="283"/>
      <c r="FK77" s="283"/>
      <c r="FL77" s="283"/>
      <c r="FM77" s="283"/>
      <c r="FN77" s="283"/>
      <c r="FO77" s="283"/>
      <c r="FP77" s="283"/>
      <c r="FQ77" s="283"/>
      <c r="FR77" s="283"/>
      <c r="FS77" s="283"/>
      <c r="FT77" s="283"/>
      <c r="FU77" s="283"/>
      <c r="FV77" s="283"/>
      <c r="FW77" s="283"/>
      <c r="FX77" s="283"/>
      <c r="FY77" s="283"/>
      <c r="FZ77" s="283"/>
      <c r="GA77" s="283"/>
      <c r="GB77" s="283"/>
      <c r="GC77" s="283"/>
      <c r="GD77" s="283"/>
      <c r="GE77" s="283"/>
      <c r="GF77" s="283"/>
      <c r="GG77" s="283"/>
      <c r="GH77" s="283"/>
      <c r="GI77" s="283"/>
      <c r="GJ77" s="283"/>
      <c r="GK77" s="283"/>
      <c r="GL77" s="283"/>
      <c r="GM77" s="283"/>
      <c r="GN77" s="283"/>
      <c r="GO77" s="283"/>
      <c r="GP77" s="283"/>
      <c r="GQ77" s="283"/>
      <c r="GR77" s="283"/>
      <c r="GS77" s="283"/>
      <c r="GT77" s="283"/>
      <c r="GU77" s="283"/>
      <c r="GV77" s="283"/>
      <c r="GW77" s="283"/>
      <c r="GX77" s="283"/>
      <c r="GY77" s="283"/>
      <c r="GZ77" s="283"/>
      <c r="HA77" s="283"/>
      <c r="HB77" s="283"/>
      <c r="HC77" s="283"/>
      <c r="HD77" s="283"/>
      <c r="HE77" s="283"/>
      <c r="HF77" s="283"/>
      <c r="HG77" s="283"/>
      <c r="HH77" s="283"/>
      <c r="HI77" s="283"/>
      <c r="HJ77" s="283"/>
      <c r="HK77" s="283"/>
      <c r="HL77" s="283"/>
      <c r="HM77" s="283"/>
      <c r="HN77" s="283"/>
      <c r="HO77" s="283"/>
      <c r="HP77" s="283"/>
      <c r="HQ77" s="283"/>
      <c r="HR77" s="283"/>
      <c r="HS77" s="283"/>
      <c r="HT77" s="283"/>
      <c r="HU77" s="283"/>
      <c r="HV77" s="283"/>
      <c r="HW77" s="283"/>
      <c r="HX77" s="283"/>
      <c r="HY77" s="283"/>
      <c r="HZ77" s="283"/>
      <c r="IA77" s="283"/>
      <c r="IB77" s="283"/>
      <c r="IC77" s="283"/>
      <c r="ID77" s="283"/>
      <c r="IE77" s="283"/>
      <c r="IF77" s="283"/>
      <c r="IG77" s="283"/>
      <c r="IH77" s="283"/>
      <c r="II77" s="283"/>
      <c r="IJ77" s="283"/>
      <c r="IK77" s="283"/>
      <c r="IL77" s="283"/>
      <c r="IM77" s="283"/>
      <c r="IN77" s="283"/>
      <c r="IO77" s="283"/>
      <c r="IP77" s="283"/>
      <c r="IQ77" s="283"/>
      <c r="IR77" s="283"/>
      <c r="IS77" s="283"/>
      <c r="IT77" s="283"/>
      <c r="IU77" s="283"/>
      <c r="IV77" s="283"/>
      <c r="IW77" s="283"/>
      <c r="IX77" s="283"/>
      <c r="IY77" s="283"/>
      <c r="IZ77" s="283"/>
      <c r="JA77" s="283"/>
      <c r="JB77" s="283"/>
      <c r="JC77" s="283"/>
      <c r="JD77" s="283"/>
      <c r="JE77" s="283"/>
      <c r="JF77" s="283"/>
      <c r="JG77" s="283"/>
      <c r="JH77" s="283"/>
      <c r="JI77" s="283"/>
      <c r="JJ77" s="283"/>
      <c r="JK77" s="283"/>
      <c r="JL77" s="283"/>
      <c r="JM77" s="283"/>
      <c r="JN77" s="283"/>
      <c r="JO77" s="283"/>
      <c r="JP77" s="283"/>
      <c r="JQ77" s="283"/>
      <c r="JR77" s="283"/>
      <c r="JS77" s="283"/>
      <c r="JT77" s="283"/>
      <c r="JU77" s="283"/>
      <c r="JV77" s="283"/>
      <c r="JW77" s="283"/>
      <c r="JX77" s="283"/>
      <c r="JY77" s="283"/>
      <c r="JZ77" s="283"/>
      <c r="KA77" s="283"/>
      <c r="KB77" s="283"/>
      <c r="KC77" s="283"/>
      <c r="KD77" s="283"/>
      <c r="KE77" s="283"/>
      <c r="KF77" s="283"/>
      <c r="KG77" s="283"/>
      <c r="KH77" s="283"/>
      <c r="KI77" s="283"/>
      <c r="KJ77" s="283"/>
      <c r="KK77" s="283"/>
      <c r="KL77" s="283"/>
      <c r="KM77" s="283"/>
      <c r="KN77" s="283"/>
      <c r="KO77" s="283"/>
      <c r="KP77" s="283"/>
      <c r="KQ77" s="283"/>
      <c r="KR77" s="283"/>
      <c r="KS77" s="283"/>
      <c r="KT77" s="283"/>
      <c r="KU77" s="283"/>
      <c r="KV77" s="283"/>
      <c r="KW77" s="283"/>
      <c r="KX77" s="283"/>
      <c r="KY77" s="283"/>
      <c r="KZ77" s="283"/>
      <c r="LA77" s="283"/>
      <c r="LB77" s="283"/>
      <c r="LC77" s="283"/>
      <c r="LD77" s="283"/>
      <c r="LE77" s="283"/>
      <c r="LF77" s="283"/>
      <c r="LG77" s="283"/>
      <c r="LH77" s="283"/>
      <c r="LI77" s="283"/>
      <c r="LJ77" s="283"/>
      <c r="LK77" s="283"/>
      <c r="LL77" s="283"/>
      <c r="LM77" s="283"/>
      <c r="LN77" s="283"/>
      <c r="LO77" s="283"/>
      <c r="LP77" s="283"/>
      <c r="LQ77" s="283"/>
      <c r="LR77" s="283"/>
      <c r="LS77" s="283"/>
      <c r="LT77" s="283"/>
      <c r="LU77" s="283"/>
      <c r="LV77" s="283"/>
      <c r="LW77" s="283"/>
      <c r="LX77" s="283"/>
      <c r="LY77" s="283"/>
      <c r="LZ77" s="283"/>
      <c r="MA77" s="283"/>
      <c r="MB77" s="283"/>
      <c r="MC77" s="283"/>
      <c r="MD77" s="283"/>
      <c r="ME77" s="283"/>
      <c r="MF77" s="283"/>
      <c r="MG77" s="283"/>
      <c r="MH77" s="283"/>
      <c r="MI77" s="283"/>
      <c r="MJ77" s="283"/>
      <c r="MK77" s="283"/>
      <c r="ML77" s="283"/>
      <c r="MM77" s="283"/>
      <c r="MN77" s="283"/>
      <c r="MO77" s="283"/>
      <c r="MP77" s="283"/>
      <c r="MQ77" s="283"/>
      <c r="MR77" s="283"/>
      <c r="MS77" s="283"/>
      <c r="MT77" s="283"/>
      <c r="MU77" s="283"/>
      <c r="MV77" s="283"/>
      <c r="MW77" s="283"/>
      <c r="MX77" s="283"/>
      <c r="MY77" s="283"/>
      <c r="MZ77" s="283"/>
      <c r="NA77" s="283"/>
      <c r="NB77" s="283"/>
      <c r="NC77" s="283"/>
      <c r="ND77" s="283"/>
      <c r="NE77" s="283"/>
      <c r="NF77" s="283"/>
      <c r="NG77" s="283"/>
      <c r="NH77" s="283"/>
      <c r="NI77" s="283"/>
      <c r="NJ77" s="283"/>
      <c r="NK77" s="283"/>
      <c r="NL77" s="283"/>
      <c r="NM77" s="283"/>
      <c r="NN77" s="283"/>
      <c r="NO77" s="283"/>
      <c r="NP77" s="283"/>
      <c r="NQ77" s="283"/>
      <c r="NR77" s="283"/>
      <c r="NS77" s="283"/>
      <c r="NT77" s="283"/>
      <c r="NU77" s="283"/>
      <c r="NV77" s="283"/>
      <c r="NW77" s="283"/>
      <c r="NX77" s="283"/>
      <c r="NY77" s="283"/>
      <c r="NZ77" s="283"/>
      <c r="OA77" s="283"/>
      <c r="OB77" s="283"/>
      <c r="OC77" s="283"/>
      <c r="OD77" s="283"/>
      <c r="OE77" s="283"/>
      <c r="OF77" s="283"/>
      <c r="OG77" s="283"/>
      <c r="OH77" s="283"/>
      <c r="OI77" s="283"/>
      <c r="OJ77" s="283"/>
      <c r="OK77" s="283"/>
      <c r="OL77" s="283"/>
      <c r="OM77" s="283"/>
      <c r="ON77" s="283"/>
      <c r="OO77" s="283"/>
      <c r="OP77" s="283"/>
      <c r="OQ77" s="283"/>
      <c r="OR77" s="283"/>
      <c r="OS77" s="283"/>
      <c r="OT77" s="283"/>
      <c r="OU77" s="283"/>
      <c r="OV77" s="283"/>
      <c r="OW77" s="283"/>
      <c r="OX77" s="283"/>
      <c r="OY77" s="283"/>
      <c r="OZ77" s="283"/>
      <c r="PA77" s="283"/>
      <c r="PB77" s="283"/>
      <c r="PC77" s="283"/>
      <c r="PD77" s="283"/>
      <c r="PE77" s="283"/>
      <c r="PF77" s="283"/>
      <c r="PG77" s="283"/>
      <c r="PH77" s="283"/>
      <c r="PI77" s="283"/>
      <c r="PJ77" s="283"/>
      <c r="PK77" s="283"/>
      <c r="PL77" s="283"/>
      <c r="PM77" s="283"/>
      <c r="PN77" s="283"/>
      <c r="PO77" s="283"/>
      <c r="PP77" s="283"/>
      <c r="PQ77" s="283"/>
      <c r="PR77" s="283"/>
      <c r="PS77" s="283"/>
      <c r="PT77" s="283"/>
      <c r="PU77" s="283"/>
      <c r="PV77" s="283"/>
      <c r="PW77" s="283"/>
      <c r="PX77" s="283"/>
      <c r="PY77" s="283"/>
      <c r="PZ77" s="283"/>
      <c r="QA77" s="283"/>
      <c r="QB77" s="283"/>
      <c r="QC77" s="283"/>
      <c r="QD77" s="283"/>
      <c r="QE77" s="283"/>
      <c r="QF77" s="283"/>
      <c r="QG77" s="283"/>
      <c r="QH77" s="283"/>
      <c r="QI77" s="283"/>
      <c r="QJ77" s="283"/>
      <c r="QK77" s="283"/>
      <c r="QL77" s="283"/>
      <c r="QM77" s="283"/>
      <c r="QN77" s="283"/>
      <c r="QO77" s="283"/>
      <c r="QP77" s="283"/>
      <c r="QQ77" s="283"/>
      <c r="QR77" s="283"/>
      <c r="QS77" s="283"/>
      <c r="QT77" s="283"/>
      <c r="QU77" s="283"/>
      <c r="QV77" s="283"/>
      <c r="QW77" s="283"/>
      <c r="QX77" s="283"/>
      <c r="QY77" s="283"/>
      <c r="QZ77" s="283"/>
      <c r="RA77" s="283"/>
      <c r="RB77" s="283"/>
      <c r="RC77" s="283"/>
      <c r="RD77" s="283"/>
      <c r="RE77" s="283"/>
      <c r="RF77" s="283"/>
      <c r="RG77" s="283"/>
      <c r="RH77" s="283"/>
      <c r="RI77" s="283"/>
      <c r="RJ77" s="283"/>
      <c r="RK77" s="283"/>
      <c r="RL77" s="283"/>
      <c r="RM77" s="283"/>
      <c r="RN77" s="283"/>
      <c r="RO77" s="283"/>
      <c r="RP77" s="283"/>
      <c r="RQ77" s="283"/>
      <c r="RR77" s="283"/>
      <c r="RS77" s="283"/>
      <c r="RT77" s="283"/>
      <c r="RU77" s="283"/>
      <c r="RV77" s="283"/>
      <c r="RW77" s="283"/>
      <c r="RX77" s="283"/>
      <c r="RY77" s="283"/>
      <c r="RZ77" s="283"/>
      <c r="SA77" s="283"/>
      <c r="SB77" s="283"/>
      <c r="SC77" s="283"/>
      <c r="SD77" s="283"/>
      <c r="SE77" s="283"/>
      <c r="SF77" s="283"/>
      <c r="SG77" s="283"/>
      <c r="SH77" s="283"/>
      <c r="SI77" s="283"/>
      <c r="SJ77" s="283"/>
      <c r="SK77" s="283"/>
      <c r="SL77" s="283"/>
      <c r="SM77" s="283"/>
      <c r="SN77" s="283"/>
      <c r="SO77" s="283"/>
      <c r="SP77" s="283"/>
      <c r="SQ77" s="283"/>
      <c r="SR77" s="283"/>
      <c r="SS77" s="283"/>
      <c r="ST77" s="283"/>
      <c r="SU77" s="283"/>
      <c r="SV77" s="283"/>
      <c r="SW77" s="283"/>
      <c r="SX77" s="283"/>
      <c r="SY77" s="283"/>
      <c r="SZ77" s="283"/>
      <c r="TA77" s="283"/>
      <c r="TB77" s="283"/>
      <c r="TC77" s="283"/>
      <c r="TD77" s="283"/>
      <c r="TE77" s="283"/>
      <c r="TF77" s="283"/>
      <c r="TG77" s="283"/>
      <c r="TH77" s="283"/>
      <c r="TI77" s="283"/>
      <c r="TJ77" s="283"/>
      <c r="TK77" s="283"/>
      <c r="TL77" s="283"/>
      <c r="TM77" s="283"/>
      <c r="TN77" s="283"/>
      <c r="TO77" s="283"/>
      <c r="TP77" s="283"/>
      <c r="TQ77" s="283"/>
      <c r="TR77" s="283"/>
      <c r="TS77" s="283"/>
      <c r="TT77" s="283"/>
      <c r="TU77" s="283"/>
      <c r="TV77" s="283"/>
      <c r="TW77" s="283"/>
      <c r="TX77" s="283"/>
      <c r="TY77" s="283"/>
      <c r="TZ77" s="283"/>
      <c r="UA77" s="283"/>
      <c r="UB77" s="283"/>
      <c r="UC77" s="283"/>
      <c r="UD77" s="283"/>
      <c r="UE77" s="283"/>
      <c r="UF77" s="283"/>
      <c r="UG77" s="283"/>
      <c r="UH77" s="283"/>
      <c r="UI77" s="283"/>
      <c r="UJ77" s="283"/>
      <c r="UK77" s="283"/>
      <c r="UL77" s="283"/>
      <c r="UM77" s="283"/>
      <c r="UN77" s="283"/>
      <c r="UO77" s="283"/>
      <c r="UP77" s="283"/>
      <c r="UQ77" s="283"/>
      <c r="UR77" s="283"/>
      <c r="US77" s="283"/>
      <c r="UT77" s="283"/>
      <c r="UU77" s="283"/>
      <c r="UV77" s="283"/>
      <c r="UW77" s="283"/>
      <c r="UX77" s="283"/>
      <c r="UY77" s="283"/>
      <c r="UZ77" s="283"/>
      <c r="VA77" s="283"/>
      <c r="VB77" s="283"/>
      <c r="VC77" s="283"/>
      <c r="VD77" s="283"/>
      <c r="VE77" s="283"/>
      <c r="VF77" s="283"/>
      <c r="VG77" s="283"/>
      <c r="VH77" s="283"/>
      <c r="VI77" s="283"/>
      <c r="VJ77" s="283"/>
      <c r="VK77" s="283"/>
      <c r="VL77" s="283"/>
      <c r="VM77" s="283"/>
      <c r="VN77" s="283"/>
      <c r="VO77" s="283"/>
      <c r="VP77" s="283"/>
      <c r="VQ77" s="283"/>
      <c r="VR77" s="283"/>
      <c r="VS77" s="283"/>
      <c r="VT77" s="283"/>
      <c r="VU77" s="283"/>
      <c r="VV77" s="283"/>
      <c r="VW77" s="283"/>
      <c r="VX77" s="283"/>
      <c r="VY77" s="283"/>
      <c r="VZ77" s="283"/>
      <c r="WA77" s="283"/>
      <c r="WB77" s="283"/>
      <c r="WC77" s="283"/>
      <c r="WD77" s="283"/>
      <c r="WE77" s="283"/>
      <c r="WF77" s="283"/>
      <c r="WG77" s="283"/>
      <c r="WH77" s="283"/>
      <c r="WI77" s="283"/>
      <c r="WJ77" s="283"/>
      <c r="WK77" s="283"/>
      <c r="WL77" s="283"/>
      <c r="WM77" s="283"/>
      <c r="WN77" s="283"/>
      <c r="WO77" s="283"/>
      <c r="WP77" s="283"/>
      <c r="WQ77" s="283"/>
      <c r="WR77" s="283"/>
      <c r="WS77" s="283"/>
      <c r="WT77" s="283"/>
      <c r="WU77" s="283"/>
      <c r="WV77" s="283"/>
      <c r="WW77" s="283"/>
      <c r="WX77" s="283"/>
      <c r="WY77" s="283"/>
      <c r="WZ77" s="283"/>
      <c r="XA77" s="283"/>
      <c r="XB77" s="283"/>
      <c r="XC77" s="283"/>
      <c r="XD77" s="283"/>
      <c r="XE77" s="283"/>
      <c r="XF77" s="283"/>
      <c r="XG77" s="283"/>
      <c r="XH77" s="283"/>
      <c r="XI77" s="283"/>
      <c r="XJ77" s="283"/>
      <c r="XK77" s="283"/>
      <c r="XL77" s="283"/>
      <c r="XM77" s="283"/>
      <c r="XN77" s="283"/>
      <c r="XO77" s="283"/>
      <c r="XP77" s="283"/>
      <c r="XQ77" s="283"/>
      <c r="XR77" s="283"/>
      <c r="XS77" s="283"/>
      <c r="XT77" s="283"/>
      <c r="XU77" s="283"/>
      <c r="XV77" s="283"/>
      <c r="XW77" s="283"/>
      <c r="XX77" s="283"/>
      <c r="XY77" s="283"/>
      <c r="XZ77" s="283"/>
      <c r="YA77" s="283"/>
      <c r="YB77" s="283"/>
      <c r="YC77" s="283"/>
      <c r="YD77" s="283"/>
      <c r="YE77" s="283"/>
      <c r="YF77" s="283"/>
      <c r="YG77" s="283"/>
      <c r="YH77" s="283"/>
      <c r="YI77" s="283"/>
      <c r="YJ77" s="283"/>
      <c r="YK77" s="283"/>
      <c r="YL77" s="283"/>
      <c r="YM77" s="283"/>
      <c r="YN77" s="283"/>
      <c r="YO77" s="283"/>
      <c r="YP77" s="283"/>
      <c r="YQ77" s="283"/>
      <c r="YR77" s="283"/>
      <c r="YS77" s="283"/>
      <c r="YT77" s="283"/>
      <c r="YU77" s="283"/>
      <c r="YV77" s="283"/>
      <c r="YW77" s="283"/>
      <c r="YX77" s="283"/>
      <c r="YY77" s="283"/>
      <c r="YZ77" s="283"/>
      <c r="ZA77" s="283"/>
      <c r="ZB77" s="283"/>
      <c r="ZC77" s="283"/>
      <c r="ZD77" s="283"/>
      <c r="ZE77" s="283"/>
      <c r="ZF77" s="283"/>
      <c r="ZG77" s="283"/>
      <c r="ZH77" s="283"/>
      <c r="ZI77" s="283"/>
      <c r="ZJ77" s="283"/>
      <c r="ZK77" s="283"/>
      <c r="ZL77" s="283"/>
      <c r="ZM77" s="283"/>
      <c r="ZN77" s="283"/>
      <c r="ZO77" s="283"/>
      <c r="ZP77" s="283"/>
      <c r="ZQ77" s="283"/>
      <c r="ZR77" s="283"/>
      <c r="ZS77" s="283"/>
      <c r="ZT77" s="283"/>
      <c r="ZU77" s="283"/>
      <c r="ZV77" s="283"/>
      <c r="ZW77" s="283"/>
      <c r="ZX77" s="283"/>
      <c r="ZY77" s="283"/>
      <c r="ZZ77" s="283"/>
      <c r="AAA77" s="283"/>
      <c r="AAB77" s="283"/>
      <c r="AAC77" s="283"/>
      <c r="AAD77" s="283"/>
      <c r="AAE77" s="283"/>
      <c r="AAF77" s="283"/>
      <c r="AAG77" s="283"/>
      <c r="AAH77" s="283"/>
      <c r="AAI77" s="283"/>
      <c r="AAJ77" s="283"/>
      <c r="AAK77" s="283"/>
      <c r="AAL77" s="283"/>
      <c r="AAM77" s="283"/>
      <c r="AAN77" s="283"/>
      <c r="AAO77" s="283"/>
      <c r="AAP77" s="283"/>
      <c r="AAQ77" s="283"/>
      <c r="AAR77" s="283"/>
      <c r="AAS77" s="283"/>
      <c r="AAT77" s="283"/>
      <c r="AAU77" s="283"/>
      <c r="AAV77" s="283"/>
      <c r="AAW77" s="283"/>
      <c r="AAX77" s="283"/>
      <c r="AAY77" s="283"/>
      <c r="AAZ77" s="283"/>
      <c r="ABA77" s="283"/>
      <c r="ABB77" s="283"/>
      <c r="ABC77" s="283"/>
      <c r="ABD77" s="283"/>
      <c r="ABE77" s="283"/>
      <c r="ABF77" s="283"/>
      <c r="ABG77" s="283"/>
      <c r="ABH77" s="283"/>
      <c r="ABI77" s="283"/>
      <c r="ABJ77" s="283"/>
      <c r="ABK77" s="283"/>
      <c r="ABL77" s="283"/>
      <c r="ABM77" s="283"/>
      <c r="ABN77" s="283"/>
      <c r="ABO77" s="283"/>
      <c r="ABP77" s="283"/>
      <c r="ABQ77" s="283"/>
      <c r="ABR77" s="283"/>
      <c r="ABS77" s="283"/>
      <c r="ABT77" s="283"/>
      <c r="ABU77" s="283"/>
      <c r="ABV77" s="283"/>
      <c r="ABW77" s="283"/>
      <c r="ABX77" s="283"/>
      <c r="ABY77" s="283"/>
      <c r="ABZ77" s="283"/>
      <c r="ACA77" s="283"/>
      <c r="ACB77" s="283"/>
      <c r="ACC77" s="283"/>
      <c r="ACD77" s="283"/>
      <c r="ACE77" s="283"/>
      <c r="ACF77" s="283"/>
      <c r="ACG77" s="283"/>
      <c r="ACH77" s="283"/>
      <c r="ACI77" s="283"/>
      <c r="ACJ77" s="283"/>
      <c r="ACK77" s="283"/>
      <c r="ACL77" s="283"/>
      <c r="ACM77" s="283"/>
      <c r="ACN77" s="283"/>
      <c r="ACO77" s="283"/>
      <c r="ACP77" s="283"/>
      <c r="ACQ77" s="283"/>
      <c r="ACR77" s="283"/>
      <c r="ACS77" s="283"/>
      <c r="ACT77" s="283"/>
      <c r="ACU77" s="283"/>
      <c r="ACV77" s="283"/>
      <c r="ACW77" s="283"/>
      <c r="ACX77" s="283"/>
      <c r="ACY77" s="283"/>
      <c r="ACZ77" s="283"/>
      <c r="ADA77" s="283"/>
      <c r="ADB77" s="283"/>
      <c r="ADC77" s="283"/>
      <c r="ADD77" s="283"/>
      <c r="ADE77" s="283"/>
      <c r="ADF77" s="283"/>
      <c r="ADG77" s="283"/>
      <c r="ADH77" s="283"/>
      <c r="ADI77" s="283"/>
      <c r="ADJ77" s="283"/>
      <c r="ADK77" s="283"/>
      <c r="ADL77" s="283"/>
      <c r="ADM77" s="283"/>
      <c r="ADN77" s="283"/>
      <c r="ADO77" s="283"/>
      <c r="ADP77" s="283"/>
      <c r="ADQ77" s="283"/>
      <c r="ADR77" s="283"/>
      <c r="ADS77" s="283"/>
      <c r="ADT77" s="283"/>
      <c r="ADU77" s="283"/>
      <c r="ADV77" s="283"/>
      <c r="ADW77" s="283"/>
      <c r="ADX77" s="283"/>
      <c r="ADY77" s="283"/>
      <c r="ADZ77" s="283"/>
      <c r="AEA77" s="283"/>
      <c r="AEB77" s="283"/>
      <c r="AEC77" s="283"/>
      <c r="AED77" s="283"/>
      <c r="AEE77" s="283"/>
      <c r="AEF77" s="283"/>
      <c r="AEG77" s="283"/>
      <c r="AEH77" s="283"/>
      <c r="AEI77" s="283"/>
      <c r="AEJ77" s="283"/>
      <c r="AEK77" s="283"/>
      <c r="AEL77" s="283"/>
      <c r="AEM77" s="283"/>
      <c r="AEN77" s="283"/>
      <c r="AEO77" s="283"/>
      <c r="AEP77" s="283"/>
      <c r="AEQ77" s="283"/>
      <c r="AER77" s="283"/>
      <c r="AES77" s="283"/>
      <c r="AET77" s="283"/>
      <c r="AEU77" s="283"/>
      <c r="AEV77" s="283"/>
      <c r="AEW77" s="283"/>
      <c r="AEX77" s="283"/>
      <c r="AEY77" s="283"/>
      <c r="AEZ77" s="283"/>
      <c r="AFA77" s="283"/>
      <c r="AFB77" s="283"/>
      <c r="AFC77" s="283"/>
      <c r="AFD77" s="283"/>
      <c r="AFE77" s="283"/>
      <c r="AFF77" s="283"/>
      <c r="AFG77" s="283"/>
      <c r="AFH77" s="283"/>
      <c r="AFI77" s="283"/>
      <c r="AFJ77" s="283"/>
      <c r="AFK77" s="283"/>
      <c r="AFL77" s="283"/>
      <c r="AFM77" s="283"/>
      <c r="AFN77" s="283"/>
      <c r="AFO77" s="283"/>
      <c r="AFP77" s="283"/>
      <c r="AFQ77" s="283"/>
      <c r="AFR77" s="283"/>
      <c r="AFS77" s="283"/>
      <c r="AFT77" s="283"/>
      <c r="AFU77" s="283"/>
      <c r="AFV77" s="283"/>
      <c r="AFW77" s="283"/>
      <c r="AFX77" s="283"/>
      <c r="AFY77" s="283"/>
      <c r="AFZ77" s="283"/>
      <c r="AGA77" s="283"/>
      <c r="AGB77" s="283"/>
      <c r="AGC77" s="283"/>
      <c r="AGD77" s="283"/>
      <c r="AGE77" s="283"/>
      <c r="AGF77" s="283"/>
      <c r="AGG77" s="283"/>
      <c r="AGH77" s="283"/>
      <c r="AGI77" s="283"/>
      <c r="AGJ77" s="283"/>
      <c r="AGK77" s="283"/>
      <c r="AGL77" s="283"/>
      <c r="AGM77" s="283"/>
      <c r="AGN77" s="283"/>
      <c r="AGO77" s="283"/>
      <c r="AGP77" s="283"/>
      <c r="AGQ77" s="283"/>
      <c r="AGR77" s="283"/>
      <c r="AGS77" s="283"/>
      <c r="AGT77" s="283"/>
      <c r="AGU77" s="283"/>
      <c r="AGV77" s="283"/>
      <c r="AGW77" s="283"/>
      <c r="AGX77" s="283"/>
      <c r="AGY77" s="283"/>
      <c r="AGZ77" s="283"/>
      <c r="AHA77" s="283"/>
      <c r="AHB77" s="283"/>
      <c r="AHC77" s="283"/>
      <c r="AHD77" s="283"/>
      <c r="AHE77" s="283"/>
      <c r="AHF77" s="283"/>
      <c r="AHG77" s="283"/>
      <c r="AHH77" s="283"/>
      <c r="AHI77" s="283"/>
      <c r="AHJ77" s="283"/>
      <c r="AHK77" s="283"/>
      <c r="AHL77" s="283"/>
      <c r="AHM77" s="283"/>
      <c r="AHN77" s="283"/>
      <c r="AHO77" s="283"/>
      <c r="AHP77" s="283"/>
      <c r="AHQ77" s="283"/>
      <c r="AHR77" s="283"/>
      <c r="AHS77" s="283"/>
      <c r="AHT77" s="283"/>
      <c r="AHU77" s="283"/>
      <c r="AHV77" s="283"/>
      <c r="AHW77" s="283"/>
      <c r="AHX77" s="283"/>
      <c r="AHY77" s="283"/>
      <c r="AHZ77" s="283"/>
      <c r="AIA77" s="283"/>
      <c r="AIB77" s="283"/>
      <c r="AIC77" s="283"/>
      <c r="AID77" s="283"/>
      <c r="AIE77" s="283"/>
      <c r="AIF77" s="283"/>
      <c r="AIG77" s="283"/>
      <c r="AIH77" s="283"/>
      <c r="AII77" s="283"/>
      <c r="AIJ77" s="283"/>
      <c r="AIK77" s="283"/>
      <c r="AIL77" s="283"/>
      <c r="AIM77" s="283"/>
      <c r="AIN77" s="283"/>
      <c r="AIO77" s="283"/>
      <c r="AIP77" s="283"/>
      <c r="AIQ77" s="283"/>
      <c r="AIR77" s="283"/>
      <c r="AIS77" s="283"/>
      <c r="AIT77" s="283"/>
      <c r="AIU77" s="283"/>
      <c r="AIV77" s="283"/>
      <c r="AIW77" s="283"/>
      <c r="AIX77" s="283"/>
      <c r="AIY77" s="283"/>
      <c r="AIZ77" s="283"/>
      <c r="AJA77" s="283"/>
      <c r="AJB77" s="283"/>
      <c r="AJC77" s="283"/>
      <c r="AJD77" s="283"/>
      <c r="AJE77" s="283"/>
      <c r="AJF77" s="283"/>
      <c r="AJG77" s="283"/>
      <c r="AJH77" s="283"/>
      <c r="AJI77" s="283"/>
      <c r="AJJ77" s="283"/>
      <c r="AJK77" s="283"/>
      <c r="AJL77" s="283"/>
      <c r="AJM77" s="283"/>
      <c r="AJN77" s="283"/>
      <c r="AJO77" s="283"/>
      <c r="AJP77" s="283"/>
      <c r="AJQ77" s="283"/>
      <c r="AJR77" s="283"/>
      <c r="AJS77" s="283"/>
      <c r="AJT77" s="283"/>
      <c r="AJU77" s="283"/>
      <c r="AJV77" s="283"/>
      <c r="AJW77" s="283"/>
      <c r="AJX77" s="283"/>
      <c r="AJY77" s="283"/>
      <c r="AJZ77" s="283"/>
      <c r="AKA77" s="283"/>
      <c r="AKB77" s="283"/>
      <c r="AKC77" s="283"/>
      <c r="AKD77" s="283"/>
      <c r="AKE77" s="283"/>
      <c r="AKF77" s="283"/>
      <c r="AKG77" s="283"/>
      <c r="AKH77" s="283"/>
      <c r="AKI77" s="283"/>
      <c r="AKJ77" s="283"/>
      <c r="AKK77" s="283"/>
      <c r="AKL77" s="283"/>
      <c r="AKM77" s="283"/>
      <c r="AKN77" s="283"/>
      <c r="AKO77" s="283"/>
      <c r="AKP77" s="283"/>
      <c r="AKQ77" s="283"/>
      <c r="AKR77" s="283"/>
      <c r="AKS77" s="283"/>
      <c r="AKT77" s="283"/>
      <c r="AKU77" s="283"/>
      <c r="AKV77" s="283"/>
      <c r="AKW77" s="283"/>
      <c r="AKX77" s="283"/>
      <c r="AKY77" s="283"/>
      <c r="AKZ77" s="283"/>
      <c r="ALA77" s="283"/>
      <c r="ALB77" s="283"/>
      <c r="ALC77" s="283"/>
      <c r="ALD77" s="283"/>
      <c r="ALE77" s="283"/>
      <c r="ALF77" s="283"/>
      <c r="ALG77" s="283"/>
      <c r="ALH77" s="283"/>
      <c r="ALI77" s="283"/>
      <c r="ALJ77" s="283"/>
      <c r="ALK77" s="283"/>
      <c r="ALL77" s="283"/>
      <c r="ALM77" s="283"/>
      <c r="ALN77" s="283"/>
      <c r="ALO77" s="283"/>
      <c r="ALP77" s="283"/>
      <c r="ALQ77" s="283"/>
      <c r="ALR77" s="283"/>
      <c r="ALS77" s="283"/>
      <c r="ALT77" s="283"/>
      <c r="ALU77" s="283"/>
      <c r="ALV77" s="283"/>
      <c r="ALW77" s="283"/>
      <c r="ALX77" s="283"/>
      <c r="ALY77" s="283"/>
      <c r="ALZ77" s="283"/>
      <c r="AMA77" s="283"/>
      <c r="AMB77" s="283"/>
      <c r="AMC77" s="283"/>
      <c r="AMD77" s="283"/>
      <c r="AME77" s="283"/>
      <c r="AMF77" s="283"/>
      <c r="AMG77" s="283"/>
      <c r="AMH77" s="283"/>
      <c r="AMI77" s="283"/>
      <c r="AMJ77" s="283"/>
      <c r="AMK77" s="283"/>
    </row>
    <row r="78" spans="1:1025" s="417" customFormat="1" ht="11.25" x14ac:dyDescent="0.2">
      <c r="A78" s="283"/>
      <c r="B78" s="283"/>
      <c r="C78" s="283"/>
      <c r="D78" s="283"/>
      <c r="E78" s="283"/>
      <c r="F78" s="283"/>
      <c r="G78" s="283"/>
      <c r="H78" s="283"/>
      <c r="I78" s="82"/>
      <c r="J78" s="337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3"/>
      <c r="AN78" s="283"/>
      <c r="AO78" s="283"/>
      <c r="AP78" s="283"/>
      <c r="AQ78" s="283"/>
      <c r="AR78" s="283"/>
      <c r="AS78" s="283"/>
      <c r="AT78" s="283"/>
      <c r="AU78" s="283"/>
      <c r="AV78" s="283"/>
      <c r="AW78" s="283"/>
      <c r="AX78" s="283"/>
      <c r="AY78" s="283"/>
      <c r="AZ78" s="283"/>
      <c r="BA78" s="283"/>
      <c r="BB78" s="283"/>
      <c r="BC78" s="283"/>
      <c r="BD78" s="283"/>
      <c r="BE78" s="283"/>
      <c r="BF78" s="283"/>
      <c r="BG78" s="283"/>
      <c r="BH78" s="283"/>
      <c r="BI78" s="283"/>
      <c r="BJ78" s="283"/>
      <c r="BK78" s="283"/>
      <c r="BL78" s="283"/>
      <c r="BM78" s="283"/>
      <c r="BN78" s="283"/>
      <c r="BO78" s="283"/>
      <c r="BP78" s="283"/>
      <c r="BQ78" s="283"/>
      <c r="BR78" s="283"/>
      <c r="BS78" s="283"/>
      <c r="BT78" s="283"/>
      <c r="BU78" s="283"/>
      <c r="BV78" s="283"/>
      <c r="BW78" s="283"/>
      <c r="BX78" s="283"/>
      <c r="BY78" s="283"/>
      <c r="BZ78" s="283"/>
      <c r="CA78" s="283"/>
      <c r="CB78" s="283"/>
      <c r="CC78" s="283"/>
      <c r="CD78" s="283"/>
      <c r="CE78" s="283"/>
      <c r="CF78" s="283"/>
      <c r="CG78" s="283"/>
      <c r="CH78" s="283"/>
      <c r="CI78" s="283"/>
      <c r="CJ78" s="283"/>
      <c r="CK78" s="283"/>
      <c r="CL78" s="283"/>
      <c r="CM78" s="283"/>
      <c r="CN78" s="283"/>
      <c r="CO78" s="283"/>
      <c r="CP78" s="283"/>
      <c r="CQ78" s="283"/>
      <c r="CR78" s="283"/>
      <c r="CS78" s="283"/>
      <c r="CT78" s="283"/>
      <c r="CU78" s="283"/>
      <c r="CV78" s="283"/>
      <c r="CW78" s="283"/>
      <c r="CX78" s="283"/>
      <c r="CY78" s="283"/>
      <c r="CZ78" s="283"/>
      <c r="DA78" s="283"/>
      <c r="DB78" s="283"/>
      <c r="DC78" s="283"/>
      <c r="DD78" s="283"/>
      <c r="DE78" s="283"/>
      <c r="DF78" s="283"/>
      <c r="DG78" s="283"/>
      <c r="DH78" s="283"/>
      <c r="DI78" s="283"/>
      <c r="DJ78" s="283"/>
      <c r="DK78" s="283"/>
      <c r="DL78" s="283"/>
      <c r="DM78" s="283"/>
      <c r="DN78" s="283"/>
      <c r="DO78" s="283"/>
      <c r="DP78" s="283"/>
      <c r="DQ78" s="283"/>
      <c r="DR78" s="283"/>
      <c r="DS78" s="283"/>
      <c r="DT78" s="283"/>
      <c r="DU78" s="283"/>
      <c r="DV78" s="283"/>
      <c r="DW78" s="283"/>
      <c r="DX78" s="283"/>
      <c r="DY78" s="283"/>
      <c r="DZ78" s="283"/>
      <c r="EA78" s="283"/>
      <c r="EB78" s="283"/>
      <c r="EC78" s="283"/>
      <c r="ED78" s="283"/>
      <c r="EE78" s="283"/>
      <c r="EF78" s="283"/>
      <c r="EG78" s="283"/>
      <c r="EH78" s="283"/>
      <c r="EI78" s="283"/>
      <c r="EJ78" s="283"/>
      <c r="EK78" s="283"/>
      <c r="EL78" s="283"/>
      <c r="EM78" s="283"/>
      <c r="EN78" s="283"/>
      <c r="EO78" s="283"/>
      <c r="EP78" s="283"/>
      <c r="EQ78" s="283"/>
      <c r="ER78" s="283"/>
      <c r="ES78" s="283"/>
      <c r="ET78" s="283"/>
      <c r="EU78" s="283"/>
      <c r="EV78" s="283"/>
      <c r="EW78" s="283"/>
      <c r="EX78" s="283"/>
      <c r="EY78" s="283"/>
      <c r="EZ78" s="283"/>
      <c r="FA78" s="283"/>
      <c r="FB78" s="283"/>
      <c r="FC78" s="283"/>
      <c r="FD78" s="283"/>
      <c r="FE78" s="283"/>
      <c r="FF78" s="283"/>
      <c r="FG78" s="283"/>
      <c r="FH78" s="283"/>
      <c r="FI78" s="283"/>
      <c r="FJ78" s="283"/>
      <c r="FK78" s="283"/>
      <c r="FL78" s="283"/>
      <c r="FM78" s="283"/>
      <c r="FN78" s="283"/>
      <c r="FO78" s="283"/>
      <c r="FP78" s="283"/>
      <c r="FQ78" s="283"/>
      <c r="FR78" s="283"/>
      <c r="FS78" s="283"/>
      <c r="FT78" s="283"/>
      <c r="FU78" s="283"/>
      <c r="FV78" s="283"/>
      <c r="FW78" s="283"/>
      <c r="FX78" s="283"/>
      <c r="FY78" s="283"/>
      <c r="FZ78" s="283"/>
      <c r="GA78" s="283"/>
      <c r="GB78" s="283"/>
      <c r="GC78" s="283"/>
      <c r="GD78" s="283"/>
      <c r="GE78" s="283"/>
      <c r="GF78" s="283"/>
      <c r="GG78" s="283"/>
      <c r="GH78" s="283"/>
      <c r="GI78" s="283"/>
      <c r="GJ78" s="283"/>
      <c r="GK78" s="283"/>
      <c r="GL78" s="283"/>
      <c r="GM78" s="283"/>
      <c r="GN78" s="283"/>
      <c r="GO78" s="283"/>
      <c r="GP78" s="283"/>
      <c r="GQ78" s="283"/>
      <c r="GR78" s="283"/>
      <c r="GS78" s="283"/>
      <c r="GT78" s="283"/>
      <c r="GU78" s="283"/>
      <c r="GV78" s="283"/>
      <c r="GW78" s="283"/>
      <c r="GX78" s="283"/>
      <c r="GY78" s="283"/>
      <c r="GZ78" s="283"/>
      <c r="HA78" s="283"/>
      <c r="HB78" s="283"/>
      <c r="HC78" s="283"/>
      <c r="HD78" s="283"/>
      <c r="HE78" s="283"/>
      <c r="HF78" s="283"/>
      <c r="HG78" s="283"/>
      <c r="HH78" s="283"/>
      <c r="HI78" s="283"/>
      <c r="HJ78" s="283"/>
      <c r="HK78" s="283"/>
      <c r="HL78" s="283"/>
      <c r="HM78" s="283"/>
      <c r="HN78" s="283"/>
      <c r="HO78" s="283"/>
      <c r="HP78" s="283"/>
      <c r="HQ78" s="283"/>
      <c r="HR78" s="283"/>
      <c r="HS78" s="283"/>
      <c r="HT78" s="283"/>
      <c r="HU78" s="283"/>
      <c r="HV78" s="283"/>
      <c r="HW78" s="283"/>
      <c r="HX78" s="283"/>
      <c r="HY78" s="283"/>
      <c r="HZ78" s="283"/>
      <c r="IA78" s="283"/>
      <c r="IB78" s="283"/>
      <c r="IC78" s="283"/>
      <c r="ID78" s="283"/>
      <c r="IE78" s="283"/>
      <c r="IF78" s="283"/>
      <c r="IG78" s="283"/>
      <c r="IH78" s="283"/>
      <c r="II78" s="283"/>
      <c r="IJ78" s="283"/>
      <c r="IK78" s="283"/>
      <c r="IL78" s="283"/>
      <c r="IM78" s="283"/>
      <c r="IN78" s="283"/>
      <c r="IO78" s="283"/>
      <c r="IP78" s="283"/>
      <c r="IQ78" s="283"/>
      <c r="IR78" s="283"/>
      <c r="IS78" s="283"/>
      <c r="IT78" s="283"/>
      <c r="IU78" s="283"/>
      <c r="IV78" s="283"/>
      <c r="IW78" s="283"/>
      <c r="IX78" s="283"/>
      <c r="IY78" s="283"/>
      <c r="IZ78" s="283"/>
      <c r="JA78" s="283"/>
      <c r="JB78" s="283"/>
      <c r="JC78" s="283"/>
      <c r="JD78" s="283"/>
      <c r="JE78" s="283"/>
      <c r="JF78" s="283"/>
      <c r="JG78" s="283"/>
      <c r="JH78" s="283"/>
      <c r="JI78" s="283"/>
      <c r="JJ78" s="283"/>
      <c r="JK78" s="283"/>
      <c r="JL78" s="283"/>
      <c r="JM78" s="283"/>
      <c r="JN78" s="283"/>
      <c r="JO78" s="283"/>
      <c r="JP78" s="283"/>
      <c r="JQ78" s="283"/>
      <c r="JR78" s="283"/>
      <c r="JS78" s="283"/>
      <c r="JT78" s="283"/>
      <c r="JU78" s="283"/>
      <c r="JV78" s="283"/>
      <c r="JW78" s="283"/>
      <c r="JX78" s="283"/>
      <c r="JY78" s="283"/>
      <c r="JZ78" s="283"/>
      <c r="KA78" s="283"/>
      <c r="KB78" s="283"/>
      <c r="KC78" s="283"/>
      <c r="KD78" s="283"/>
      <c r="KE78" s="283"/>
      <c r="KF78" s="283"/>
      <c r="KG78" s="283"/>
      <c r="KH78" s="283"/>
      <c r="KI78" s="283"/>
      <c r="KJ78" s="283"/>
      <c r="KK78" s="283"/>
      <c r="KL78" s="283"/>
      <c r="KM78" s="283"/>
      <c r="KN78" s="283"/>
      <c r="KO78" s="283"/>
      <c r="KP78" s="283"/>
      <c r="KQ78" s="283"/>
      <c r="KR78" s="283"/>
      <c r="KS78" s="283"/>
      <c r="KT78" s="283"/>
      <c r="KU78" s="283"/>
      <c r="KV78" s="283"/>
      <c r="KW78" s="283"/>
      <c r="KX78" s="283"/>
      <c r="KY78" s="283"/>
      <c r="KZ78" s="283"/>
      <c r="LA78" s="283"/>
      <c r="LB78" s="283"/>
      <c r="LC78" s="283"/>
      <c r="LD78" s="283"/>
      <c r="LE78" s="283"/>
      <c r="LF78" s="283"/>
      <c r="LG78" s="283"/>
      <c r="LH78" s="283"/>
      <c r="LI78" s="283"/>
      <c r="LJ78" s="283"/>
      <c r="LK78" s="283"/>
      <c r="LL78" s="283"/>
      <c r="LM78" s="283"/>
      <c r="LN78" s="283"/>
      <c r="LO78" s="283"/>
      <c r="LP78" s="283"/>
      <c r="LQ78" s="283"/>
      <c r="LR78" s="283"/>
      <c r="LS78" s="283"/>
      <c r="LT78" s="283"/>
      <c r="LU78" s="283"/>
      <c r="LV78" s="283"/>
      <c r="LW78" s="283"/>
      <c r="LX78" s="283"/>
      <c r="LY78" s="283"/>
      <c r="LZ78" s="283"/>
      <c r="MA78" s="283"/>
      <c r="MB78" s="283"/>
      <c r="MC78" s="283"/>
      <c r="MD78" s="283"/>
      <c r="ME78" s="283"/>
      <c r="MF78" s="283"/>
      <c r="MG78" s="283"/>
      <c r="MH78" s="283"/>
      <c r="MI78" s="283"/>
      <c r="MJ78" s="283"/>
      <c r="MK78" s="283"/>
      <c r="ML78" s="283"/>
      <c r="MM78" s="283"/>
      <c r="MN78" s="283"/>
      <c r="MO78" s="283"/>
      <c r="MP78" s="283"/>
      <c r="MQ78" s="283"/>
      <c r="MR78" s="283"/>
      <c r="MS78" s="283"/>
      <c r="MT78" s="283"/>
      <c r="MU78" s="283"/>
      <c r="MV78" s="283"/>
      <c r="MW78" s="283"/>
      <c r="MX78" s="283"/>
      <c r="MY78" s="283"/>
      <c r="MZ78" s="283"/>
      <c r="NA78" s="283"/>
      <c r="NB78" s="283"/>
      <c r="NC78" s="283"/>
      <c r="ND78" s="283"/>
      <c r="NE78" s="283"/>
      <c r="NF78" s="283"/>
      <c r="NG78" s="283"/>
      <c r="NH78" s="283"/>
      <c r="NI78" s="283"/>
      <c r="NJ78" s="283"/>
      <c r="NK78" s="283"/>
      <c r="NL78" s="283"/>
      <c r="NM78" s="283"/>
      <c r="NN78" s="283"/>
      <c r="NO78" s="283"/>
      <c r="NP78" s="283"/>
      <c r="NQ78" s="283"/>
      <c r="NR78" s="283"/>
      <c r="NS78" s="283"/>
      <c r="NT78" s="283"/>
      <c r="NU78" s="283"/>
      <c r="NV78" s="283"/>
      <c r="NW78" s="283"/>
      <c r="NX78" s="283"/>
      <c r="NY78" s="283"/>
      <c r="NZ78" s="283"/>
      <c r="OA78" s="283"/>
      <c r="OB78" s="283"/>
      <c r="OC78" s="283"/>
      <c r="OD78" s="283"/>
      <c r="OE78" s="283"/>
      <c r="OF78" s="283"/>
      <c r="OG78" s="283"/>
      <c r="OH78" s="283"/>
      <c r="OI78" s="283"/>
      <c r="OJ78" s="283"/>
      <c r="OK78" s="283"/>
      <c r="OL78" s="283"/>
      <c r="OM78" s="283"/>
      <c r="ON78" s="283"/>
      <c r="OO78" s="283"/>
      <c r="OP78" s="283"/>
      <c r="OQ78" s="283"/>
      <c r="OR78" s="283"/>
      <c r="OS78" s="283"/>
      <c r="OT78" s="283"/>
      <c r="OU78" s="283"/>
      <c r="OV78" s="283"/>
      <c r="OW78" s="283"/>
      <c r="OX78" s="283"/>
      <c r="OY78" s="283"/>
      <c r="OZ78" s="283"/>
      <c r="PA78" s="283"/>
      <c r="PB78" s="283"/>
      <c r="PC78" s="283"/>
      <c r="PD78" s="283"/>
      <c r="PE78" s="283"/>
      <c r="PF78" s="283"/>
      <c r="PG78" s="283"/>
      <c r="PH78" s="283"/>
      <c r="PI78" s="283"/>
      <c r="PJ78" s="283"/>
      <c r="PK78" s="283"/>
      <c r="PL78" s="283"/>
      <c r="PM78" s="283"/>
      <c r="PN78" s="283"/>
      <c r="PO78" s="283"/>
      <c r="PP78" s="283"/>
      <c r="PQ78" s="283"/>
      <c r="PR78" s="283"/>
      <c r="PS78" s="283"/>
      <c r="PT78" s="283"/>
      <c r="PU78" s="283"/>
      <c r="PV78" s="283"/>
      <c r="PW78" s="283"/>
      <c r="PX78" s="283"/>
      <c r="PY78" s="283"/>
      <c r="PZ78" s="283"/>
      <c r="QA78" s="283"/>
      <c r="QB78" s="283"/>
      <c r="QC78" s="283"/>
      <c r="QD78" s="283"/>
      <c r="QE78" s="283"/>
      <c r="QF78" s="283"/>
      <c r="QG78" s="283"/>
      <c r="QH78" s="283"/>
      <c r="QI78" s="283"/>
      <c r="QJ78" s="283"/>
      <c r="QK78" s="283"/>
      <c r="QL78" s="283"/>
      <c r="QM78" s="283"/>
      <c r="QN78" s="283"/>
      <c r="QO78" s="283"/>
      <c r="QP78" s="283"/>
      <c r="QQ78" s="283"/>
      <c r="QR78" s="283"/>
      <c r="QS78" s="283"/>
      <c r="QT78" s="283"/>
      <c r="QU78" s="283"/>
      <c r="QV78" s="283"/>
      <c r="QW78" s="283"/>
      <c r="QX78" s="283"/>
      <c r="QY78" s="283"/>
      <c r="QZ78" s="283"/>
      <c r="RA78" s="283"/>
      <c r="RB78" s="283"/>
      <c r="RC78" s="283"/>
      <c r="RD78" s="283"/>
      <c r="RE78" s="283"/>
      <c r="RF78" s="283"/>
      <c r="RG78" s="283"/>
      <c r="RH78" s="283"/>
      <c r="RI78" s="283"/>
      <c r="RJ78" s="283"/>
      <c r="RK78" s="283"/>
      <c r="RL78" s="283"/>
      <c r="RM78" s="283"/>
      <c r="RN78" s="283"/>
      <c r="RO78" s="283"/>
      <c r="RP78" s="283"/>
      <c r="RQ78" s="283"/>
      <c r="RR78" s="283"/>
      <c r="RS78" s="283"/>
      <c r="RT78" s="283"/>
      <c r="RU78" s="283"/>
      <c r="RV78" s="283"/>
      <c r="RW78" s="283"/>
      <c r="RX78" s="283"/>
      <c r="RY78" s="283"/>
      <c r="RZ78" s="283"/>
      <c r="SA78" s="283"/>
      <c r="SB78" s="283"/>
      <c r="SC78" s="283"/>
      <c r="SD78" s="283"/>
      <c r="SE78" s="283"/>
      <c r="SF78" s="283"/>
      <c r="SG78" s="283"/>
      <c r="SH78" s="283"/>
      <c r="SI78" s="283"/>
      <c r="SJ78" s="283"/>
      <c r="SK78" s="283"/>
      <c r="SL78" s="283"/>
      <c r="SM78" s="283"/>
      <c r="SN78" s="283"/>
      <c r="SO78" s="283"/>
      <c r="SP78" s="283"/>
      <c r="SQ78" s="283"/>
      <c r="SR78" s="283"/>
      <c r="SS78" s="283"/>
      <c r="ST78" s="283"/>
      <c r="SU78" s="283"/>
      <c r="SV78" s="283"/>
      <c r="SW78" s="283"/>
      <c r="SX78" s="283"/>
      <c r="SY78" s="283"/>
      <c r="SZ78" s="283"/>
      <c r="TA78" s="283"/>
      <c r="TB78" s="283"/>
      <c r="TC78" s="283"/>
      <c r="TD78" s="283"/>
      <c r="TE78" s="283"/>
      <c r="TF78" s="283"/>
      <c r="TG78" s="283"/>
      <c r="TH78" s="283"/>
      <c r="TI78" s="283"/>
      <c r="TJ78" s="283"/>
      <c r="TK78" s="283"/>
      <c r="TL78" s="283"/>
      <c r="TM78" s="283"/>
      <c r="TN78" s="283"/>
      <c r="TO78" s="283"/>
      <c r="TP78" s="283"/>
      <c r="TQ78" s="283"/>
      <c r="TR78" s="283"/>
      <c r="TS78" s="283"/>
      <c r="TT78" s="283"/>
      <c r="TU78" s="283"/>
      <c r="TV78" s="283"/>
      <c r="TW78" s="283"/>
      <c r="TX78" s="283"/>
      <c r="TY78" s="283"/>
      <c r="TZ78" s="283"/>
      <c r="UA78" s="283"/>
      <c r="UB78" s="283"/>
      <c r="UC78" s="283"/>
      <c r="UD78" s="283"/>
      <c r="UE78" s="283"/>
      <c r="UF78" s="283"/>
      <c r="UG78" s="283"/>
      <c r="UH78" s="283"/>
      <c r="UI78" s="283"/>
      <c r="UJ78" s="283"/>
      <c r="UK78" s="283"/>
      <c r="UL78" s="283"/>
      <c r="UM78" s="283"/>
      <c r="UN78" s="283"/>
      <c r="UO78" s="283"/>
      <c r="UP78" s="283"/>
      <c r="UQ78" s="283"/>
      <c r="UR78" s="283"/>
      <c r="US78" s="283"/>
      <c r="UT78" s="283"/>
      <c r="UU78" s="283"/>
      <c r="UV78" s="283"/>
      <c r="UW78" s="283"/>
      <c r="UX78" s="283"/>
      <c r="UY78" s="283"/>
      <c r="UZ78" s="283"/>
      <c r="VA78" s="283"/>
      <c r="VB78" s="283"/>
      <c r="VC78" s="283"/>
      <c r="VD78" s="283"/>
      <c r="VE78" s="283"/>
      <c r="VF78" s="283"/>
      <c r="VG78" s="283"/>
      <c r="VH78" s="283"/>
      <c r="VI78" s="283"/>
      <c r="VJ78" s="283"/>
      <c r="VK78" s="283"/>
      <c r="VL78" s="283"/>
      <c r="VM78" s="283"/>
      <c r="VN78" s="283"/>
      <c r="VO78" s="283"/>
      <c r="VP78" s="283"/>
      <c r="VQ78" s="283"/>
      <c r="VR78" s="283"/>
      <c r="VS78" s="283"/>
      <c r="VT78" s="283"/>
      <c r="VU78" s="283"/>
      <c r="VV78" s="283"/>
      <c r="VW78" s="283"/>
      <c r="VX78" s="283"/>
      <c r="VY78" s="283"/>
      <c r="VZ78" s="283"/>
      <c r="WA78" s="283"/>
      <c r="WB78" s="283"/>
      <c r="WC78" s="283"/>
      <c r="WD78" s="283"/>
      <c r="WE78" s="283"/>
      <c r="WF78" s="283"/>
      <c r="WG78" s="283"/>
      <c r="WH78" s="283"/>
      <c r="WI78" s="283"/>
      <c r="WJ78" s="283"/>
      <c r="WK78" s="283"/>
      <c r="WL78" s="283"/>
      <c r="WM78" s="283"/>
      <c r="WN78" s="283"/>
      <c r="WO78" s="283"/>
      <c r="WP78" s="283"/>
      <c r="WQ78" s="283"/>
      <c r="WR78" s="283"/>
      <c r="WS78" s="283"/>
      <c r="WT78" s="283"/>
      <c r="WU78" s="283"/>
      <c r="WV78" s="283"/>
      <c r="WW78" s="283"/>
      <c r="WX78" s="283"/>
      <c r="WY78" s="283"/>
      <c r="WZ78" s="283"/>
      <c r="XA78" s="283"/>
      <c r="XB78" s="283"/>
      <c r="XC78" s="283"/>
      <c r="XD78" s="283"/>
      <c r="XE78" s="283"/>
      <c r="XF78" s="283"/>
      <c r="XG78" s="283"/>
      <c r="XH78" s="283"/>
      <c r="XI78" s="283"/>
      <c r="XJ78" s="283"/>
      <c r="XK78" s="283"/>
      <c r="XL78" s="283"/>
      <c r="XM78" s="283"/>
      <c r="XN78" s="283"/>
      <c r="XO78" s="283"/>
      <c r="XP78" s="283"/>
      <c r="XQ78" s="283"/>
      <c r="XR78" s="283"/>
      <c r="XS78" s="283"/>
      <c r="XT78" s="283"/>
      <c r="XU78" s="283"/>
      <c r="XV78" s="283"/>
      <c r="XW78" s="283"/>
      <c r="XX78" s="283"/>
      <c r="XY78" s="283"/>
      <c r="XZ78" s="283"/>
      <c r="YA78" s="283"/>
      <c r="YB78" s="283"/>
      <c r="YC78" s="283"/>
      <c r="YD78" s="283"/>
      <c r="YE78" s="283"/>
      <c r="YF78" s="283"/>
      <c r="YG78" s="283"/>
      <c r="YH78" s="283"/>
      <c r="YI78" s="283"/>
      <c r="YJ78" s="283"/>
      <c r="YK78" s="283"/>
      <c r="YL78" s="283"/>
      <c r="YM78" s="283"/>
      <c r="YN78" s="283"/>
      <c r="YO78" s="283"/>
      <c r="YP78" s="283"/>
      <c r="YQ78" s="283"/>
      <c r="YR78" s="283"/>
      <c r="YS78" s="283"/>
      <c r="YT78" s="283"/>
      <c r="YU78" s="283"/>
      <c r="YV78" s="283"/>
      <c r="YW78" s="283"/>
      <c r="YX78" s="283"/>
      <c r="YY78" s="283"/>
      <c r="YZ78" s="283"/>
      <c r="ZA78" s="283"/>
      <c r="ZB78" s="283"/>
      <c r="ZC78" s="283"/>
      <c r="ZD78" s="283"/>
      <c r="ZE78" s="283"/>
      <c r="ZF78" s="283"/>
      <c r="ZG78" s="283"/>
      <c r="ZH78" s="283"/>
      <c r="ZI78" s="283"/>
      <c r="ZJ78" s="283"/>
      <c r="ZK78" s="283"/>
      <c r="ZL78" s="283"/>
      <c r="ZM78" s="283"/>
      <c r="ZN78" s="283"/>
      <c r="ZO78" s="283"/>
      <c r="ZP78" s="283"/>
      <c r="ZQ78" s="283"/>
      <c r="ZR78" s="283"/>
      <c r="ZS78" s="283"/>
      <c r="ZT78" s="283"/>
      <c r="ZU78" s="283"/>
      <c r="ZV78" s="283"/>
      <c r="ZW78" s="283"/>
      <c r="ZX78" s="283"/>
      <c r="ZY78" s="283"/>
      <c r="ZZ78" s="283"/>
      <c r="AAA78" s="283"/>
      <c r="AAB78" s="283"/>
      <c r="AAC78" s="283"/>
      <c r="AAD78" s="283"/>
      <c r="AAE78" s="283"/>
      <c r="AAF78" s="283"/>
      <c r="AAG78" s="283"/>
      <c r="AAH78" s="283"/>
      <c r="AAI78" s="283"/>
      <c r="AAJ78" s="283"/>
      <c r="AAK78" s="283"/>
      <c r="AAL78" s="283"/>
      <c r="AAM78" s="283"/>
      <c r="AAN78" s="283"/>
      <c r="AAO78" s="283"/>
      <c r="AAP78" s="283"/>
      <c r="AAQ78" s="283"/>
      <c r="AAR78" s="283"/>
      <c r="AAS78" s="283"/>
      <c r="AAT78" s="283"/>
      <c r="AAU78" s="283"/>
      <c r="AAV78" s="283"/>
      <c r="AAW78" s="283"/>
      <c r="AAX78" s="283"/>
      <c r="AAY78" s="283"/>
      <c r="AAZ78" s="283"/>
      <c r="ABA78" s="283"/>
      <c r="ABB78" s="283"/>
      <c r="ABC78" s="283"/>
      <c r="ABD78" s="283"/>
      <c r="ABE78" s="283"/>
      <c r="ABF78" s="283"/>
      <c r="ABG78" s="283"/>
      <c r="ABH78" s="283"/>
      <c r="ABI78" s="283"/>
      <c r="ABJ78" s="283"/>
      <c r="ABK78" s="283"/>
      <c r="ABL78" s="283"/>
      <c r="ABM78" s="283"/>
      <c r="ABN78" s="283"/>
      <c r="ABO78" s="283"/>
      <c r="ABP78" s="283"/>
      <c r="ABQ78" s="283"/>
      <c r="ABR78" s="283"/>
      <c r="ABS78" s="283"/>
      <c r="ABT78" s="283"/>
      <c r="ABU78" s="283"/>
      <c r="ABV78" s="283"/>
      <c r="ABW78" s="283"/>
      <c r="ABX78" s="283"/>
      <c r="ABY78" s="283"/>
      <c r="ABZ78" s="283"/>
      <c r="ACA78" s="283"/>
      <c r="ACB78" s="283"/>
      <c r="ACC78" s="283"/>
      <c r="ACD78" s="283"/>
      <c r="ACE78" s="283"/>
      <c r="ACF78" s="283"/>
      <c r="ACG78" s="283"/>
      <c r="ACH78" s="283"/>
      <c r="ACI78" s="283"/>
      <c r="ACJ78" s="283"/>
      <c r="ACK78" s="283"/>
      <c r="ACL78" s="283"/>
      <c r="ACM78" s="283"/>
      <c r="ACN78" s="283"/>
      <c r="ACO78" s="283"/>
      <c r="ACP78" s="283"/>
      <c r="ACQ78" s="283"/>
      <c r="ACR78" s="283"/>
      <c r="ACS78" s="283"/>
      <c r="ACT78" s="283"/>
      <c r="ACU78" s="283"/>
      <c r="ACV78" s="283"/>
      <c r="ACW78" s="283"/>
      <c r="ACX78" s="283"/>
      <c r="ACY78" s="283"/>
      <c r="ACZ78" s="283"/>
      <c r="ADA78" s="283"/>
      <c r="ADB78" s="283"/>
      <c r="ADC78" s="283"/>
      <c r="ADD78" s="283"/>
      <c r="ADE78" s="283"/>
      <c r="ADF78" s="283"/>
      <c r="ADG78" s="283"/>
      <c r="ADH78" s="283"/>
      <c r="ADI78" s="283"/>
      <c r="ADJ78" s="283"/>
      <c r="ADK78" s="283"/>
      <c r="ADL78" s="283"/>
      <c r="ADM78" s="283"/>
      <c r="ADN78" s="283"/>
      <c r="ADO78" s="283"/>
      <c r="ADP78" s="283"/>
      <c r="ADQ78" s="283"/>
      <c r="ADR78" s="283"/>
      <c r="ADS78" s="283"/>
      <c r="ADT78" s="283"/>
      <c r="ADU78" s="283"/>
      <c r="ADV78" s="283"/>
      <c r="ADW78" s="283"/>
      <c r="ADX78" s="283"/>
      <c r="ADY78" s="283"/>
      <c r="ADZ78" s="283"/>
      <c r="AEA78" s="283"/>
      <c r="AEB78" s="283"/>
      <c r="AEC78" s="283"/>
      <c r="AED78" s="283"/>
      <c r="AEE78" s="283"/>
      <c r="AEF78" s="283"/>
      <c r="AEG78" s="283"/>
      <c r="AEH78" s="283"/>
      <c r="AEI78" s="283"/>
      <c r="AEJ78" s="283"/>
      <c r="AEK78" s="283"/>
      <c r="AEL78" s="283"/>
      <c r="AEM78" s="283"/>
      <c r="AEN78" s="283"/>
      <c r="AEO78" s="283"/>
      <c r="AEP78" s="283"/>
      <c r="AEQ78" s="283"/>
      <c r="AER78" s="283"/>
      <c r="AES78" s="283"/>
      <c r="AET78" s="283"/>
      <c r="AEU78" s="283"/>
      <c r="AEV78" s="283"/>
      <c r="AEW78" s="283"/>
      <c r="AEX78" s="283"/>
      <c r="AEY78" s="283"/>
      <c r="AEZ78" s="283"/>
      <c r="AFA78" s="283"/>
      <c r="AFB78" s="283"/>
      <c r="AFC78" s="283"/>
      <c r="AFD78" s="283"/>
      <c r="AFE78" s="283"/>
      <c r="AFF78" s="283"/>
      <c r="AFG78" s="283"/>
      <c r="AFH78" s="283"/>
      <c r="AFI78" s="283"/>
      <c r="AFJ78" s="283"/>
      <c r="AFK78" s="283"/>
      <c r="AFL78" s="283"/>
      <c r="AFM78" s="283"/>
      <c r="AFN78" s="283"/>
      <c r="AFO78" s="283"/>
      <c r="AFP78" s="283"/>
      <c r="AFQ78" s="283"/>
      <c r="AFR78" s="283"/>
      <c r="AFS78" s="283"/>
      <c r="AFT78" s="283"/>
      <c r="AFU78" s="283"/>
      <c r="AFV78" s="283"/>
      <c r="AFW78" s="283"/>
      <c r="AFX78" s="283"/>
      <c r="AFY78" s="283"/>
      <c r="AFZ78" s="283"/>
      <c r="AGA78" s="283"/>
      <c r="AGB78" s="283"/>
      <c r="AGC78" s="283"/>
      <c r="AGD78" s="283"/>
      <c r="AGE78" s="283"/>
      <c r="AGF78" s="283"/>
      <c r="AGG78" s="283"/>
      <c r="AGH78" s="283"/>
      <c r="AGI78" s="283"/>
      <c r="AGJ78" s="283"/>
      <c r="AGK78" s="283"/>
      <c r="AGL78" s="283"/>
      <c r="AGM78" s="283"/>
      <c r="AGN78" s="283"/>
      <c r="AGO78" s="283"/>
      <c r="AGP78" s="283"/>
      <c r="AGQ78" s="283"/>
      <c r="AGR78" s="283"/>
      <c r="AGS78" s="283"/>
      <c r="AGT78" s="283"/>
      <c r="AGU78" s="283"/>
      <c r="AGV78" s="283"/>
      <c r="AGW78" s="283"/>
      <c r="AGX78" s="283"/>
      <c r="AGY78" s="283"/>
      <c r="AGZ78" s="283"/>
      <c r="AHA78" s="283"/>
      <c r="AHB78" s="283"/>
      <c r="AHC78" s="283"/>
      <c r="AHD78" s="283"/>
      <c r="AHE78" s="283"/>
      <c r="AHF78" s="283"/>
      <c r="AHG78" s="283"/>
      <c r="AHH78" s="283"/>
      <c r="AHI78" s="283"/>
      <c r="AHJ78" s="283"/>
      <c r="AHK78" s="283"/>
      <c r="AHL78" s="283"/>
      <c r="AHM78" s="283"/>
      <c r="AHN78" s="283"/>
      <c r="AHO78" s="283"/>
      <c r="AHP78" s="283"/>
      <c r="AHQ78" s="283"/>
      <c r="AHR78" s="283"/>
      <c r="AHS78" s="283"/>
      <c r="AHT78" s="283"/>
      <c r="AHU78" s="283"/>
      <c r="AHV78" s="283"/>
      <c r="AHW78" s="283"/>
      <c r="AHX78" s="283"/>
      <c r="AHY78" s="283"/>
      <c r="AHZ78" s="283"/>
      <c r="AIA78" s="283"/>
      <c r="AIB78" s="283"/>
      <c r="AIC78" s="283"/>
      <c r="AID78" s="283"/>
      <c r="AIE78" s="283"/>
      <c r="AIF78" s="283"/>
      <c r="AIG78" s="283"/>
      <c r="AIH78" s="283"/>
      <c r="AII78" s="283"/>
      <c r="AIJ78" s="283"/>
      <c r="AIK78" s="283"/>
      <c r="AIL78" s="283"/>
      <c r="AIM78" s="283"/>
      <c r="AIN78" s="283"/>
      <c r="AIO78" s="283"/>
      <c r="AIP78" s="283"/>
      <c r="AIQ78" s="283"/>
      <c r="AIR78" s="283"/>
      <c r="AIS78" s="283"/>
      <c r="AIT78" s="283"/>
      <c r="AIU78" s="283"/>
      <c r="AIV78" s="283"/>
      <c r="AIW78" s="283"/>
      <c r="AIX78" s="283"/>
      <c r="AIY78" s="283"/>
      <c r="AIZ78" s="283"/>
      <c r="AJA78" s="283"/>
      <c r="AJB78" s="283"/>
      <c r="AJC78" s="283"/>
      <c r="AJD78" s="283"/>
      <c r="AJE78" s="283"/>
      <c r="AJF78" s="283"/>
      <c r="AJG78" s="283"/>
      <c r="AJH78" s="283"/>
      <c r="AJI78" s="283"/>
      <c r="AJJ78" s="283"/>
      <c r="AJK78" s="283"/>
      <c r="AJL78" s="283"/>
      <c r="AJM78" s="283"/>
      <c r="AJN78" s="283"/>
      <c r="AJO78" s="283"/>
      <c r="AJP78" s="283"/>
      <c r="AJQ78" s="283"/>
      <c r="AJR78" s="283"/>
      <c r="AJS78" s="283"/>
      <c r="AJT78" s="283"/>
      <c r="AJU78" s="283"/>
      <c r="AJV78" s="283"/>
      <c r="AJW78" s="283"/>
      <c r="AJX78" s="283"/>
      <c r="AJY78" s="283"/>
      <c r="AJZ78" s="283"/>
      <c r="AKA78" s="283"/>
      <c r="AKB78" s="283"/>
      <c r="AKC78" s="283"/>
      <c r="AKD78" s="283"/>
      <c r="AKE78" s="283"/>
      <c r="AKF78" s="283"/>
      <c r="AKG78" s="283"/>
      <c r="AKH78" s="283"/>
      <c r="AKI78" s="283"/>
      <c r="AKJ78" s="283"/>
      <c r="AKK78" s="283"/>
      <c r="AKL78" s="283"/>
      <c r="AKM78" s="283"/>
      <c r="AKN78" s="283"/>
      <c r="AKO78" s="283"/>
      <c r="AKP78" s="283"/>
      <c r="AKQ78" s="283"/>
      <c r="AKR78" s="283"/>
      <c r="AKS78" s="283"/>
      <c r="AKT78" s="283"/>
      <c r="AKU78" s="283"/>
      <c r="AKV78" s="283"/>
      <c r="AKW78" s="283"/>
      <c r="AKX78" s="283"/>
      <c r="AKY78" s="283"/>
      <c r="AKZ78" s="283"/>
      <c r="ALA78" s="283"/>
      <c r="ALB78" s="283"/>
      <c r="ALC78" s="283"/>
      <c r="ALD78" s="283"/>
      <c r="ALE78" s="283"/>
      <c r="ALF78" s="283"/>
      <c r="ALG78" s="283"/>
      <c r="ALH78" s="283"/>
      <c r="ALI78" s="283"/>
      <c r="ALJ78" s="283"/>
      <c r="ALK78" s="283"/>
      <c r="ALL78" s="283"/>
      <c r="ALM78" s="283"/>
      <c r="ALN78" s="283"/>
      <c r="ALO78" s="283"/>
      <c r="ALP78" s="283"/>
      <c r="ALQ78" s="283"/>
      <c r="ALR78" s="283"/>
      <c r="ALS78" s="283"/>
      <c r="ALT78" s="283"/>
      <c r="ALU78" s="283"/>
      <c r="ALV78" s="283"/>
      <c r="ALW78" s="283"/>
      <c r="ALX78" s="283"/>
      <c r="ALY78" s="283"/>
      <c r="ALZ78" s="283"/>
      <c r="AMA78" s="283"/>
      <c r="AMB78" s="283"/>
      <c r="AMC78" s="283"/>
      <c r="AMD78" s="283"/>
      <c r="AME78" s="283"/>
      <c r="AMF78" s="283"/>
      <c r="AMG78" s="283"/>
      <c r="AMH78" s="283"/>
      <c r="AMI78" s="283"/>
      <c r="AMJ78" s="283"/>
      <c r="AMK78" s="283"/>
    </row>
    <row r="79" spans="1:1025" s="417" customFormat="1" ht="11.25" x14ac:dyDescent="0.2">
      <c r="A79" s="283"/>
      <c r="B79" s="283"/>
      <c r="C79" s="283"/>
      <c r="D79" s="283"/>
      <c r="E79" s="283"/>
      <c r="F79" s="283"/>
      <c r="G79" s="283"/>
      <c r="H79" s="283"/>
      <c r="I79" s="452"/>
      <c r="J79" s="451"/>
      <c r="K79" s="283"/>
      <c r="L79" s="283"/>
      <c r="M79" s="283"/>
      <c r="N79" s="283"/>
      <c r="O79" s="283"/>
      <c r="P79" s="283"/>
      <c r="Q79" s="283"/>
      <c r="R79" s="283"/>
      <c r="S79" s="283"/>
      <c r="T79" s="283"/>
      <c r="U79" s="283"/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  <c r="AG79" s="283"/>
      <c r="AH79" s="283"/>
      <c r="AI79" s="283"/>
      <c r="AJ79" s="283"/>
      <c r="AK79" s="283"/>
      <c r="AL79" s="283"/>
      <c r="AM79" s="283"/>
      <c r="AN79" s="283"/>
      <c r="AO79" s="283"/>
      <c r="AP79" s="283"/>
      <c r="AQ79" s="283"/>
      <c r="AR79" s="283"/>
      <c r="AS79" s="283"/>
      <c r="AT79" s="283"/>
      <c r="AU79" s="283"/>
      <c r="AV79" s="283"/>
      <c r="AW79" s="283"/>
      <c r="AX79" s="283"/>
      <c r="AY79" s="283"/>
      <c r="AZ79" s="283"/>
      <c r="BA79" s="283"/>
      <c r="BB79" s="283"/>
      <c r="BC79" s="283"/>
      <c r="BD79" s="283"/>
      <c r="BE79" s="283"/>
      <c r="BF79" s="283"/>
      <c r="BG79" s="283"/>
      <c r="BH79" s="283"/>
      <c r="BI79" s="283"/>
      <c r="BJ79" s="283"/>
      <c r="BK79" s="283"/>
      <c r="BL79" s="283"/>
      <c r="BM79" s="283"/>
      <c r="BN79" s="283"/>
      <c r="BO79" s="283"/>
      <c r="BP79" s="283"/>
      <c r="BQ79" s="283"/>
      <c r="BR79" s="283"/>
      <c r="BS79" s="283"/>
      <c r="BT79" s="283"/>
      <c r="BU79" s="283"/>
      <c r="BV79" s="283"/>
      <c r="BW79" s="283"/>
      <c r="BX79" s="283"/>
      <c r="BY79" s="283"/>
      <c r="BZ79" s="283"/>
      <c r="CA79" s="283"/>
      <c r="CB79" s="283"/>
      <c r="CC79" s="283"/>
      <c r="CD79" s="283"/>
      <c r="CE79" s="283"/>
      <c r="CF79" s="283"/>
      <c r="CG79" s="283"/>
      <c r="CH79" s="283"/>
      <c r="CI79" s="283"/>
      <c r="CJ79" s="283"/>
      <c r="CK79" s="283"/>
      <c r="CL79" s="283"/>
      <c r="CM79" s="283"/>
      <c r="CN79" s="283"/>
      <c r="CO79" s="283"/>
      <c r="CP79" s="283"/>
      <c r="CQ79" s="283"/>
      <c r="CR79" s="283"/>
      <c r="CS79" s="283"/>
      <c r="CT79" s="283"/>
      <c r="CU79" s="283"/>
      <c r="CV79" s="283"/>
      <c r="CW79" s="283"/>
      <c r="CX79" s="283"/>
      <c r="CY79" s="283"/>
      <c r="CZ79" s="283"/>
      <c r="DA79" s="283"/>
      <c r="DB79" s="283"/>
      <c r="DC79" s="283"/>
      <c r="DD79" s="283"/>
      <c r="DE79" s="283"/>
      <c r="DF79" s="283"/>
      <c r="DG79" s="283"/>
      <c r="DH79" s="283"/>
      <c r="DI79" s="283"/>
      <c r="DJ79" s="283"/>
      <c r="DK79" s="283"/>
      <c r="DL79" s="283"/>
      <c r="DM79" s="283"/>
      <c r="DN79" s="283"/>
      <c r="DO79" s="283"/>
      <c r="DP79" s="283"/>
      <c r="DQ79" s="283"/>
      <c r="DR79" s="283"/>
      <c r="DS79" s="283"/>
      <c r="DT79" s="283"/>
      <c r="DU79" s="283"/>
      <c r="DV79" s="283"/>
      <c r="DW79" s="283"/>
      <c r="DX79" s="283"/>
      <c r="DY79" s="283"/>
      <c r="DZ79" s="283"/>
      <c r="EA79" s="283"/>
      <c r="EB79" s="283"/>
      <c r="EC79" s="283"/>
      <c r="ED79" s="283"/>
      <c r="EE79" s="283"/>
      <c r="EF79" s="283"/>
      <c r="EG79" s="283"/>
      <c r="EH79" s="283"/>
      <c r="EI79" s="283"/>
      <c r="EJ79" s="283"/>
      <c r="EK79" s="283"/>
      <c r="EL79" s="283"/>
      <c r="EM79" s="283"/>
      <c r="EN79" s="283"/>
      <c r="EO79" s="283"/>
      <c r="EP79" s="283"/>
      <c r="EQ79" s="283"/>
      <c r="ER79" s="283"/>
      <c r="ES79" s="283"/>
      <c r="ET79" s="283"/>
      <c r="EU79" s="283"/>
      <c r="EV79" s="283"/>
      <c r="EW79" s="283"/>
      <c r="EX79" s="283"/>
      <c r="EY79" s="283"/>
      <c r="EZ79" s="283"/>
      <c r="FA79" s="283"/>
      <c r="FB79" s="283"/>
      <c r="FC79" s="283"/>
      <c r="FD79" s="283"/>
      <c r="FE79" s="283"/>
      <c r="FF79" s="283"/>
      <c r="FG79" s="283"/>
      <c r="FH79" s="283"/>
      <c r="FI79" s="283"/>
      <c r="FJ79" s="283"/>
      <c r="FK79" s="283"/>
      <c r="FL79" s="283"/>
      <c r="FM79" s="283"/>
      <c r="FN79" s="283"/>
      <c r="FO79" s="283"/>
      <c r="FP79" s="283"/>
      <c r="FQ79" s="283"/>
      <c r="FR79" s="283"/>
      <c r="FS79" s="283"/>
      <c r="FT79" s="283"/>
      <c r="FU79" s="283"/>
      <c r="FV79" s="283"/>
      <c r="FW79" s="283"/>
      <c r="FX79" s="283"/>
      <c r="FY79" s="283"/>
      <c r="FZ79" s="283"/>
      <c r="GA79" s="283"/>
      <c r="GB79" s="283"/>
      <c r="GC79" s="283"/>
      <c r="GD79" s="283"/>
      <c r="GE79" s="283"/>
      <c r="GF79" s="283"/>
      <c r="GG79" s="283"/>
      <c r="GH79" s="283"/>
      <c r="GI79" s="283"/>
      <c r="GJ79" s="283"/>
      <c r="GK79" s="283"/>
      <c r="GL79" s="283"/>
      <c r="GM79" s="283"/>
      <c r="GN79" s="283"/>
      <c r="GO79" s="283"/>
      <c r="GP79" s="283"/>
      <c r="GQ79" s="283"/>
      <c r="GR79" s="283"/>
      <c r="GS79" s="283"/>
      <c r="GT79" s="283"/>
      <c r="GU79" s="283"/>
      <c r="GV79" s="283"/>
      <c r="GW79" s="283"/>
      <c r="GX79" s="283"/>
      <c r="GY79" s="283"/>
      <c r="GZ79" s="283"/>
      <c r="HA79" s="283"/>
      <c r="HB79" s="283"/>
      <c r="HC79" s="283"/>
      <c r="HD79" s="283"/>
      <c r="HE79" s="283"/>
      <c r="HF79" s="283"/>
      <c r="HG79" s="283"/>
      <c r="HH79" s="283"/>
      <c r="HI79" s="283"/>
      <c r="HJ79" s="283"/>
      <c r="HK79" s="283"/>
      <c r="HL79" s="283"/>
      <c r="HM79" s="283"/>
      <c r="HN79" s="283"/>
      <c r="HO79" s="283"/>
      <c r="HP79" s="283"/>
      <c r="HQ79" s="283"/>
      <c r="HR79" s="283"/>
      <c r="HS79" s="283"/>
      <c r="HT79" s="283"/>
      <c r="HU79" s="283"/>
      <c r="HV79" s="283"/>
      <c r="HW79" s="283"/>
      <c r="HX79" s="283"/>
      <c r="HY79" s="283"/>
      <c r="HZ79" s="283"/>
      <c r="IA79" s="283"/>
      <c r="IB79" s="283"/>
      <c r="IC79" s="283"/>
      <c r="ID79" s="283"/>
      <c r="IE79" s="283"/>
      <c r="IF79" s="283"/>
      <c r="IG79" s="283"/>
      <c r="IH79" s="283"/>
      <c r="II79" s="283"/>
      <c r="IJ79" s="283"/>
      <c r="IK79" s="283"/>
      <c r="IL79" s="283"/>
      <c r="IM79" s="283"/>
      <c r="IN79" s="283"/>
      <c r="IO79" s="283"/>
      <c r="IP79" s="283"/>
      <c r="IQ79" s="283"/>
      <c r="IR79" s="283"/>
      <c r="IS79" s="283"/>
      <c r="IT79" s="283"/>
      <c r="IU79" s="283"/>
      <c r="IV79" s="283"/>
      <c r="IW79" s="283"/>
      <c r="IX79" s="283"/>
      <c r="IY79" s="283"/>
      <c r="IZ79" s="283"/>
      <c r="JA79" s="283"/>
      <c r="JB79" s="283"/>
      <c r="JC79" s="283"/>
      <c r="JD79" s="283"/>
      <c r="JE79" s="283"/>
      <c r="JF79" s="283"/>
      <c r="JG79" s="283"/>
      <c r="JH79" s="283"/>
      <c r="JI79" s="283"/>
      <c r="JJ79" s="283"/>
      <c r="JK79" s="283"/>
      <c r="JL79" s="283"/>
      <c r="JM79" s="283"/>
      <c r="JN79" s="283"/>
      <c r="JO79" s="283"/>
      <c r="JP79" s="283"/>
      <c r="JQ79" s="283"/>
      <c r="JR79" s="283"/>
      <c r="JS79" s="283"/>
      <c r="JT79" s="283"/>
      <c r="JU79" s="283"/>
      <c r="JV79" s="283"/>
      <c r="JW79" s="283"/>
      <c r="JX79" s="283"/>
      <c r="JY79" s="283"/>
      <c r="JZ79" s="283"/>
      <c r="KA79" s="283"/>
      <c r="KB79" s="283"/>
      <c r="KC79" s="283"/>
      <c r="KD79" s="283"/>
      <c r="KE79" s="283"/>
      <c r="KF79" s="283"/>
      <c r="KG79" s="283"/>
      <c r="KH79" s="283"/>
      <c r="KI79" s="283"/>
      <c r="KJ79" s="283"/>
      <c r="KK79" s="283"/>
      <c r="KL79" s="283"/>
      <c r="KM79" s="283"/>
      <c r="KN79" s="283"/>
      <c r="KO79" s="283"/>
      <c r="KP79" s="283"/>
      <c r="KQ79" s="283"/>
      <c r="KR79" s="283"/>
      <c r="KS79" s="283"/>
      <c r="KT79" s="283"/>
      <c r="KU79" s="283"/>
      <c r="KV79" s="283"/>
      <c r="KW79" s="283"/>
      <c r="KX79" s="283"/>
      <c r="KY79" s="283"/>
      <c r="KZ79" s="283"/>
      <c r="LA79" s="283"/>
      <c r="LB79" s="283"/>
      <c r="LC79" s="283"/>
      <c r="LD79" s="283"/>
      <c r="LE79" s="283"/>
      <c r="LF79" s="283"/>
      <c r="LG79" s="283"/>
      <c r="LH79" s="283"/>
      <c r="LI79" s="283"/>
      <c r="LJ79" s="283"/>
      <c r="LK79" s="283"/>
      <c r="LL79" s="283"/>
      <c r="LM79" s="283"/>
      <c r="LN79" s="283"/>
      <c r="LO79" s="283"/>
      <c r="LP79" s="283"/>
      <c r="LQ79" s="283"/>
      <c r="LR79" s="283"/>
      <c r="LS79" s="283"/>
      <c r="LT79" s="283"/>
      <c r="LU79" s="283"/>
      <c r="LV79" s="283"/>
      <c r="LW79" s="283"/>
      <c r="LX79" s="283"/>
      <c r="LY79" s="283"/>
      <c r="LZ79" s="283"/>
      <c r="MA79" s="283"/>
      <c r="MB79" s="283"/>
      <c r="MC79" s="283"/>
      <c r="MD79" s="283"/>
      <c r="ME79" s="283"/>
      <c r="MF79" s="283"/>
      <c r="MG79" s="283"/>
      <c r="MH79" s="283"/>
      <c r="MI79" s="283"/>
      <c r="MJ79" s="283"/>
      <c r="MK79" s="283"/>
      <c r="ML79" s="283"/>
      <c r="MM79" s="283"/>
      <c r="MN79" s="283"/>
      <c r="MO79" s="283"/>
      <c r="MP79" s="283"/>
      <c r="MQ79" s="283"/>
      <c r="MR79" s="283"/>
      <c r="MS79" s="283"/>
      <c r="MT79" s="283"/>
      <c r="MU79" s="283"/>
      <c r="MV79" s="283"/>
      <c r="MW79" s="283"/>
      <c r="MX79" s="283"/>
      <c r="MY79" s="283"/>
      <c r="MZ79" s="283"/>
      <c r="NA79" s="283"/>
      <c r="NB79" s="283"/>
      <c r="NC79" s="283"/>
      <c r="ND79" s="283"/>
      <c r="NE79" s="283"/>
      <c r="NF79" s="283"/>
      <c r="NG79" s="283"/>
      <c r="NH79" s="283"/>
      <c r="NI79" s="283"/>
      <c r="NJ79" s="283"/>
      <c r="NK79" s="283"/>
      <c r="NL79" s="283"/>
      <c r="NM79" s="283"/>
      <c r="NN79" s="283"/>
      <c r="NO79" s="283"/>
      <c r="NP79" s="283"/>
      <c r="NQ79" s="283"/>
      <c r="NR79" s="283"/>
      <c r="NS79" s="283"/>
      <c r="NT79" s="283"/>
      <c r="NU79" s="283"/>
      <c r="NV79" s="283"/>
      <c r="NW79" s="283"/>
      <c r="NX79" s="283"/>
      <c r="NY79" s="283"/>
      <c r="NZ79" s="283"/>
      <c r="OA79" s="283"/>
      <c r="OB79" s="283"/>
      <c r="OC79" s="283"/>
      <c r="OD79" s="283"/>
      <c r="OE79" s="283"/>
      <c r="OF79" s="283"/>
      <c r="OG79" s="283"/>
      <c r="OH79" s="283"/>
      <c r="OI79" s="283"/>
      <c r="OJ79" s="283"/>
      <c r="OK79" s="283"/>
      <c r="OL79" s="283"/>
      <c r="OM79" s="283"/>
      <c r="ON79" s="283"/>
      <c r="OO79" s="283"/>
      <c r="OP79" s="283"/>
      <c r="OQ79" s="283"/>
      <c r="OR79" s="283"/>
      <c r="OS79" s="283"/>
      <c r="OT79" s="283"/>
      <c r="OU79" s="283"/>
      <c r="OV79" s="283"/>
      <c r="OW79" s="283"/>
      <c r="OX79" s="283"/>
      <c r="OY79" s="283"/>
      <c r="OZ79" s="283"/>
      <c r="PA79" s="283"/>
      <c r="PB79" s="283"/>
      <c r="PC79" s="283"/>
      <c r="PD79" s="283"/>
      <c r="PE79" s="283"/>
      <c r="PF79" s="283"/>
      <c r="PG79" s="283"/>
      <c r="PH79" s="283"/>
      <c r="PI79" s="283"/>
      <c r="PJ79" s="283"/>
      <c r="PK79" s="283"/>
      <c r="PL79" s="283"/>
      <c r="PM79" s="283"/>
      <c r="PN79" s="283"/>
      <c r="PO79" s="283"/>
      <c r="PP79" s="283"/>
      <c r="PQ79" s="283"/>
      <c r="PR79" s="283"/>
      <c r="PS79" s="283"/>
      <c r="PT79" s="283"/>
      <c r="PU79" s="283"/>
      <c r="PV79" s="283"/>
      <c r="PW79" s="283"/>
      <c r="PX79" s="283"/>
      <c r="PY79" s="283"/>
      <c r="PZ79" s="283"/>
      <c r="QA79" s="283"/>
      <c r="QB79" s="283"/>
      <c r="QC79" s="283"/>
      <c r="QD79" s="283"/>
      <c r="QE79" s="283"/>
      <c r="QF79" s="283"/>
      <c r="QG79" s="283"/>
      <c r="QH79" s="283"/>
      <c r="QI79" s="283"/>
      <c r="QJ79" s="283"/>
      <c r="QK79" s="283"/>
      <c r="QL79" s="283"/>
      <c r="QM79" s="283"/>
      <c r="QN79" s="283"/>
      <c r="QO79" s="283"/>
      <c r="QP79" s="283"/>
      <c r="QQ79" s="283"/>
      <c r="QR79" s="283"/>
      <c r="QS79" s="283"/>
      <c r="QT79" s="283"/>
      <c r="QU79" s="283"/>
      <c r="QV79" s="283"/>
      <c r="QW79" s="283"/>
      <c r="QX79" s="283"/>
      <c r="QY79" s="283"/>
      <c r="QZ79" s="283"/>
      <c r="RA79" s="283"/>
      <c r="RB79" s="283"/>
      <c r="RC79" s="283"/>
      <c r="RD79" s="283"/>
      <c r="RE79" s="283"/>
      <c r="RF79" s="283"/>
      <c r="RG79" s="283"/>
      <c r="RH79" s="283"/>
      <c r="RI79" s="283"/>
      <c r="RJ79" s="283"/>
      <c r="RK79" s="283"/>
      <c r="RL79" s="283"/>
      <c r="RM79" s="283"/>
      <c r="RN79" s="283"/>
      <c r="RO79" s="283"/>
      <c r="RP79" s="283"/>
      <c r="RQ79" s="283"/>
      <c r="RR79" s="283"/>
      <c r="RS79" s="283"/>
      <c r="RT79" s="283"/>
      <c r="RU79" s="283"/>
      <c r="RV79" s="283"/>
      <c r="RW79" s="283"/>
      <c r="RX79" s="283"/>
      <c r="RY79" s="283"/>
      <c r="RZ79" s="283"/>
      <c r="SA79" s="283"/>
      <c r="SB79" s="283"/>
      <c r="SC79" s="283"/>
      <c r="SD79" s="283"/>
      <c r="SE79" s="283"/>
      <c r="SF79" s="283"/>
      <c r="SG79" s="283"/>
      <c r="SH79" s="283"/>
      <c r="SI79" s="283"/>
      <c r="SJ79" s="283"/>
      <c r="SK79" s="283"/>
      <c r="SL79" s="283"/>
      <c r="SM79" s="283"/>
      <c r="SN79" s="283"/>
      <c r="SO79" s="283"/>
      <c r="SP79" s="283"/>
      <c r="SQ79" s="283"/>
      <c r="SR79" s="283"/>
      <c r="SS79" s="283"/>
      <c r="ST79" s="283"/>
      <c r="SU79" s="283"/>
      <c r="SV79" s="283"/>
      <c r="SW79" s="283"/>
      <c r="SX79" s="283"/>
      <c r="SY79" s="283"/>
      <c r="SZ79" s="283"/>
      <c r="TA79" s="283"/>
      <c r="TB79" s="283"/>
      <c r="TC79" s="283"/>
      <c r="TD79" s="283"/>
      <c r="TE79" s="283"/>
      <c r="TF79" s="283"/>
      <c r="TG79" s="283"/>
      <c r="TH79" s="283"/>
      <c r="TI79" s="283"/>
      <c r="TJ79" s="283"/>
      <c r="TK79" s="283"/>
      <c r="TL79" s="283"/>
      <c r="TM79" s="283"/>
      <c r="TN79" s="283"/>
      <c r="TO79" s="283"/>
      <c r="TP79" s="283"/>
      <c r="TQ79" s="283"/>
      <c r="TR79" s="283"/>
      <c r="TS79" s="283"/>
      <c r="TT79" s="283"/>
      <c r="TU79" s="283"/>
      <c r="TV79" s="283"/>
      <c r="TW79" s="283"/>
      <c r="TX79" s="283"/>
      <c r="TY79" s="283"/>
      <c r="TZ79" s="283"/>
      <c r="UA79" s="283"/>
      <c r="UB79" s="283"/>
      <c r="UC79" s="283"/>
      <c r="UD79" s="283"/>
      <c r="UE79" s="283"/>
      <c r="UF79" s="283"/>
      <c r="UG79" s="283"/>
      <c r="UH79" s="283"/>
      <c r="UI79" s="283"/>
      <c r="UJ79" s="283"/>
      <c r="UK79" s="283"/>
      <c r="UL79" s="283"/>
      <c r="UM79" s="283"/>
      <c r="UN79" s="283"/>
      <c r="UO79" s="283"/>
      <c r="UP79" s="283"/>
      <c r="UQ79" s="283"/>
      <c r="UR79" s="283"/>
      <c r="US79" s="283"/>
      <c r="UT79" s="283"/>
      <c r="UU79" s="283"/>
      <c r="UV79" s="283"/>
      <c r="UW79" s="283"/>
      <c r="UX79" s="283"/>
      <c r="UY79" s="283"/>
      <c r="UZ79" s="283"/>
      <c r="VA79" s="283"/>
      <c r="VB79" s="283"/>
      <c r="VC79" s="283"/>
      <c r="VD79" s="283"/>
      <c r="VE79" s="283"/>
      <c r="VF79" s="283"/>
      <c r="VG79" s="283"/>
      <c r="VH79" s="283"/>
      <c r="VI79" s="283"/>
      <c r="VJ79" s="283"/>
      <c r="VK79" s="283"/>
      <c r="VL79" s="283"/>
      <c r="VM79" s="283"/>
      <c r="VN79" s="283"/>
      <c r="VO79" s="283"/>
      <c r="VP79" s="283"/>
      <c r="VQ79" s="283"/>
      <c r="VR79" s="283"/>
      <c r="VS79" s="283"/>
      <c r="VT79" s="283"/>
      <c r="VU79" s="283"/>
      <c r="VV79" s="283"/>
      <c r="VW79" s="283"/>
      <c r="VX79" s="283"/>
      <c r="VY79" s="283"/>
      <c r="VZ79" s="283"/>
      <c r="WA79" s="283"/>
      <c r="WB79" s="283"/>
      <c r="WC79" s="283"/>
      <c r="WD79" s="283"/>
      <c r="WE79" s="283"/>
      <c r="WF79" s="283"/>
      <c r="WG79" s="283"/>
      <c r="WH79" s="283"/>
      <c r="WI79" s="283"/>
      <c r="WJ79" s="283"/>
      <c r="WK79" s="283"/>
      <c r="WL79" s="283"/>
      <c r="WM79" s="283"/>
      <c r="WN79" s="283"/>
      <c r="WO79" s="283"/>
      <c r="WP79" s="283"/>
      <c r="WQ79" s="283"/>
      <c r="WR79" s="283"/>
      <c r="WS79" s="283"/>
      <c r="WT79" s="283"/>
      <c r="WU79" s="283"/>
      <c r="WV79" s="283"/>
      <c r="WW79" s="283"/>
      <c r="WX79" s="283"/>
      <c r="WY79" s="283"/>
      <c r="WZ79" s="283"/>
      <c r="XA79" s="283"/>
      <c r="XB79" s="283"/>
      <c r="XC79" s="283"/>
      <c r="XD79" s="283"/>
      <c r="XE79" s="283"/>
      <c r="XF79" s="283"/>
      <c r="XG79" s="283"/>
      <c r="XH79" s="283"/>
      <c r="XI79" s="283"/>
      <c r="XJ79" s="283"/>
      <c r="XK79" s="283"/>
      <c r="XL79" s="283"/>
      <c r="XM79" s="283"/>
      <c r="XN79" s="283"/>
      <c r="XO79" s="283"/>
      <c r="XP79" s="283"/>
      <c r="XQ79" s="283"/>
      <c r="XR79" s="283"/>
      <c r="XS79" s="283"/>
      <c r="XT79" s="283"/>
      <c r="XU79" s="283"/>
      <c r="XV79" s="283"/>
      <c r="XW79" s="283"/>
      <c r="XX79" s="283"/>
      <c r="XY79" s="283"/>
      <c r="XZ79" s="283"/>
      <c r="YA79" s="283"/>
      <c r="YB79" s="283"/>
      <c r="YC79" s="283"/>
      <c r="YD79" s="283"/>
      <c r="YE79" s="283"/>
      <c r="YF79" s="283"/>
      <c r="YG79" s="283"/>
      <c r="YH79" s="283"/>
      <c r="YI79" s="283"/>
      <c r="YJ79" s="283"/>
      <c r="YK79" s="283"/>
      <c r="YL79" s="283"/>
      <c r="YM79" s="283"/>
      <c r="YN79" s="283"/>
      <c r="YO79" s="283"/>
      <c r="YP79" s="283"/>
      <c r="YQ79" s="283"/>
      <c r="YR79" s="283"/>
      <c r="YS79" s="283"/>
      <c r="YT79" s="283"/>
      <c r="YU79" s="283"/>
      <c r="YV79" s="283"/>
      <c r="YW79" s="283"/>
      <c r="YX79" s="283"/>
      <c r="YY79" s="283"/>
      <c r="YZ79" s="283"/>
      <c r="ZA79" s="283"/>
      <c r="ZB79" s="283"/>
      <c r="ZC79" s="283"/>
      <c r="ZD79" s="283"/>
      <c r="ZE79" s="283"/>
      <c r="ZF79" s="283"/>
      <c r="ZG79" s="283"/>
      <c r="ZH79" s="283"/>
      <c r="ZI79" s="283"/>
      <c r="ZJ79" s="283"/>
      <c r="ZK79" s="283"/>
      <c r="ZL79" s="283"/>
      <c r="ZM79" s="283"/>
      <c r="ZN79" s="283"/>
      <c r="ZO79" s="283"/>
      <c r="ZP79" s="283"/>
      <c r="ZQ79" s="283"/>
      <c r="ZR79" s="283"/>
      <c r="ZS79" s="283"/>
      <c r="ZT79" s="283"/>
      <c r="ZU79" s="283"/>
      <c r="ZV79" s="283"/>
      <c r="ZW79" s="283"/>
      <c r="ZX79" s="283"/>
      <c r="ZY79" s="283"/>
      <c r="ZZ79" s="283"/>
      <c r="AAA79" s="283"/>
      <c r="AAB79" s="283"/>
      <c r="AAC79" s="283"/>
      <c r="AAD79" s="283"/>
      <c r="AAE79" s="283"/>
      <c r="AAF79" s="283"/>
      <c r="AAG79" s="283"/>
      <c r="AAH79" s="283"/>
      <c r="AAI79" s="283"/>
      <c r="AAJ79" s="283"/>
      <c r="AAK79" s="283"/>
      <c r="AAL79" s="283"/>
      <c r="AAM79" s="283"/>
      <c r="AAN79" s="283"/>
      <c r="AAO79" s="283"/>
      <c r="AAP79" s="283"/>
      <c r="AAQ79" s="283"/>
      <c r="AAR79" s="283"/>
      <c r="AAS79" s="283"/>
      <c r="AAT79" s="283"/>
      <c r="AAU79" s="283"/>
      <c r="AAV79" s="283"/>
      <c r="AAW79" s="283"/>
      <c r="AAX79" s="283"/>
      <c r="AAY79" s="283"/>
      <c r="AAZ79" s="283"/>
      <c r="ABA79" s="283"/>
      <c r="ABB79" s="283"/>
      <c r="ABC79" s="283"/>
      <c r="ABD79" s="283"/>
      <c r="ABE79" s="283"/>
      <c r="ABF79" s="283"/>
      <c r="ABG79" s="283"/>
      <c r="ABH79" s="283"/>
      <c r="ABI79" s="283"/>
      <c r="ABJ79" s="283"/>
      <c r="ABK79" s="283"/>
      <c r="ABL79" s="283"/>
      <c r="ABM79" s="283"/>
      <c r="ABN79" s="283"/>
      <c r="ABO79" s="283"/>
      <c r="ABP79" s="283"/>
      <c r="ABQ79" s="283"/>
      <c r="ABR79" s="283"/>
      <c r="ABS79" s="283"/>
      <c r="ABT79" s="283"/>
      <c r="ABU79" s="283"/>
      <c r="ABV79" s="283"/>
      <c r="ABW79" s="283"/>
      <c r="ABX79" s="283"/>
      <c r="ABY79" s="283"/>
      <c r="ABZ79" s="283"/>
      <c r="ACA79" s="283"/>
      <c r="ACB79" s="283"/>
      <c r="ACC79" s="283"/>
      <c r="ACD79" s="283"/>
      <c r="ACE79" s="283"/>
      <c r="ACF79" s="283"/>
      <c r="ACG79" s="283"/>
      <c r="ACH79" s="283"/>
      <c r="ACI79" s="283"/>
      <c r="ACJ79" s="283"/>
      <c r="ACK79" s="283"/>
      <c r="ACL79" s="283"/>
      <c r="ACM79" s="283"/>
      <c r="ACN79" s="283"/>
      <c r="ACO79" s="283"/>
      <c r="ACP79" s="283"/>
      <c r="ACQ79" s="283"/>
      <c r="ACR79" s="283"/>
      <c r="ACS79" s="283"/>
      <c r="ACT79" s="283"/>
      <c r="ACU79" s="283"/>
      <c r="ACV79" s="283"/>
      <c r="ACW79" s="283"/>
      <c r="ACX79" s="283"/>
      <c r="ACY79" s="283"/>
      <c r="ACZ79" s="283"/>
      <c r="ADA79" s="283"/>
      <c r="ADB79" s="283"/>
      <c r="ADC79" s="283"/>
      <c r="ADD79" s="283"/>
      <c r="ADE79" s="283"/>
      <c r="ADF79" s="283"/>
      <c r="ADG79" s="283"/>
      <c r="ADH79" s="283"/>
      <c r="ADI79" s="283"/>
      <c r="ADJ79" s="283"/>
      <c r="ADK79" s="283"/>
      <c r="ADL79" s="283"/>
      <c r="ADM79" s="283"/>
      <c r="ADN79" s="283"/>
      <c r="ADO79" s="283"/>
      <c r="ADP79" s="283"/>
      <c r="ADQ79" s="283"/>
      <c r="ADR79" s="283"/>
      <c r="ADS79" s="283"/>
      <c r="ADT79" s="283"/>
      <c r="ADU79" s="283"/>
      <c r="ADV79" s="283"/>
      <c r="ADW79" s="283"/>
      <c r="ADX79" s="283"/>
      <c r="ADY79" s="283"/>
      <c r="ADZ79" s="283"/>
      <c r="AEA79" s="283"/>
      <c r="AEB79" s="283"/>
      <c r="AEC79" s="283"/>
      <c r="AED79" s="283"/>
      <c r="AEE79" s="283"/>
      <c r="AEF79" s="283"/>
      <c r="AEG79" s="283"/>
      <c r="AEH79" s="283"/>
      <c r="AEI79" s="283"/>
      <c r="AEJ79" s="283"/>
      <c r="AEK79" s="283"/>
      <c r="AEL79" s="283"/>
      <c r="AEM79" s="283"/>
      <c r="AEN79" s="283"/>
      <c r="AEO79" s="283"/>
      <c r="AEP79" s="283"/>
      <c r="AEQ79" s="283"/>
      <c r="AER79" s="283"/>
      <c r="AES79" s="283"/>
      <c r="AET79" s="283"/>
      <c r="AEU79" s="283"/>
      <c r="AEV79" s="283"/>
      <c r="AEW79" s="283"/>
      <c r="AEX79" s="283"/>
      <c r="AEY79" s="283"/>
      <c r="AEZ79" s="283"/>
      <c r="AFA79" s="283"/>
      <c r="AFB79" s="283"/>
      <c r="AFC79" s="283"/>
      <c r="AFD79" s="283"/>
      <c r="AFE79" s="283"/>
      <c r="AFF79" s="283"/>
      <c r="AFG79" s="283"/>
      <c r="AFH79" s="283"/>
      <c r="AFI79" s="283"/>
      <c r="AFJ79" s="283"/>
      <c r="AFK79" s="283"/>
      <c r="AFL79" s="283"/>
      <c r="AFM79" s="283"/>
      <c r="AFN79" s="283"/>
      <c r="AFO79" s="283"/>
      <c r="AFP79" s="283"/>
      <c r="AFQ79" s="283"/>
      <c r="AFR79" s="283"/>
      <c r="AFS79" s="283"/>
      <c r="AFT79" s="283"/>
      <c r="AFU79" s="283"/>
      <c r="AFV79" s="283"/>
      <c r="AFW79" s="283"/>
      <c r="AFX79" s="283"/>
      <c r="AFY79" s="283"/>
      <c r="AFZ79" s="283"/>
      <c r="AGA79" s="283"/>
      <c r="AGB79" s="283"/>
      <c r="AGC79" s="283"/>
      <c r="AGD79" s="283"/>
      <c r="AGE79" s="283"/>
      <c r="AGF79" s="283"/>
      <c r="AGG79" s="283"/>
      <c r="AGH79" s="283"/>
      <c r="AGI79" s="283"/>
      <c r="AGJ79" s="283"/>
      <c r="AGK79" s="283"/>
      <c r="AGL79" s="283"/>
      <c r="AGM79" s="283"/>
      <c r="AGN79" s="283"/>
      <c r="AGO79" s="283"/>
      <c r="AGP79" s="283"/>
      <c r="AGQ79" s="283"/>
      <c r="AGR79" s="283"/>
      <c r="AGS79" s="283"/>
      <c r="AGT79" s="283"/>
      <c r="AGU79" s="283"/>
      <c r="AGV79" s="283"/>
      <c r="AGW79" s="283"/>
      <c r="AGX79" s="283"/>
      <c r="AGY79" s="283"/>
      <c r="AGZ79" s="283"/>
      <c r="AHA79" s="283"/>
      <c r="AHB79" s="283"/>
      <c r="AHC79" s="283"/>
      <c r="AHD79" s="283"/>
      <c r="AHE79" s="283"/>
      <c r="AHF79" s="283"/>
      <c r="AHG79" s="283"/>
      <c r="AHH79" s="283"/>
      <c r="AHI79" s="283"/>
      <c r="AHJ79" s="283"/>
      <c r="AHK79" s="283"/>
      <c r="AHL79" s="283"/>
      <c r="AHM79" s="283"/>
      <c r="AHN79" s="283"/>
      <c r="AHO79" s="283"/>
      <c r="AHP79" s="283"/>
      <c r="AHQ79" s="283"/>
      <c r="AHR79" s="283"/>
      <c r="AHS79" s="283"/>
      <c r="AHT79" s="283"/>
      <c r="AHU79" s="283"/>
      <c r="AHV79" s="283"/>
      <c r="AHW79" s="283"/>
      <c r="AHX79" s="283"/>
      <c r="AHY79" s="283"/>
      <c r="AHZ79" s="283"/>
      <c r="AIA79" s="283"/>
      <c r="AIB79" s="283"/>
      <c r="AIC79" s="283"/>
      <c r="AID79" s="283"/>
      <c r="AIE79" s="283"/>
      <c r="AIF79" s="283"/>
      <c r="AIG79" s="283"/>
      <c r="AIH79" s="283"/>
      <c r="AII79" s="283"/>
      <c r="AIJ79" s="283"/>
      <c r="AIK79" s="283"/>
      <c r="AIL79" s="283"/>
      <c r="AIM79" s="283"/>
      <c r="AIN79" s="283"/>
      <c r="AIO79" s="283"/>
      <c r="AIP79" s="283"/>
      <c r="AIQ79" s="283"/>
      <c r="AIR79" s="283"/>
      <c r="AIS79" s="283"/>
      <c r="AIT79" s="283"/>
      <c r="AIU79" s="283"/>
      <c r="AIV79" s="283"/>
      <c r="AIW79" s="283"/>
      <c r="AIX79" s="283"/>
      <c r="AIY79" s="283"/>
      <c r="AIZ79" s="283"/>
      <c r="AJA79" s="283"/>
      <c r="AJB79" s="283"/>
      <c r="AJC79" s="283"/>
      <c r="AJD79" s="283"/>
      <c r="AJE79" s="283"/>
      <c r="AJF79" s="283"/>
      <c r="AJG79" s="283"/>
      <c r="AJH79" s="283"/>
      <c r="AJI79" s="283"/>
      <c r="AJJ79" s="283"/>
      <c r="AJK79" s="283"/>
      <c r="AJL79" s="283"/>
      <c r="AJM79" s="283"/>
      <c r="AJN79" s="283"/>
      <c r="AJO79" s="283"/>
      <c r="AJP79" s="283"/>
      <c r="AJQ79" s="283"/>
      <c r="AJR79" s="283"/>
      <c r="AJS79" s="283"/>
      <c r="AJT79" s="283"/>
      <c r="AJU79" s="283"/>
      <c r="AJV79" s="283"/>
      <c r="AJW79" s="283"/>
      <c r="AJX79" s="283"/>
      <c r="AJY79" s="283"/>
      <c r="AJZ79" s="283"/>
      <c r="AKA79" s="283"/>
      <c r="AKB79" s="283"/>
      <c r="AKC79" s="283"/>
      <c r="AKD79" s="283"/>
      <c r="AKE79" s="283"/>
      <c r="AKF79" s="283"/>
      <c r="AKG79" s="283"/>
      <c r="AKH79" s="283"/>
      <c r="AKI79" s="283"/>
      <c r="AKJ79" s="283"/>
      <c r="AKK79" s="283"/>
      <c r="AKL79" s="283"/>
      <c r="AKM79" s="283"/>
      <c r="AKN79" s="283"/>
      <c r="AKO79" s="283"/>
      <c r="AKP79" s="283"/>
      <c r="AKQ79" s="283"/>
      <c r="AKR79" s="283"/>
      <c r="AKS79" s="283"/>
      <c r="AKT79" s="283"/>
      <c r="AKU79" s="283"/>
      <c r="AKV79" s="283"/>
      <c r="AKW79" s="283"/>
      <c r="AKX79" s="283"/>
      <c r="AKY79" s="283"/>
      <c r="AKZ79" s="283"/>
      <c r="ALA79" s="283"/>
      <c r="ALB79" s="283"/>
      <c r="ALC79" s="283"/>
      <c r="ALD79" s="283"/>
      <c r="ALE79" s="283"/>
      <c r="ALF79" s="283"/>
      <c r="ALG79" s="283"/>
      <c r="ALH79" s="283"/>
      <c r="ALI79" s="283"/>
      <c r="ALJ79" s="283"/>
      <c r="ALK79" s="283"/>
      <c r="ALL79" s="283"/>
      <c r="ALM79" s="283"/>
      <c r="ALN79" s="283"/>
      <c r="ALO79" s="283"/>
      <c r="ALP79" s="283"/>
      <c r="ALQ79" s="283"/>
      <c r="ALR79" s="283"/>
      <c r="ALS79" s="283"/>
      <c r="ALT79" s="283"/>
      <c r="ALU79" s="283"/>
      <c r="ALV79" s="283"/>
      <c r="ALW79" s="283"/>
      <c r="ALX79" s="283"/>
      <c r="ALY79" s="283"/>
      <c r="ALZ79" s="283"/>
      <c r="AMA79" s="283"/>
      <c r="AMB79" s="283"/>
      <c r="AMC79" s="283"/>
      <c r="AMD79" s="283"/>
      <c r="AME79" s="283"/>
      <c r="AMF79" s="283"/>
      <c r="AMG79" s="283"/>
      <c r="AMH79" s="283"/>
      <c r="AMI79" s="283"/>
      <c r="AMJ79" s="283"/>
      <c r="AMK79" s="283"/>
    </row>
    <row r="80" spans="1:1025" s="417" customFormat="1" ht="11.25" x14ac:dyDescent="0.2">
      <c r="A80" s="283"/>
      <c r="B80" s="283"/>
      <c r="C80" s="283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3"/>
      <c r="AN80" s="283"/>
      <c r="AO80" s="283"/>
      <c r="AP80" s="283"/>
      <c r="AQ80" s="283"/>
      <c r="AR80" s="283"/>
      <c r="AS80" s="283"/>
      <c r="AT80" s="283"/>
      <c r="AU80" s="283"/>
      <c r="AV80" s="283"/>
      <c r="AW80" s="283"/>
      <c r="AX80" s="283"/>
      <c r="AY80" s="283"/>
      <c r="AZ80" s="283"/>
      <c r="BA80" s="283"/>
      <c r="BB80" s="283"/>
      <c r="BC80" s="283"/>
      <c r="BD80" s="283"/>
      <c r="BE80" s="283"/>
      <c r="BF80" s="283"/>
      <c r="BG80" s="283"/>
      <c r="BH80" s="283"/>
      <c r="BI80" s="283"/>
      <c r="BJ80" s="283"/>
      <c r="BK80" s="283"/>
      <c r="BL80" s="283"/>
      <c r="BM80" s="283"/>
      <c r="BN80" s="283"/>
      <c r="BO80" s="283"/>
      <c r="BP80" s="283"/>
      <c r="BQ80" s="283"/>
      <c r="BR80" s="283"/>
      <c r="BS80" s="283"/>
      <c r="BT80" s="283"/>
      <c r="BU80" s="283"/>
      <c r="BV80" s="283"/>
      <c r="BW80" s="283"/>
      <c r="BX80" s="283"/>
      <c r="BY80" s="283"/>
      <c r="BZ80" s="283"/>
      <c r="CA80" s="283"/>
      <c r="CB80" s="283"/>
      <c r="CC80" s="283"/>
      <c r="CD80" s="283"/>
      <c r="CE80" s="283"/>
      <c r="CF80" s="283"/>
      <c r="CG80" s="283"/>
      <c r="CH80" s="283"/>
      <c r="CI80" s="283"/>
      <c r="CJ80" s="283"/>
      <c r="CK80" s="283"/>
      <c r="CL80" s="283"/>
      <c r="CM80" s="283"/>
      <c r="CN80" s="283"/>
      <c r="CO80" s="283"/>
      <c r="CP80" s="283"/>
      <c r="CQ80" s="283"/>
      <c r="CR80" s="283"/>
      <c r="CS80" s="283"/>
      <c r="CT80" s="283"/>
      <c r="CU80" s="283"/>
      <c r="CV80" s="283"/>
      <c r="CW80" s="283"/>
      <c r="CX80" s="283"/>
      <c r="CY80" s="283"/>
      <c r="CZ80" s="283"/>
      <c r="DA80" s="283"/>
      <c r="DB80" s="283"/>
      <c r="DC80" s="283"/>
      <c r="DD80" s="283"/>
      <c r="DE80" s="283"/>
      <c r="DF80" s="283"/>
      <c r="DG80" s="283"/>
      <c r="DH80" s="283"/>
      <c r="DI80" s="283"/>
      <c r="DJ80" s="283"/>
      <c r="DK80" s="283"/>
      <c r="DL80" s="283"/>
      <c r="DM80" s="283"/>
      <c r="DN80" s="283"/>
      <c r="DO80" s="283"/>
      <c r="DP80" s="283"/>
      <c r="DQ80" s="283"/>
      <c r="DR80" s="283"/>
      <c r="DS80" s="283"/>
      <c r="DT80" s="283"/>
      <c r="DU80" s="283"/>
      <c r="DV80" s="283"/>
      <c r="DW80" s="283"/>
      <c r="DX80" s="283"/>
      <c r="DY80" s="283"/>
      <c r="DZ80" s="283"/>
      <c r="EA80" s="283"/>
      <c r="EB80" s="283"/>
      <c r="EC80" s="283"/>
      <c r="ED80" s="283"/>
      <c r="EE80" s="283"/>
      <c r="EF80" s="283"/>
      <c r="EG80" s="283"/>
      <c r="EH80" s="283"/>
      <c r="EI80" s="283"/>
      <c r="EJ80" s="283"/>
      <c r="EK80" s="283"/>
      <c r="EL80" s="283"/>
      <c r="EM80" s="283"/>
      <c r="EN80" s="283"/>
      <c r="EO80" s="283"/>
      <c r="EP80" s="283"/>
      <c r="EQ80" s="283"/>
      <c r="ER80" s="283"/>
      <c r="ES80" s="283"/>
      <c r="ET80" s="283"/>
      <c r="EU80" s="283"/>
      <c r="EV80" s="283"/>
      <c r="EW80" s="283"/>
      <c r="EX80" s="283"/>
      <c r="EY80" s="283"/>
      <c r="EZ80" s="283"/>
      <c r="FA80" s="283"/>
      <c r="FB80" s="283"/>
      <c r="FC80" s="283"/>
      <c r="FD80" s="283"/>
      <c r="FE80" s="283"/>
      <c r="FF80" s="283"/>
      <c r="FG80" s="283"/>
      <c r="FH80" s="283"/>
      <c r="FI80" s="283"/>
      <c r="FJ80" s="283"/>
      <c r="FK80" s="283"/>
      <c r="FL80" s="283"/>
      <c r="FM80" s="283"/>
      <c r="FN80" s="283"/>
      <c r="FO80" s="283"/>
      <c r="FP80" s="283"/>
      <c r="FQ80" s="283"/>
      <c r="FR80" s="283"/>
      <c r="FS80" s="283"/>
      <c r="FT80" s="283"/>
      <c r="FU80" s="283"/>
      <c r="FV80" s="283"/>
      <c r="FW80" s="283"/>
      <c r="FX80" s="283"/>
      <c r="FY80" s="283"/>
      <c r="FZ80" s="283"/>
      <c r="GA80" s="283"/>
      <c r="GB80" s="283"/>
      <c r="GC80" s="283"/>
      <c r="GD80" s="283"/>
      <c r="GE80" s="283"/>
      <c r="GF80" s="283"/>
      <c r="GG80" s="283"/>
      <c r="GH80" s="283"/>
      <c r="GI80" s="283"/>
      <c r="GJ80" s="283"/>
      <c r="GK80" s="283"/>
      <c r="GL80" s="283"/>
      <c r="GM80" s="283"/>
      <c r="GN80" s="283"/>
      <c r="GO80" s="283"/>
      <c r="GP80" s="283"/>
      <c r="GQ80" s="283"/>
      <c r="GR80" s="283"/>
      <c r="GS80" s="283"/>
      <c r="GT80" s="283"/>
      <c r="GU80" s="283"/>
      <c r="GV80" s="283"/>
      <c r="GW80" s="283"/>
      <c r="GX80" s="283"/>
      <c r="GY80" s="283"/>
      <c r="GZ80" s="283"/>
      <c r="HA80" s="283"/>
      <c r="HB80" s="283"/>
      <c r="HC80" s="283"/>
      <c r="HD80" s="283"/>
      <c r="HE80" s="283"/>
      <c r="HF80" s="283"/>
      <c r="HG80" s="283"/>
      <c r="HH80" s="283"/>
      <c r="HI80" s="283"/>
      <c r="HJ80" s="283"/>
      <c r="HK80" s="283"/>
      <c r="HL80" s="283"/>
      <c r="HM80" s="283"/>
      <c r="HN80" s="283"/>
      <c r="HO80" s="283"/>
      <c r="HP80" s="283"/>
      <c r="HQ80" s="283"/>
      <c r="HR80" s="283"/>
      <c r="HS80" s="283"/>
      <c r="HT80" s="283"/>
      <c r="HU80" s="283"/>
      <c r="HV80" s="283"/>
      <c r="HW80" s="283"/>
      <c r="HX80" s="283"/>
      <c r="HY80" s="283"/>
      <c r="HZ80" s="283"/>
      <c r="IA80" s="283"/>
      <c r="IB80" s="283"/>
      <c r="IC80" s="283"/>
      <c r="ID80" s="283"/>
      <c r="IE80" s="283"/>
      <c r="IF80" s="283"/>
      <c r="IG80" s="283"/>
      <c r="IH80" s="283"/>
      <c r="II80" s="283"/>
      <c r="IJ80" s="283"/>
      <c r="IK80" s="283"/>
      <c r="IL80" s="283"/>
      <c r="IM80" s="283"/>
      <c r="IN80" s="283"/>
      <c r="IO80" s="283"/>
      <c r="IP80" s="283"/>
      <c r="IQ80" s="283"/>
      <c r="IR80" s="283"/>
      <c r="IS80" s="283"/>
      <c r="IT80" s="283"/>
      <c r="IU80" s="283"/>
      <c r="IV80" s="283"/>
      <c r="IW80" s="283"/>
      <c r="IX80" s="283"/>
      <c r="IY80" s="283"/>
      <c r="IZ80" s="283"/>
      <c r="JA80" s="283"/>
      <c r="JB80" s="283"/>
      <c r="JC80" s="283"/>
      <c r="JD80" s="283"/>
      <c r="JE80" s="283"/>
      <c r="JF80" s="283"/>
      <c r="JG80" s="283"/>
      <c r="JH80" s="283"/>
      <c r="JI80" s="283"/>
      <c r="JJ80" s="283"/>
      <c r="JK80" s="283"/>
      <c r="JL80" s="283"/>
      <c r="JM80" s="283"/>
      <c r="JN80" s="283"/>
      <c r="JO80" s="283"/>
      <c r="JP80" s="283"/>
      <c r="JQ80" s="283"/>
      <c r="JR80" s="283"/>
      <c r="JS80" s="283"/>
      <c r="JT80" s="283"/>
      <c r="JU80" s="283"/>
      <c r="JV80" s="283"/>
      <c r="JW80" s="283"/>
      <c r="JX80" s="283"/>
      <c r="JY80" s="283"/>
      <c r="JZ80" s="283"/>
      <c r="KA80" s="283"/>
      <c r="KB80" s="283"/>
      <c r="KC80" s="283"/>
      <c r="KD80" s="283"/>
      <c r="KE80" s="283"/>
      <c r="KF80" s="283"/>
      <c r="KG80" s="283"/>
      <c r="KH80" s="283"/>
      <c r="KI80" s="283"/>
      <c r="KJ80" s="283"/>
      <c r="KK80" s="283"/>
      <c r="KL80" s="283"/>
      <c r="KM80" s="283"/>
      <c r="KN80" s="283"/>
      <c r="KO80" s="283"/>
      <c r="KP80" s="283"/>
      <c r="KQ80" s="283"/>
      <c r="KR80" s="283"/>
      <c r="KS80" s="283"/>
      <c r="KT80" s="283"/>
      <c r="KU80" s="283"/>
      <c r="KV80" s="283"/>
      <c r="KW80" s="283"/>
      <c r="KX80" s="283"/>
      <c r="KY80" s="283"/>
      <c r="KZ80" s="283"/>
      <c r="LA80" s="283"/>
      <c r="LB80" s="283"/>
      <c r="LC80" s="283"/>
      <c r="LD80" s="283"/>
      <c r="LE80" s="283"/>
      <c r="LF80" s="283"/>
      <c r="LG80" s="283"/>
      <c r="LH80" s="283"/>
      <c r="LI80" s="283"/>
      <c r="LJ80" s="283"/>
      <c r="LK80" s="283"/>
      <c r="LL80" s="283"/>
      <c r="LM80" s="283"/>
      <c r="LN80" s="283"/>
      <c r="LO80" s="283"/>
      <c r="LP80" s="283"/>
      <c r="LQ80" s="283"/>
      <c r="LR80" s="283"/>
      <c r="LS80" s="283"/>
      <c r="LT80" s="283"/>
      <c r="LU80" s="283"/>
      <c r="LV80" s="283"/>
      <c r="LW80" s="283"/>
      <c r="LX80" s="283"/>
      <c r="LY80" s="283"/>
      <c r="LZ80" s="283"/>
      <c r="MA80" s="283"/>
      <c r="MB80" s="283"/>
      <c r="MC80" s="283"/>
      <c r="MD80" s="283"/>
      <c r="ME80" s="283"/>
      <c r="MF80" s="283"/>
      <c r="MG80" s="283"/>
      <c r="MH80" s="283"/>
      <c r="MI80" s="283"/>
      <c r="MJ80" s="283"/>
      <c r="MK80" s="283"/>
      <c r="ML80" s="283"/>
      <c r="MM80" s="283"/>
      <c r="MN80" s="283"/>
      <c r="MO80" s="283"/>
      <c r="MP80" s="283"/>
      <c r="MQ80" s="283"/>
      <c r="MR80" s="283"/>
      <c r="MS80" s="283"/>
      <c r="MT80" s="283"/>
      <c r="MU80" s="283"/>
      <c r="MV80" s="283"/>
      <c r="MW80" s="283"/>
      <c r="MX80" s="283"/>
      <c r="MY80" s="283"/>
      <c r="MZ80" s="283"/>
      <c r="NA80" s="283"/>
      <c r="NB80" s="283"/>
      <c r="NC80" s="283"/>
      <c r="ND80" s="283"/>
      <c r="NE80" s="283"/>
      <c r="NF80" s="283"/>
      <c r="NG80" s="283"/>
      <c r="NH80" s="283"/>
      <c r="NI80" s="283"/>
      <c r="NJ80" s="283"/>
      <c r="NK80" s="283"/>
      <c r="NL80" s="283"/>
      <c r="NM80" s="283"/>
      <c r="NN80" s="283"/>
      <c r="NO80" s="283"/>
      <c r="NP80" s="283"/>
      <c r="NQ80" s="283"/>
      <c r="NR80" s="283"/>
      <c r="NS80" s="283"/>
      <c r="NT80" s="283"/>
      <c r="NU80" s="283"/>
      <c r="NV80" s="283"/>
      <c r="NW80" s="283"/>
      <c r="NX80" s="283"/>
      <c r="NY80" s="283"/>
      <c r="NZ80" s="283"/>
      <c r="OA80" s="283"/>
      <c r="OB80" s="283"/>
      <c r="OC80" s="283"/>
      <c r="OD80" s="283"/>
      <c r="OE80" s="283"/>
      <c r="OF80" s="283"/>
      <c r="OG80" s="283"/>
      <c r="OH80" s="283"/>
      <c r="OI80" s="283"/>
      <c r="OJ80" s="283"/>
      <c r="OK80" s="283"/>
      <c r="OL80" s="283"/>
      <c r="OM80" s="283"/>
      <c r="ON80" s="283"/>
      <c r="OO80" s="283"/>
      <c r="OP80" s="283"/>
      <c r="OQ80" s="283"/>
      <c r="OR80" s="283"/>
      <c r="OS80" s="283"/>
      <c r="OT80" s="283"/>
      <c r="OU80" s="283"/>
      <c r="OV80" s="283"/>
      <c r="OW80" s="283"/>
      <c r="OX80" s="283"/>
      <c r="OY80" s="283"/>
      <c r="OZ80" s="283"/>
      <c r="PA80" s="283"/>
      <c r="PB80" s="283"/>
      <c r="PC80" s="283"/>
      <c r="PD80" s="283"/>
      <c r="PE80" s="283"/>
      <c r="PF80" s="283"/>
      <c r="PG80" s="283"/>
      <c r="PH80" s="283"/>
      <c r="PI80" s="283"/>
      <c r="PJ80" s="283"/>
      <c r="PK80" s="283"/>
      <c r="PL80" s="283"/>
      <c r="PM80" s="283"/>
      <c r="PN80" s="283"/>
      <c r="PO80" s="283"/>
      <c r="PP80" s="283"/>
      <c r="PQ80" s="283"/>
      <c r="PR80" s="283"/>
      <c r="PS80" s="283"/>
      <c r="PT80" s="283"/>
      <c r="PU80" s="283"/>
      <c r="PV80" s="283"/>
      <c r="PW80" s="283"/>
      <c r="PX80" s="283"/>
      <c r="PY80" s="283"/>
      <c r="PZ80" s="283"/>
      <c r="QA80" s="283"/>
      <c r="QB80" s="283"/>
      <c r="QC80" s="283"/>
      <c r="QD80" s="283"/>
      <c r="QE80" s="283"/>
      <c r="QF80" s="283"/>
      <c r="QG80" s="283"/>
      <c r="QH80" s="283"/>
      <c r="QI80" s="283"/>
      <c r="QJ80" s="283"/>
      <c r="QK80" s="283"/>
      <c r="QL80" s="283"/>
      <c r="QM80" s="283"/>
      <c r="QN80" s="283"/>
      <c r="QO80" s="283"/>
      <c r="QP80" s="283"/>
      <c r="QQ80" s="283"/>
      <c r="QR80" s="283"/>
      <c r="QS80" s="283"/>
      <c r="QT80" s="283"/>
      <c r="QU80" s="283"/>
      <c r="QV80" s="283"/>
      <c r="QW80" s="283"/>
      <c r="QX80" s="283"/>
      <c r="QY80" s="283"/>
      <c r="QZ80" s="283"/>
      <c r="RA80" s="283"/>
      <c r="RB80" s="283"/>
      <c r="RC80" s="283"/>
      <c r="RD80" s="283"/>
      <c r="RE80" s="283"/>
      <c r="RF80" s="283"/>
      <c r="RG80" s="283"/>
      <c r="RH80" s="283"/>
      <c r="RI80" s="283"/>
      <c r="RJ80" s="283"/>
      <c r="RK80" s="283"/>
      <c r="RL80" s="283"/>
      <c r="RM80" s="283"/>
      <c r="RN80" s="283"/>
      <c r="RO80" s="283"/>
      <c r="RP80" s="283"/>
      <c r="RQ80" s="283"/>
      <c r="RR80" s="283"/>
      <c r="RS80" s="283"/>
      <c r="RT80" s="283"/>
      <c r="RU80" s="283"/>
      <c r="RV80" s="283"/>
      <c r="RW80" s="283"/>
      <c r="RX80" s="283"/>
      <c r="RY80" s="283"/>
      <c r="RZ80" s="283"/>
      <c r="SA80" s="283"/>
      <c r="SB80" s="283"/>
      <c r="SC80" s="283"/>
      <c r="SD80" s="283"/>
      <c r="SE80" s="283"/>
      <c r="SF80" s="283"/>
      <c r="SG80" s="283"/>
      <c r="SH80" s="283"/>
      <c r="SI80" s="283"/>
      <c r="SJ80" s="283"/>
      <c r="SK80" s="283"/>
      <c r="SL80" s="283"/>
      <c r="SM80" s="283"/>
      <c r="SN80" s="283"/>
      <c r="SO80" s="283"/>
      <c r="SP80" s="283"/>
      <c r="SQ80" s="283"/>
      <c r="SR80" s="283"/>
      <c r="SS80" s="283"/>
      <c r="ST80" s="283"/>
      <c r="SU80" s="283"/>
      <c r="SV80" s="283"/>
      <c r="SW80" s="283"/>
      <c r="SX80" s="283"/>
      <c r="SY80" s="283"/>
      <c r="SZ80" s="283"/>
      <c r="TA80" s="283"/>
      <c r="TB80" s="283"/>
      <c r="TC80" s="283"/>
      <c r="TD80" s="283"/>
      <c r="TE80" s="283"/>
      <c r="TF80" s="283"/>
      <c r="TG80" s="283"/>
      <c r="TH80" s="283"/>
      <c r="TI80" s="283"/>
      <c r="TJ80" s="283"/>
      <c r="TK80" s="283"/>
      <c r="TL80" s="283"/>
      <c r="TM80" s="283"/>
      <c r="TN80" s="283"/>
      <c r="TO80" s="283"/>
      <c r="TP80" s="283"/>
      <c r="TQ80" s="283"/>
      <c r="TR80" s="283"/>
      <c r="TS80" s="283"/>
      <c r="TT80" s="283"/>
      <c r="TU80" s="283"/>
      <c r="TV80" s="283"/>
      <c r="TW80" s="283"/>
      <c r="TX80" s="283"/>
      <c r="TY80" s="283"/>
      <c r="TZ80" s="283"/>
      <c r="UA80" s="283"/>
      <c r="UB80" s="283"/>
      <c r="UC80" s="283"/>
      <c r="UD80" s="283"/>
      <c r="UE80" s="283"/>
      <c r="UF80" s="283"/>
      <c r="UG80" s="283"/>
      <c r="UH80" s="283"/>
      <c r="UI80" s="283"/>
      <c r="UJ80" s="283"/>
      <c r="UK80" s="283"/>
      <c r="UL80" s="283"/>
      <c r="UM80" s="283"/>
      <c r="UN80" s="283"/>
      <c r="UO80" s="283"/>
      <c r="UP80" s="283"/>
      <c r="UQ80" s="283"/>
      <c r="UR80" s="283"/>
      <c r="US80" s="283"/>
      <c r="UT80" s="283"/>
      <c r="UU80" s="283"/>
      <c r="UV80" s="283"/>
      <c r="UW80" s="283"/>
      <c r="UX80" s="283"/>
      <c r="UY80" s="283"/>
      <c r="UZ80" s="283"/>
      <c r="VA80" s="283"/>
      <c r="VB80" s="283"/>
      <c r="VC80" s="283"/>
      <c r="VD80" s="283"/>
      <c r="VE80" s="283"/>
      <c r="VF80" s="283"/>
      <c r="VG80" s="283"/>
      <c r="VH80" s="283"/>
      <c r="VI80" s="283"/>
      <c r="VJ80" s="283"/>
      <c r="VK80" s="283"/>
      <c r="VL80" s="283"/>
      <c r="VM80" s="283"/>
      <c r="VN80" s="283"/>
      <c r="VO80" s="283"/>
      <c r="VP80" s="283"/>
      <c r="VQ80" s="283"/>
      <c r="VR80" s="283"/>
      <c r="VS80" s="283"/>
      <c r="VT80" s="283"/>
      <c r="VU80" s="283"/>
      <c r="VV80" s="283"/>
      <c r="VW80" s="283"/>
      <c r="VX80" s="283"/>
      <c r="VY80" s="283"/>
      <c r="VZ80" s="283"/>
      <c r="WA80" s="283"/>
      <c r="WB80" s="283"/>
      <c r="WC80" s="283"/>
      <c r="WD80" s="283"/>
      <c r="WE80" s="283"/>
      <c r="WF80" s="283"/>
      <c r="WG80" s="283"/>
      <c r="WH80" s="283"/>
      <c r="WI80" s="283"/>
      <c r="WJ80" s="283"/>
      <c r="WK80" s="283"/>
      <c r="WL80" s="283"/>
      <c r="WM80" s="283"/>
      <c r="WN80" s="283"/>
      <c r="WO80" s="283"/>
      <c r="WP80" s="283"/>
      <c r="WQ80" s="283"/>
      <c r="WR80" s="283"/>
      <c r="WS80" s="283"/>
      <c r="WT80" s="283"/>
      <c r="WU80" s="283"/>
      <c r="WV80" s="283"/>
      <c r="WW80" s="283"/>
      <c r="WX80" s="283"/>
      <c r="WY80" s="283"/>
      <c r="WZ80" s="283"/>
      <c r="XA80" s="283"/>
      <c r="XB80" s="283"/>
      <c r="XC80" s="283"/>
      <c r="XD80" s="283"/>
      <c r="XE80" s="283"/>
      <c r="XF80" s="283"/>
      <c r="XG80" s="283"/>
      <c r="XH80" s="283"/>
      <c r="XI80" s="283"/>
      <c r="XJ80" s="283"/>
      <c r="XK80" s="283"/>
      <c r="XL80" s="283"/>
      <c r="XM80" s="283"/>
      <c r="XN80" s="283"/>
      <c r="XO80" s="283"/>
      <c r="XP80" s="283"/>
      <c r="XQ80" s="283"/>
      <c r="XR80" s="283"/>
      <c r="XS80" s="283"/>
      <c r="XT80" s="283"/>
      <c r="XU80" s="283"/>
      <c r="XV80" s="283"/>
      <c r="XW80" s="283"/>
      <c r="XX80" s="283"/>
      <c r="XY80" s="283"/>
      <c r="XZ80" s="283"/>
      <c r="YA80" s="283"/>
      <c r="YB80" s="283"/>
      <c r="YC80" s="283"/>
      <c r="YD80" s="283"/>
      <c r="YE80" s="283"/>
      <c r="YF80" s="283"/>
      <c r="YG80" s="283"/>
      <c r="YH80" s="283"/>
      <c r="YI80" s="283"/>
      <c r="YJ80" s="283"/>
      <c r="YK80" s="283"/>
      <c r="YL80" s="283"/>
      <c r="YM80" s="283"/>
      <c r="YN80" s="283"/>
      <c r="YO80" s="283"/>
      <c r="YP80" s="283"/>
      <c r="YQ80" s="283"/>
      <c r="YR80" s="283"/>
      <c r="YS80" s="283"/>
      <c r="YT80" s="283"/>
      <c r="YU80" s="283"/>
      <c r="YV80" s="283"/>
      <c r="YW80" s="283"/>
      <c r="YX80" s="283"/>
      <c r="YY80" s="283"/>
      <c r="YZ80" s="283"/>
      <c r="ZA80" s="283"/>
      <c r="ZB80" s="283"/>
      <c r="ZC80" s="283"/>
      <c r="ZD80" s="283"/>
      <c r="ZE80" s="283"/>
      <c r="ZF80" s="283"/>
      <c r="ZG80" s="283"/>
      <c r="ZH80" s="283"/>
      <c r="ZI80" s="283"/>
      <c r="ZJ80" s="283"/>
      <c r="ZK80" s="283"/>
      <c r="ZL80" s="283"/>
      <c r="ZM80" s="283"/>
      <c r="ZN80" s="283"/>
      <c r="ZO80" s="283"/>
      <c r="ZP80" s="283"/>
      <c r="ZQ80" s="283"/>
      <c r="ZR80" s="283"/>
      <c r="ZS80" s="283"/>
      <c r="ZT80" s="283"/>
      <c r="ZU80" s="283"/>
      <c r="ZV80" s="283"/>
      <c r="ZW80" s="283"/>
      <c r="ZX80" s="283"/>
      <c r="ZY80" s="283"/>
      <c r="ZZ80" s="283"/>
      <c r="AAA80" s="283"/>
      <c r="AAB80" s="283"/>
      <c r="AAC80" s="283"/>
      <c r="AAD80" s="283"/>
      <c r="AAE80" s="283"/>
      <c r="AAF80" s="283"/>
      <c r="AAG80" s="283"/>
      <c r="AAH80" s="283"/>
      <c r="AAI80" s="283"/>
      <c r="AAJ80" s="283"/>
      <c r="AAK80" s="283"/>
      <c r="AAL80" s="283"/>
      <c r="AAM80" s="283"/>
      <c r="AAN80" s="283"/>
      <c r="AAO80" s="283"/>
      <c r="AAP80" s="283"/>
      <c r="AAQ80" s="283"/>
      <c r="AAR80" s="283"/>
      <c r="AAS80" s="283"/>
      <c r="AAT80" s="283"/>
      <c r="AAU80" s="283"/>
      <c r="AAV80" s="283"/>
      <c r="AAW80" s="283"/>
      <c r="AAX80" s="283"/>
      <c r="AAY80" s="283"/>
      <c r="AAZ80" s="283"/>
      <c r="ABA80" s="283"/>
      <c r="ABB80" s="283"/>
      <c r="ABC80" s="283"/>
      <c r="ABD80" s="283"/>
      <c r="ABE80" s="283"/>
      <c r="ABF80" s="283"/>
      <c r="ABG80" s="283"/>
      <c r="ABH80" s="283"/>
      <c r="ABI80" s="283"/>
      <c r="ABJ80" s="283"/>
      <c r="ABK80" s="283"/>
      <c r="ABL80" s="283"/>
      <c r="ABM80" s="283"/>
      <c r="ABN80" s="283"/>
      <c r="ABO80" s="283"/>
      <c r="ABP80" s="283"/>
      <c r="ABQ80" s="283"/>
      <c r="ABR80" s="283"/>
      <c r="ABS80" s="283"/>
      <c r="ABT80" s="283"/>
      <c r="ABU80" s="283"/>
      <c r="ABV80" s="283"/>
      <c r="ABW80" s="283"/>
      <c r="ABX80" s="283"/>
      <c r="ABY80" s="283"/>
      <c r="ABZ80" s="283"/>
      <c r="ACA80" s="283"/>
      <c r="ACB80" s="283"/>
      <c r="ACC80" s="283"/>
      <c r="ACD80" s="283"/>
      <c r="ACE80" s="283"/>
      <c r="ACF80" s="283"/>
      <c r="ACG80" s="283"/>
      <c r="ACH80" s="283"/>
      <c r="ACI80" s="283"/>
      <c r="ACJ80" s="283"/>
      <c r="ACK80" s="283"/>
      <c r="ACL80" s="283"/>
      <c r="ACM80" s="283"/>
      <c r="ACN80" s="283"/>
      <c r="ACO80" s="283"/>
      <c r="ACP80" s="283"/>
      <c r="ACQ80" s="283"/>
      <c r="ACR80" s="283"/>
      <c r="ACS80" s="283"/>
      <c r="ACT80" s="283"/>
      <c r="ACU80" s="283"/>
      <c r="ACV80" s="283"/>
      <c r="ACW80" s="283"/>
      <c r="ACX80" s="283"/>
      <c r="ACY80" s="283"/>
      <c r="ACZ80" s="283"/>
      <c r="ADA80" s="283"/>
      <c r="ADB80" s="283"/>
      <c r="ADC80" s="283"/>
      <c r="ADD80" s="283"/>
      <c r="ADE80" s="283"/>
      <c r="ADF80" s="283"/>
      <c r="ADG80" s="283"/>
      <c r="ADH80" s="283"/>
      <c r="ADI80" s="283"/>
      <c r="ADJ80" s="283"/>
      <c r="ADK80" s="283"/>
      <c r="ADL80" s="283"/>
      <c r="ADM80" s="283"/>
      <c r="ADN80" s="283"/>
      <c r="ADO80" s="283"/>
      <c r="ADP80" s="283"/>
      <c r="ADQ80" s="283"/>
      <c r="ADR80" s="283"/>
      <c r="ADS80" s="283"/>
      <c r="ADT80" s="283"/>
      <c r="ADU80" s="283"/>
      <c r="ADV80" s="283"/>
      <c r="ADW80" s="283"/>
      <c r="ADX80" s="283"/>
      <c r="ADY80" s="283"/>
      <c r="ADZ80" s="283"/>
      <c r="AEA80" s="283"/>
      <c r="AEB80" s="283"/>
      <c r="AEC80" s="283"/>
      <c r="AED80" s="283"/>
      <c r="AEE80" s="283"/>
      <c r="AEF80" s="283"/>
      <c r="AEG80" s="283"/>
      <c r="AEH80" s="283"/>
      <c r="AEI80" s="283"/>
      <c r="AEJ80" s="283"/>
      <c r="AEK80" s="283"/>
      <c r="AEL80" s="283"/>
      <c r="AEM80" s="283"/>
      <c r="AEN80" s="283"/>
      <c r="AEO80" s="283"/>
      <c r="AEP80" s="283"/>
      <c r="AEQ80" s="283"/>
      <c r="AER80" s="283"/>
      <c r="AES80" s="283"/>
      <c r="AET80" s="283"/>
      <c r="AEU80" s="283"/>
      <c r="AEV80" s="283"/>
      <c r="AEW80" s="283"/>
      <c r="AEX80" s="283"/>
      <c r="AEY80" s="283"/>
      <c r="AEZ80" s="283"/>
      <c r="AFA80" s="283"/>
      <c r="AFB80" s="283"/>
      <c r="AFC80" s="283"/>
      <c r="AFD80" s="283"/>
      <c r="AFE80" s="283"/>
      <c r="AFF80" s="283"/>
      <c r="AFG80" s="283"/>
      <c r="AFH80" s="283"/>
      <c r="AFI80" s="283"/>
      <c r="AFJ80" s="283"/>
      <c r="AFK80" s="283"/>
      <c r="AFL80" s="283"/>
      <c r="AFM80" s="283"/>
      <c r="AFN80" s="283"/>
      <c r="AFO80" s="283"/>
      <c r="AFP80" s="283"/>
      <c r="AFQ80" s="283"/>
      <c r="AFR80" s="283"/>
      <c r="AFS80" s="283"/>
      <c r="AFT80" s="283"/>
      <c r="AFU80" s="283"/>
      <c r="AFV80" s="283"/>
      <c r="AFW80" s="283"/>
      <c r="AFX80" s="283"/>
      <c r="AFY80" s="283"/>
      <c r="AFZ80" s="283"/>
      <c r="AGA80" s="283"/>
      <c r="AGB80" s="283"/>
      <c r="AGC80" s="283"/>
      <c r="AGD80" s="283"/>
      <c r="AGE80" s="283"/>
      <c r="AGF80" s="283"/>
      <c r="AGG80" s="283"/>
      <c r="AGH80" s="283"/>
      <c r="AGI80" s="283"/>
      <c r="AGJ80" s="283"/>
      <c r="AGK80" s="283"/>
      <c r="AGL80" s="283"/>
      <c r="AGM80" s="283"/>
      <c r="AGN80" s="283"/>
      <c r="AGO80" s="283"/>
      <c r="AGP80" s="283"/>
      <c r="AGQ80" s="283"/>
      <c r="AGR80" s="283"/>
      <c r="AGS80" s="283"/>
      <c r="AGT80" s="283"/>
      <c r="AGU80" s="283"/>
      <c r="AGV80" s="283"/>
      <c r="AGW80" s="283"/>
      <c r="AGX80" s="283"/>
      <c r="AGY80" s="283"/>
      <c r="AGZ80" s="283"/>
      <c r="AHA80" s="283"/>
      <c r="AHB80" s="283"/>
      <c r="AHC80" s="283"/>
      <c r="AHD80" s="283"/>
      <c r="AHE80" s="283"/>
      <c r="AHF80" s="283"/>
      <c r="AHG80" s="283"/>
      <c r="AHH80" s="283"/>
      <c r="AHI80" s="283"/>
      <c r="AHJ80" s="283"/>
      <c r="AHK80" s="283"/>
      <c r="AHL80" s="283"/>
      <c r="AHM80" s="283"/>
      <c r="AHN80" s="283"/>
      <c r="AHO80" s="283"/>
      <c r="AHP80" s="283"/>
      <c r="AHQ80" s="283"/>
      <c r="AHR80" s="283"/>
      <c r="AHS80" s="283"/>
      <c r="AHT80" s="283"/>
      <c r="AHU80" s="283"/>
      <c r="AHV80" s="283"/>
      <c r="AHW80" s="283"/>
      <c r="AHX80" s="283"/>
      <c r="AHY80" s="283"/>
      <c r="AHZ80" s="283"/>
      <c r="AIA80" s="283"/>
      <c r="AIB80" s="283"/>
      <c r="AIC80" s="283"/>
      <c r="AID80" s="283"/>
      <c r="AIE80" s="283"/>
      <c r="AIF80" s="283"/>
      <c r="AIG80" s="283"/>
      <c r="AIH80" s="283"/>
      <c r="AII80" s="283"/>
      <c r="AIJ80" s="283"/>
      <c r="AIK80" s="283"/>
      <c r="AIL80" s="283"/>
      <c r="AIM80" s="283"/>
      <c r="AIN80" s="283"/>
      <c r="AIO80" s="283"/>
      <c r="AIP80" s="283"/>
      <c r="AIQ80" s="283"/>
      <c r="AIR80" s="283"/>
      <c r="AIS80" s="283"/>
      <c r="AIT80" s="283"/>
      <c r="AIU80" s="283"/>
      <c r="AIV80" s="283"/>
      <c r="AIW80" s="283"/>
      <c r="AIX80" s="283"/>
      <c r="AIY80" s="283"/>
      <c r="AIZ80" s="283"/>
      <c r="AJA80" s="283"/>
      <c r="AJB80" s="283"/>
      <c r="AJC80" s="283"/>
      <c r="AJD80" s="283"/>
      <c r="AJE80" s="283"/>
      <c r="AJF80" s="283"/>
      <c r="AJG80" s="283"/>
      <c r="AJH80" s="283"/>
      <c r="AJI80" s="283"/>
      <c r="AJJ80" s="283"/>
      <c r="AJK80" s="283"/>
      <c r="AJL80" s="283"/>
      <c r="AJM80" s="283"/>
      <c r="AJN80" s="283"/>
      <c r="AJO80" s="283"/>
      <c r="AJP80" s="283"/>
      <c r="AJQ80" s="283"/>
      <c r="AJR80" s="283"/>
      <c r="AJS80" s="283"/>
      <c r="AJT80" s="283"/>
      <c r="AJU80" s="283"/>
      <c r="AJV80" s="283"/>
      <c r="AJW80" s="283"/>
      <c r="AJX80" s="283"/>
      <c r="AJY80" s="283"/>
      <c r="AJZ80" s="283"/>
      <c r="AKA80" s="283"/>
      <c r="AKB80" s="283"/>
      <c r="AKC80" s="283"/>
      <c r="AKD80" s="283"/>
      <c r="AKE80" s="283"/>
      <c r="AKF80" s="283"/>
      <c r="AKG80" s="283"/>
      <c r="AKH80" s="283"/>
      <c r="AKI80" s="283"/>
      <c r="AKJ80" s="283"/>
      <c r="AKK80" s="283"/>
      <c r="AKL80" s="283"/>
      <c r="AKM80" s="283"/>
      <c r="AKN80" s="283"/>
      <c r="AKO80" s="283"/>
      <c r="AKP80" s="283"/>
      <c r="AKQ80" s="283"/>
      <c r="AKR80" s="283"/>
      <c r="AKS80" s="283"/>
      <c r="AKT80" s="283"/>
      <c r="AKU80" s="283"/>
      <c r="AKV80" s="283"/>
      <c r="AKW80" s="283"/>
      <c r="AKX80" s="283"/>
      <c r="AKY80" s="283"/>
      <c r="AKZ80" s="283"/>
      <c r="ALA80" s="283"/>
      <c r="ALB80" s="283"/>
      <c r="ALC80" s="283"/>
      <c r="ALD80" s="283"/>
      <c r="ALE80" s="283"/>
      <c r="ALF80" s="283"/>
      <c r="ALG80" s="283"/>
      <c r="ALH80" s="283"/>
      <c r="ALI80" s="283"/>
      <c r="ALJ80" s="283"/>
      <c r="ALK80" s="283"/>
      <c r="ALL80" s="283"/>
      <c r="ALM80" s="283"/>
      <c r="ALN80" s="283"/>
      <c r="ALO80" s="283"/>
      <c r="ALP80" s="283"/>
      <c r="ALQ80" s="283"/>
      <c r="ALR80" s="283"/>
      <c r="ALS80" s="283"/>
      <c r="ALT80" s="283"/>
      <c r="ALU80" s="283"/>
      <c r="ALV80" s="283"/>
      <c r="ALW80" s="283"/>
      <c r="ALX80" s="283"/>
      <c r="ALY80" s="283"/>
      <c r="ALZ80" s="283"/>
      <c r="AMA80" s="283"/>
      <c r="AMB80" s="283"/>
      <c r="AMC80" s="283"/>
      <c r="AMD80" s="283"/>
      <c r="AME80" s="283"/>
      <c r="AMF80" s="283"/>
      <c r="AMG80" s="283"/>
      <c r="AMH80" s="283"/>
      <c r="AMI80" s="283"/>
      <c r="AMJ80" s="283"/>
      <c r="AMK80" s="283"/>
    </row>
    <row r="81" spans="1:1025" s="417" customFormat="1" ht="11.25" x14ac:dyDescent="0.2">
      <c r="A81" s="283"/>
      <c r="B81" s="19"/>
      <c r="C81" s="229" t="s">
        <v>1454</v>
      </c>
      <c r="D81" s="230"/>
      <c r="E81" s="230"/>
      <c r="F81" s="231" t="s">
        <v>1453</v>
      </c>
      <c r="G81" s="16"/>
      <c r="H81" s="153"/>
      <c r="I81" s="15"/>
      <c r="J81" s="17" t="s">
        <v>98</v>
      </c>
      <c r="K81" s="153"/>
      <c r="L81" s="283"/>
      <c r="M81" s="283"/>
      <c r="N81" s="283"/>
      <c r="O81" s="283"/>
      <c r="P81" s="283"/>
      <c r="Q81" s="283"/>
      <c r="R81" s="283"/>
      <c r="S81" s="283"/>
      <c r="T81" s="283"/>
      <c r="U81" s="283"/>
      <c r="V81" s="283"/>
      <c r="W81" s="283"/>
      <c r="X81" s="283"/>
      <c r="Y81" s="283"/>
      <c r="Z81" s="283"/>
      <c r="AA81" s="283"/>
      <c r="AB81" s="283"/>
      <c r="AC81" s="283"/>
      <c r="AD81" s="283"/>
      <c r="AE81" s="283"/>
      <c r="AF81" s="283"/>
      <c r="AG81" s="283"/>
      <c r="AH81" s="283"/>
      <c r="AI81" s="283"/>
      <c r="AJ81" s="283"/>
      <c r="AK81" s="283"/>
      <c r="AL81" s="283"/>
      <c r="AM81" s="283"/>
      <c r="AN81" s="283"/>
      <c r="AO81" s="283"/>
      <c r="AP81" s="283"/>
      <c r="AQ81" s="283"/>
      <c r="AR81" s="283"/>
      <c r="AS81" s="283"/>
      <c r="AT81" s="283"/>
      <c r="AU81" s="283"/>
      <c r="AV81" s="283"/>
      <c r="AW81" s="283"/>
      <c r="AX81" s="283"/>
      <c r="AY81" s="283"/>
      <c r="AZ81" s="283"/>
      <c r="BA81" s="283"/>
      <c r="BB81" s="283"/>
      <c r="BC81" s="283"/>
      <c r="BD81" s="283"/>
      <c r="BE81" s="283"/>
      <c r="BF81" s="283"/>
      <c r="BG81" s="283"/>
      <c r="BH81" s="283"/>
      <c r="BI81" s="283"/>
      <c r="BJ81" s="283"/>
      <c r="BK81" s="283"/>
      <c r="BL81" s="283"/>
      <c r="BM81" s="283"/>
      <c r="BN81" s="283"/>
      <c r="BO81" s="283"/>
      <c r="BP81" s="283"/>
      <c r="BQ81" s="283"/>
      <c r="BR81" s="283"/>
      <c r="BS81" s="283"/>
      <c r="BT81" s="283"/>
      <c r="BU81" s="283"/>
      <c r="BV81" s="283"/>
      <c r="BW81" s="283"/>
      <c r="BX81" s="283"/>
      <c r="BY81" s="283"/>
      <c r="BZ81" s="283"/>
      <c r="CA81" s="283"/>
      <c r="CB81" s="283"/>
      <c r="CC81" s="283"/>
      <c r="CD81" s="283"/>
      <c r="CE81" s="283"/>
      <c r="CF81" s="283"/>
      <c r="CG81" s="283"/>
      <c r="CH81" s="283"/>
      <c r="CI81" s="283"/>
      <c r="CJ81" s="283"/>
      <c r="CK81" s="283"/>
      <c r="CL81" s="283"/>
      <c r="CM81" s="283"/>
      <c r="CN81" s="283"/>
      <c r="CO81" s="283"/>
      <c r="CP81" s="283"/>
      <c r="CQ81" s="283"/>
      <c r="CR81" s="283"/>
      <c r="CS81" s="283"/>
      <c r="CT81" s="283"/>
      <c r="CU81" s="283"/>
      <c r="CV81" s="283"/>
      <c r="CW81" s="283"/>
      <c r="CX81" s="283"/>
      <c r="CY81" s="283"/>
      <c r="CZ81" s="283"/>
      <c r="DA81" s="283"/>
      <c r="DB81" s="283"/>
      <c r="DC81" s="283"/>
      <c r="DD81" s="283"/>
      <c r="DE81" s="283"/>
      <c r="DF81" s="283"/>
      <c r="DG81" s="283"/>
      <c r="DH81" s="283"/>
      <c r="DI81" s="283"/>
      <c r="DJ81" s="283"/>
      <c r="DK81" s="283"/>
      <c r="DL81" s="283"/>
      <c r="DM81" s="283"/>
      <c r="DN81" s="283"/>
      <c r="DO81" s="283"/>
      <c r="DP81" s="283"/>
      <c r="DQ81" s="283"/>
      <c r="DR81" s="283"/>
      <c r="DS81" s="283"/>
      <c r="DT81" s="283"/>
      <c r="DU81" s="283"/>
      <c r="DV81" s="283"/>
      <c r="DW81" s="283"/>
      <c r="DX81" s="283"/>
      <c r="DY81" s="283"/>
      <c r="DZ81" s="283"/>
      <c r="EA81" s="283"/>
      <c r="EB81" s="283"/>
      <c r="EC81" s="283"/>
      <c r="ED81" s="283"/>
      <c r="EE81" s="283"/>
      <c r="EF81" s="283"/>
      <c r="EG81" s="283"/>
      <c r="EH81" s="283"/>
      <c r="EI81" s="283"/>
      <c r="EJ81" s="283"/>
      <c r="EK81" s="283"/>
      <c r="EL81" s="283"/>
      <c r="EM81" s="283"/>
      <c r="EN81" s="283"/>
      <c r="EO81" s="283"/>
      <c r="EP81" s="283"/>
      <c r="EQ81" s="283"/>
      <c r="ER81" s="283"/>
      <c r="ES81" s="283"/>
      <c r="ET81" s="283"/>
      <c r="EU81" s="283"/>
      <c r="EV81" s="283"/>
      <c r="EW81" s="283"/>
      <c r="EX81" s="283"/>
      <c r="EY81" s="283"/>
      <c r="EZ81" s="283"/>
      <c r="FA81" s="283"/>
      <c r="FB81" s="283"/>
      <c r="FC81" s="283"/>
      <c r="FD81" s="283"/>
      <c r="FE81" s="283"/>
      <c r="FF81" s="283"/>
      <c r="FG81" s="283"/>
      <c r="FH81" s="283"/>
      <c r="FI81" s="283"/>
      <c r="FJ81" s="283"/>
      <c r="FK81" s="283"/>
      <c r="FL81" s="283"/>
      <c r="FM81" s="283"/>
      <c r="FN81" s="283"/>
      <c r="FO81" s="283"/>
      <c r="FP81" s="283"/>
      <c r="FQ81" s="283"/>
      <c r="FR81" s="283"/>
      <c r="FS81" s="283"/>
      <c r="FT81" s="283"/>
      <c r="FU81" s="283"/>
      <c r="FV81" s="283"/>
      <c r="FW81" s="283"/>
      <c r="FX81" s="283"/>
      <c r="FY81" s="283"/>
      <c r="FZ81" s="283"/>
      <c r="GA81" s="283"/>
      <c r="GB81" s="283"/>
      <c r="GC81" s="283"/>
      <c r="GD81" s="283"/>
      <c r="GE81" s="283"/>
      <c r="GF81" s="283"/>
      <c r="GG81" s="283"/>
      <c r="GH81" s="283"/>
      <c r="GI81" s="283"/>
      <c r="GJ81" s="283"/>
      <c r="GK81" s="283"/>
      <c r="GL81" s="283"/>
      <c r="GM81" s="283"/>
      <c r="GN81" s="283"/>
      <c r="GO81" s="283"/>
      <c r="GP81" s="283"/>
      <c r="GQ81" s="283"/>
      <c r="GR81" s="283"/>
      <c r="GS81" s="283"/>
      <c r="GT81" s="283"/>
      <c r="GU81" s="283"/>
      <c r="GV81" s="283"/>
      <c r="GW81" s="283"/>
      <c r="GX81" s="283"/>
      <c r="GY81" s="283"/>
      <c r="GZ81" s="283"/>
      <c r="HA81" s="283"/>
      <c r="HB81" s="283"/>
      <c r="HC81" s="283"/>
      <c r="HD81" s="283"/>
      <c r="HE81" s="283"/>
      <c r="HF81" s="283"/>
      <c r="HG81" s="283"/>
      <c r="HH81" s="283"/>
      <c r="HI81" s="283"/>
      <c r="HJ81" s="283"/>
      <c r="HK81" s="283"/>
      <c r="HL81" s="283"/>
      <c r="HM81" s="283"/>
      <c r="HN81" s="283"/>
      <c r="HO81" s="283"/>
      <c r="HP81" s="283"/>
      <c r="HQ81" s="283"/>
      <c r="HR81" s="283"/>
      <c r="HS81" s="283"/>
      <c r="HT81" s="283"/>
      <c r="HU81" s="283"/>
      <c r="HV81" s="283"/>
      <c r="HW81" s="283"/>
      <c r="HX81" s="283"/>
      <c r="HY81" s="283"/>
      <c r="HZ81" s="283"/>
      <c r="IA81" s="283"/>
      <c r="IB81" s="283"/>
      <c r="IC81" s="283"/>
      <c r="ID81" s="283"/>
      <c r="IE81" s="283"/>
      <c r="IF81" s="283"/>
      <c r="IG81" s="283"/>
      <c r="IH81" s="283"/>
      <c r="II81" s="283"/>
      <c r="IJ81" s="283"/>
      <c r="IK81" s="283"/>
      <c r="IL81" s="283"/>
      <c r="IM81" s="283"/>
      <c r="IN81" s="283"/>
      <c r="IO81" s="283"/>
      <c r="IP81" s="283"/>
      <c r="IQ81" s="283"/>
      <c r="IR81" s="283"/>
      <c r="IS81" s="283"/>
      <c r="IT81" s="283"/>
      <c r="IU81" s="283"/>
      <c r="IV81" s="283"/>
      <c r="IW81" s="283"/>
      <c r="IX81" s="283"/>
      <c r="IY81" s="283"/>
      <c r="IZ81" s="283"/>
      <c r="JA81" s="283"/>
      <c r="JB81" s="283"/>
      <c r="JC81" s="283"/>
      <c r="JD81" s="283"/>
      <c r="JE81" s="283"/>
      <c r="JF81" s="283"/>
      <c r="JG81" s="283"/>
      <c r="JH81" s="283"/>
      <c r="JI81" s="283"/>
      <c r="JJ81" s="283"/>
      <c r="JK81" s="283"/>
      <c r="JL81" s="283"/>
      <c r="JM81" s="283"/>
      <c r="JN81" s="283"/>
      <c r="JO81" s="283"/>
      <c r="JP81" s="283"/>
      <c r="JQ81" s="283"/>
      <c r="JR81" s="283"/>
      <c r="JS81" s="283"/>
      <c r="JT81" s="283"/>
      <c r="JU81" s="283"/>
      <c r="JV81" s="283"/>
      <c r="JW81" s="283"/>
      <c r="JX81" s="283"/>
      <c r="JY81" s="283"/>
      <c r="JZ81" s="283"/>
      <c r="KA81" s="283"/>
      <c r="KB81" s="283"/>
      <c r="KC81" s="283"/>
      <c r="KD81" s="283"/>
      <c r="KE81" s="283"/>
      <c r="KF81" s="283"/>
      <c r="KG81" s="283"/>
      <c r="KH81" s="283"/>
      <c r="KI81" s="283"/>
      <c r="KJ81" s="283"/>
      <c r="KK81" s="283"/>
      <c r="KL81" s="283"/>
      <c r="KM81" s="283"/>
      <c r="KN81" s="283"/>
      <c r="KO81" s="283"/>
      <c r="KP81" s="283"/>
      <c r="KQ81" s="283"/>
      <c r="KR81" s="283"/>
      <c r="KS81" s="283"/>
      <c r="KT81" s="283"/>
      <c r="KU81" s="283"/>
      <c r="KV81" s="283"/>
      <c r="KW81" s="283"/>
      <c r="KX81" s="283"/>
      <c r="KY81" s="283"/>
      <c r="KZ81" s="283"/>
      <c r="LA81" s="283"/>
      <c r="LB81" s="283"/>
      <c r="LC81" s="283"/>
      <c r="LD81" s="283"/>
      <c r="LE81" s="283"/>
      <c r="LF81" s="283"/>
      <c r="LG81" s="283"/>
      <c r="LH81" s="283"/>
      <c r="LI81" s="283"/>
      <c r="LJ81" s="283"/>
      <c r="LK81" s="283"/>
      <c r="LL81" s="283"/>
      <c r="LM81" s="283"/>
      <c r="LN81" s="283"/>
      <c r="LO81" s="283"/>
      <c r="LP81" s="283"/>
      <c r="LQ81" s="283"/>
      <c r="LR81" s="283"/>
      <c r="LS81" s="283"/>
      <c r="LT81" s="283"/>
      <c r="LU81" s="283"/>
      <c r="LV81" s="283"/>
      <c r="LW81" s="283"/>
      <c r="LX81" s="283"/>
      <c r="LY81" s="283"/>
      <c r="LZ81" s="283"/>
      <c r="MA81" s="283"/>
      <c r="MB81" s="283"/>
      <c r="MC81" s="283"/>
      <c r="MD81" s="283"/>
      <c r="ME81" s="283"/>
      <c r="MF81" s="283"/>
      <c r="MG81" s="283"/>
      <c r="MH81" s="283"/>
      <c r="MI81" s="283"/>
      <c r="MJ81" s="283"/>
      <c r="MK81" s="283"/>
      <c r="ML81" s="283"/>
      <c r="MM81" s="283"/>
      <c r="MN81" s="283"/>
      <c r="MO81" s="283"/>
      <c r="MP81" s="283"/>
      <c r="MQ81" s="283"/>
      <c r="MR81" s="283"/>
      <c r="MS81" s="283"/>
      <c r="MT81" s="283"/>
      <c r="MU81" s="283"/>
      <c r="MV81" s="283"/>
      <c r="MW81" s="283"/>
      <c r="MX81" s="283"/>
      <c r="MY81" s="283"/>
      <c r="MZ81" s="283"/>
      <c r="NA81" s="283"/>
      <c r="NB81" s="283"/>
      <c r="NC81" s="283"/>
      <c r="ND81" s="283"/>
      <c r="NE81" s="283"/>
      <c r="NF81" s="283"/>
      <c r="NG81" s="283"/>
      <c r="NH81" s="283"/>
      <c r="NI81" s="283"/>
      <c r="NJ81" s="283"/>
      <c r="NK81" s="283"/>
      <c r="NL81" s="283"/>
      <c r="NM81" s="283"/>
      <c r="NN81" s="283"/>
      <c r="NO81" s="283"/>
      <c r="NP81" s="283"/>
      <c r="NQ81" s="283"/>
      <c r="NR81" s="283"/>
      <c r="NS81" s="283"/>
      <c r="NT81" s="283"/>
      <c r="NU81" s="283"/>
      <c r="NV81" s="283"/>
      <c r="NW81" s="283"/>
      <c r="NX81" s="283"/>
      <c r="NY81" s="283"/>
      <c r="NZ81" s="283"/>
      <c r="OA81" s="283"/>
      <c r="OB81" s="283"/>
      <c r="OC81" s="283"/>
      <c r="OD81" s="283"/>
      <c r="OE81" s="283"/>
      <c r="OF81" s="283"/>
      <c r="OG81" s="283"/>
      <c r="OH81" s="283"/>
      <c r="OI81" s="283"/>
      <c r="OJ81" s="283"/>
      <c r="OK81" s="283"/>
      <c r="OL81" s="283"/>
      <c r="OM81" s="283"/>
      <c r="ON81" s="283"/>
      <c r="OO81" s="283"/>
      <c r="OP81" s="283"/>
      <c r="OQ81" s="283"/>
      <c r="OR81" s="283"/>
      <c r="OS81" s="283"/>
      <c r="OT81" s="283"/>
      <c r="OU81" s="283"/>
      <c r="OV81" s="283"/>
      <c r="OW81" s="283"/>
      <c r="OX81" s="283"/>
      <c r="OY81" s="283"/>
      <c r="OZ81" s="283"/>
      <c r="PA81" s="283"/>
      <c r="PB81" s="283"/>
      <c r="PC81" s="283"/>
      <c r="PD81" s="283"/>
      <c r="PE81" s="283"/>
      <c r="PF81" s="283"/>
      <c r="PG81" s="283"/>
      <c r="PH81" s="283"/>
      <c r="PI81" s="283"/>
      <c r="PJ81" s="283"/>
      <c r="PK81" s="283"/>
      <c r="PL81" s="283"/>
      <c r="PM81" s="283"/>
      <c r="PN81" s="283"/>
      <c r="PO81" s="283"/>
      <c r="PP81" s="283"/>
      <c r="PQ81" s="283"/>
      <c r="PR81" s="283"/>
      <c r="PS81" s="283"/>
      <c r="PT81" s="283"/>
      <c r="PU81" s="283"/>
      <c r="PV81" s="283"/>
      <c r="PW81" s="283"/>
      <c r="PX81" s="283"/>
      <c r="PY81" s="283"/>
      <c r="PZ81" s="283"/>
      <c r="QA81" s="283"/>
      <c r="QB81" s="283"/>
      <c r="QC81" s="283"/>
      <c r="QD81" s="283"/>
      <c r="QE81" s="283"/>
      <c r="QF81" s="283"/>
      <c r="QG81" s="283"/>
      <c r="QH81" s="283"/>
      <c r="QI81" s="283"/>
      <c r="QJ81" s="283"/>
      <c r="QK81" s="283"/>
      <c r="QL81" s="283"/>
      <c r="QM81" s="283"/>
      <c r="QN81" s="283"/>
      <c r="QO81" s="283"/>
      <c r="QP81" s="283"/>
      <c r="QQ81" s="283"/>
      <c r="QR81" s="283"/>
      <c r="QS81" s="283"/>
      <c r="QT81" s="283"/>
      <c r="QU81" s="283"/>
      <c r="QV81" s="283"/>
      <c r="QW81" s="283"/>
      <c r="QX81" s="283"/>
      <c r="QY81" s="283"/>
      <c r="QZ81" s="283"/>
      <c r="RA81" s="283"/>
      <c r="RB81" s="283"/>
      <c r="RC81" s="283"/>
      <c r="RD81" s="283"/>
      <c r="RE81" s="283"/>
      <c r="RF81" s="283"/>
      <c r="RG81" s="283"/>
      <c r="RH81" s="283"/>
      <c r="RI81" s="283"/>
      <c r="RJ81" s="283"/>
      <c r="RK81" s="283"/>
      <c r="RL81" s="283"/>
      <c r="RM81" s="283"/>
      <c r="RN81" s="283"/>
      <c r="RO81" s="283"/>
      <c r="RP81" s="283"/>
      <c r="RQ81" s="283"/>
      <c r="RR81" s="283"/>
      <c r="RS81" s="283"/>
      <c r="RT81" s="283"/>
      <c r="RU81" s="283"/>
      <c r="RV81" s="283"/>
      <c r="RW81" s="283"/>
      <c r="RX81" s="283"/>
      <c r="RY81" s="283"/>
      <c r="RZ81" s="283"/>
      <c r="SA81" s="283"/>
      <c r="SB81" s="283"/>
      <c r="SC81" s="283"/>
      <c r="SD81" s="283"/>
      <c r="SE81" s="283"/>
      <c r="SF81" s="283"/>
      <c r="SG81" s="283"/>
      <c r="SH81" s="283"/>
      <c r="SI81" s="283"/>
      <c r="SJ81" s="283"/>
      <c r="SK81" s="283"/>
      <c r="SL81" s="283"/>
      <c r="SM81" s="283"/>
      <c r="SN81" s="283"/>
      <c r="SO81" s="283"/>
      <c r="SP81" s="283"/>
      <c r="SQ81" s="283"/>
      <c r="SR81" s="283"/>
      <c r="SS81" s="283"/>
      <c r="ST81" s="283"/>
      <c r="SU81" s="283"/>
      <c r="SV81" s="283"/>
      <c r="SW81" s="283"/>
      <c r="SX81" s="283"/>
      <c r="SY81" s="283"/>
      <c r="SZ81" s="283"/>
      <c r="TA81" s="283"/>
      <c r="TB81" s="283"/>
      <c r="TC81" s="283"/>
      <c r="TD81" s="283"/>
      <c r="TE81" s="283"/>
      <c r="TF81" s="283"/>
      <c r="TG81" s="283"/>
      <c r="TH81" s="283"/>
      <c r="TI81" s="283"/>
      <c r="TJ81" s="283"/>
      <c r="TK81" s="283"/>
      <c r="TL81" s="283"/>
      <c r="TM81" s="283"/>
      <c r="TN81" s="283"/>
      <c r="TO81" s="283"/>
      <c r="TP81" s="283"/>
      <c r="TQ81" s="283"/>
      <c r="TR81" s="283"/>
      <c r="TS81" s="283"/>
      <c r="TT81" s="283"/>
      <c r="TU81" s="283"/>
      <c r="TV81" s="283"/>
      <c r="TW81" s="283"/>
      <c r="TX81" s="283"/>
      <c r="TY81" s="283"/>
      <c r="TZ81" s="283"/>
      <c r="UA81" s="283"/>
      <c r="UB81" s="283"/>
      <c r="UC81" s="283"/>
      <c r="UD81" s="283"/>
      <c r="UE81" s="283"/>
      <c r="UF81" s="283"/>
      <c r="UG81" s="283"/>
      <c r="UH81" s="283"/>
      <c r="UI81" s="283"/>
      <c r="UJ81" s="283"/>
      <c r="UK81" s="283"/>
      <c r="UL81" s="283"/>
      <c r="UM81" s="283"/>
      <c r="UN81" s="283"/>
      <c r="UO81" s="283"/>
      <c r="UP81" s="283"/>
      <c r="UQ81" s="283"/>
      <c r="UR81" s="283"/>
      <c r="US81" s="283"/>
      <c r="UT81" s="283"/>
      <c r="UU81" s="283"/>
      <c r="UV81" s="283"/>
      <c r="UW81" s="283"/>
      <c r="UX81" s="283"/>
      <c r="UY81" s="283"/>
      <c r="UZ81" s="283"/>
      <c r="VA81" s="283"/>
      <c r="VB81" s="283"/>
      <c r="VC81" s="283"/>
      <c r="VD81" s="283"/>
      <c r="VE81" s="283"/>
      <c r="VF81" s="283"/>
      <c r="VG81" s="283"/>
      <c r="VH81" s="283"/>
      <c r="VI81" s="283"/>
      <c r="VJ81" s="283"/>
      <c r="VK81" s="283"/>
      <c r="VL81" s="283"/>
      <c r="VM81" s="283"/>
      <c r="VN81" s="283"/>
      <c r="VO81" s="283"/>
      <c r="VP81" s="283"/>
      <c r="VQ81" s="283"/>
      <c r="VR81" s="283"/>
      <c r="VS81" s="283"/>
      <c r="VT81" s="283"/>
      <c r="VU81" s="283"/>
      <c r="VV81" s="283"/>
      <c r="VW81" s="283"/>
      <c r="VX81" s="283"/>
      <c r="VY81" s="283"/>
      <c r="VZ81" s="283"/>
      <c r="WA81" s="283"/>
      <c r="WB81" s="283"/>
      <c r="WC81" s="283"/>
      <c r="WD81" s="283"/>
      <c r="WE81" s="283"/>
      <c r="WF81" s="283"/>
      <c r="WG81" s="283"/>
      <c r="WH81" s="283"/>
      <c r="WI81" s="283"/>
      <c r="WJ81" s="283"/>
      <c r="WK81" s="283"/>
      <c r="WL81" s="283"/>
      <c r="WM81" s="283"/>
      <c r="WN81" s="283"/>
      <c r="WO81" s="283"/>
      <c r="WP81" s="283"/>
      <c r="WQ81" s="283"/>
      <c r="WR81" s="283"/>
      <c r="WS81" s="283"/>
      <c r="WT81" s="283"/>
      <c r="WU81" s="283"/>
      <c r="WV81" s="283"/>
      <c r="WW81" s="283"/>
      <c r="WX81" s="283"/>
      <c r="WY81" s="283"/>
      <c r="WZ81" s="283"/>
      <c r="XA81" s="283"/>
      <c r="XB81" s="283"/>
      <c r="XC81" s="283"/>
      <c r="XD81" s="283"/>
      <c r="XE81" s="283"/>
      <c r="XF81" s="283"/>
      <c r="XG81" s="283"/>
      <c r="XH81" s="283"/>
      <c r="XI81" s="283"/>
      <c r="XJ81" s="283"/>
      <c r="XK81" s="283"/>
      <c r="XL81" s="283"/>
      <c r="XM81" s="283"/>
      <c r="XN81" s="283"/>
      <c r="XO81" s="283"/>
      <c r="XP81" s="283"/>
      <c r="XQ81" s="283"/>
      <c r="XR81" s="283"/>
      <c r="XS81" s="283"/>
      <c r="XT81" s="283"/>
      <c r="XU81" s="283"/>
      <c r="XV81" s="283"/>
      <c r="XW81" s="283"/>
      <c r="XX81" s="283"/>
      <c r="XY81" s="283"/>
      <c r="XZ81" s="283"/>
      <c r="YA81" s="283"/>
      <c r="YB81" s="283"/>
      <c r="YC81" s="283"/>
      <c r="YD81" s="283"/>
      <c r="YE81" s="283"/>
      <c r="YF81" s="283"/>
      <c r="YG81" s="283"/>
      <c r="YH81" s="283"/>
      <c r="YI81" s="283"/>
      <c r="YJ81" s="283"/>
      <c r="YK81" s="283"/>
      <c r="YL81" s="283"/>
      <c r="YM81" s="283"/>
      <c r="YN81" s="283"/>
      <c r="YO81" s="283"/>
      <c r="YP81" s="283"/>
      <c r="YQ81" s="283"/>
      <c r="YR81" s="283"/>
      <c r="YS81" s="283"/>
      <c r="YT81" s="283"/>
      <c r="YU81" s="283"/>
      <c r="YV81" s="283"/>
      <c r="YW81" s="283"/>
      <c r="YX81" s="283"/>
      <c r="YY81" s="283"/>
      <c r="YZ81" s="283"/>
      <c r="ZA81" s="283"/>
      <c r="ZB81" s="283"/>
      <c r="ZC81" s="283"/>
      <c r="ZD81" s="283"/>
      <c r="ZE81" s="283"/>
      <c r="ZF81" s="283"/>
      <c r="ZG81" s="283"/>
      <c r="ZH81" s="283"/>
      <c r="ZI81" s="283"/>
      <c r="ZJ81" s="283"/>
      <c r="ZK81" s="283"/>
      <c r="ZL81" s="283"/>
      <c r="ZM81" s="283"/>
      <c r="ZN81" s="283"/>
      <c r="ZO81" s="283"/>
      <c r="ZP81" s="283"/>
      <c r="ZQ81" s="283"/>
      <c r="ZR81" s="283"/>
      <c r="ZS81" s="283"/>
      <c r="ZT81" s="283"/>
      <c r="ZU81" s="283"/>
      <c r="ZV81" s="283"/>
      <c r="ZW81" s="283"/>
      <c r="ZX81" s="283"/>
      <c r="ZY81" s="283"/>
      <c r="ZZ81" s="283"/>
      <c r="AAA81" s="283"/>
      <c r="AAB81" s="283"/>
      <c r="AAC81" s="283"/>
      <c r="AAD81" s="283"/>
      <c r="AAE81" s="283"/>
      <c r="AAF81" s="283"/>
      <c r="AAG81" s="283"/>
      <c r="AAH81" s="283"/>
      <c r="AAI81" s="283"/>
      <c r="AAJ81" s="283"/>
      <c r="AAK81" s="283"/>
      <c r="AAL81" s="283"/>
      <c r="AAM81" s="283"/>
      <c r="AAN81" s="283"/>
      <c r="AAO81" s="283"/>
      <c r="AAP81" s="283"/>
      <c r="AAQ81" s="283"/>
      <c r="AAR81" s="283"/>
      <c r="AAS81" s="283"/>
      <c r="AAT81" s="283"/>
      <c r="AAU81" s="283"/>
      <c r="AAV81" s="283"/>
      <c r="AAW81" s="283"/>
      <c r="AAX81" s="283"/>
      <c r="AAY81" s="283"/>
      <c r="AAZ81" s="283"/>
      <c r="ABA81" s="283"/>
      <c r="ABB81" s="283"/>
      <c r="ABC81" s="283"/>
      <c r="ABD81" s="283"/>
      <c r="ABE81" s="283"/>
      <c r="ABF81" s="283"/>
      <c r="ABG81" s="283"/>
      <c r="ABH81" s="283"/>
      <c r="ABI81" s="283"/>
      <c r="ABJ81" s="283"/>
      <c r="ABK81" s="283"/>
      <c r="ABL81" s="283"/>
      <c r="ABM81" s="283"/>
      <c r="ABN81" s="283"/>
      <c r="ABO81" s="283"/>
      <c r="ABP81" s="283"/>
      <c r="ABQ81" s="283"/>
      <c r="ABR81" s="283"/>
      <c r="ABS81" s="283"/>
      <c r="ABT81" s="283"/>
      <c r="ABU81" s="283"/>
      <c r="ABV81" s="283"/>
      <c r="ABW81" s="283"/>
      <c r="ABX81" s="283"/>
      <c r="ABY81" s="283"/>
      <c r="ABZ81" s="283"/>
      <c r="ACA81" s="283"/>
      <c r="ACB81" s="283"/>
      <c r="ACC81" s="283"/>
      <c r="ACD81" s="283"/>
      <c r="ACE81" s="283"/>
      <c r="ACF81" s="283"/>
      <c r="ACG81" s="283"/>
      <c r="ACH81" s="283"/>
      <c r="ACI81" s="283"/>
      <c r="ACJ81" s="283"/>
      <c r="ACK81" s="283"/>
      <c r="ACL81" s="283"/>
      <c r="ACM81" s="283"/>
      <c r="ACN81" s="283"/>
      <c r="ACO81" s="283"/>
      <c r="ACP81" s="283"/>
      <c r="ACQ81" s="283"/>
      <c r="ACR81" s="283"/>
      <c r="ACS81" s="283"/>
      <c r="ACT81" s="283"/>
      <c r="ACU81" s="283"/>
      <c r="ACV81" s="283"/>
      <c r="ACW81" s="283"/>
      <c r="ACX81" s="283"/>
      <c r="ACY81" s="283"/>
      <c r="ACZ81" s="283"/>
      <c r="ADA81" s="283"/>
      <c r="ADB81" s="283"/>
      <c r="ADC81" s="283"/>
      <c r="ADD81" s="283"/>
      <c r="ADE81" s="283"/>
      <c r="ADF81" s="283"/>
      <c r="ADG81" s="283"/>
      <c r="ADH81" s="283"/>
      <c r="ADI81" s="283"/>
      <c r="ADJ81" s="283"/>
      <c r="ADK81" s="283"/>
      <c r="ADL81" s="283"/>
      <c r="ADM81" s="283"/>
      <c r="ADN81" s="283"/>
      <c r="ADO81" s="283"/>
      <c r="ADP81" s="283"/>
      <c r="ADQ81" s="283"/>
      <c r="ADR81" s="283"/>
      <c r="ADS81" s="283"/>
      <c r="ADT81" s="283"/>
      <c r="ADU81" s="283"/>
      <c r="ADV81" s="283"/>
      <c r="ADW81" s="283"/>
      <c r="ADX81" s="283"/>
      <c r="ADY81" s="283"/>
      <c r="ADZ81" s="283"/>
      <c r="AEA81" s="283"/>
      <c r="AEB81" s="283"/>
      <c r="AEC81" s="283"/>
      <c r="AED81" s="283"/>
      <c r="AEE81" s="283"/>
      <c r="AEF81" s="283"/>
      <c r="AEG81" s="283"/>
      <c r="AEH81" s="283"/>
      <c r="AEI81" s="283"/>
      <c r="AEJ81" s="283"/>
      <c r="AEK81" s="283"/>
      <c r="AEL81" s="283"/>
      <c r="AEM81" s="283"/>
      <c r="AEN81" s="283"/>
      <c r="AEO81" s="283"/>
      <c r="AEP81" s="283"/>
      <c r="AEQ81" s="283"/>
      <c r="AER81" s="283"/>
      <c r="AES81" s="283"/>
      <c r="AET81" s="283"/>
      <c r="AEU81" s="283"/>
      <c r="AEV81" s="283"/>
      <c r="AEW81" s="283"/>
      <c r="AEX81" s="283"/>
      <c r="AEY81" s="283"/>
      <c r="AEZ81" s="283"/>
      <c r="AFA81" s="283"/>
      <c r="AFB81" s="283"/>
      <c r="AFC81" s="283"/>
      <c r="AFD81" s="283"/>
      <c r="AFE81" s="283"/>
      <c r="AFF81" s="283"/>
      <c r="AFG81" s="283"/>
      <c r="AFH81" s="283"/>
      <c r="AFI81" s="283"/>
      <c r="AFJ81" s="283"/>
      <c r="AFK81" s="283"/>
      <c r="AFL81" s="283"/>
      <c r="AFM81" s="283"/>
      <c r="AFN81" s="283"/>
      <c r="AFO81" s="283"/>
      <c r="AFP81" s="283"/>
      <c r="AFQ81" s="283"/>
      <c r="AFR81" s="283"/>
      <c r="AFS81" s="283"/>
      <c r="AFT81" s="283"/>
      <c r="AFU81" s="283"/>
      <c r="AFV81" s="283"/>
      <c r="AFW81" s="283"/>
      <c r="AFX81" s="283"/>
      <c r="AFY81" s="283"/>
      <c r="AFZ81" s="283"/>
      <c r="AGA81" s="283"/>
      <c r="AGB81" s="283"/>
      <c r="AGC81" s="283"/>
      <c r="AGD81" s="283"/>
      <c r="AGE81" s="283"/>
      <c r="AGF81" s="283"/>
      <c r="AGG81" s="283"/>
      <c r="AGH81" s="283"/>
      <c r="AGI81" s="283"/>
      <c r="AGJ81" s="283"/>
      <c r="AGK81" s="283"/>
      <c r="AGL81" s="283"/>
      <c r="AGM81" s="283"/>
      <c r="AGN81" s="283"/>
      <c r="AGO81" s="283"/>
      <c r="AGP81" s="283"/>
      <c r="AGQ81" s="283"/>
      <c r="AGR81" s="283"/>
      <c r="AGS81" s="283"/>
      <c r="AGT81" s="283"/>
      <c r="AGU81" s="283"/>
      <c r="AGV81" s="283"/>
      <c r="AGW81" s="283"/>
      <c r="AGX81" s="283"/>
      <c r="AGY81" s="283"/>
      <c r="AGZ81" s="283"/>
      <c r="AHA81" s="283"/>
      <c r="AHB81" s="283"/>
      <c r="AHC81" s="283"/>
      <c r="AHD81" s="283"/>
      <c r="AHE81" s="283"/>
      <c r="AHF81" s="283"/>
      <c r="AHG81" s="283"/>
      <c r="AHH81" s="283"/>
      <c r="AHI81" s="283"/>
      <c r="AHJ81" s="283"/>
      <c r="AHK81" s="283"/>
      <c r="AHL81" s="283"/>
      <c r="AHM81" s="283"/>
      <c r="AHN81" s="283"/>
      <c r="AHO81" s="283"/>
      <c r="AHP81" s="283"/>
      <c r="AHQ81" s="283"/>
      <c r="AHR81" s="283"/>
      <c r="AHS81" s="283"/>
      <c r="AHT81" s="283"/>
      <c r="AHU81" s="283"/>
      <c r="AHV81" s="283"/>
      <c r="AHW81" s="283"/>
      <c r="AHX81" s="283"/>
      <c r="AHY81" s="283"/>
      <c r="AHZ81" s="283"/>
      <c r="AIA81" s="283"/>
      <c r="AIB81" s="283"/>
      <c r="AIC81" s="283"/>
      <c r="AID81" s="283"/>
      <c r="AIE81" s="283"/>
      <c r="AIF81" s="283"/>
      <c r="AIG81" s="283"/>
      <c r="AIH81" s="283"/>
      <c r="AII81" s="283"/>
      <c r="AIJ81" s="283"/>
      <c r="AIK81" s="283"/>
      <c r="AIL81" s="283"/>
      <c r="AIM81" s="283"/>
      <c r="AIN81" s="283"/>
      <c r="AIO81" s="283"/>
      <c r="AIP81" s="283"/>
      <c r="AIQ81" s="283"/>
      <c r="AIR81" s="283"/>
      <c r="AIS81" s="283"/>
      <c r="AIT81" s="283"/>
      <c r="AIU81" s="283"/>
      <c r="AIV81" s="283"/>
      <c r="AIW81" s="283"/>
      <c r="AIX81" s="283"/>
      <c r="AIY81" s="283"/>
      <c r="AIZ81" s="283"/>
      <c r="AJA81" s="283"/>
      <c r="AJB81" s="283"/>
      <c r="AJC81" s="283"/>
      <c r="AJD81" s="283"/>
      <c r="AJE81" s="283"/>
      <c r="AJF81" s="283"/>
      <c r="AJG81" s="283"/>
      <c r="AJH81" s="283"/>
      <c r="AJI81" s="283"/>
      <c r="AJJ81" s="283"/>
      <c r="AJK81" s="283"/>
      <c r="AJL81" s="283"/>
      <c r="AJM81" s="283"/>
      <c r="AJN81" s="283"/>
      <c r="AJO81" s="283"/>
      <c r="AJP81" s="283"/>
      <c r="AJQ81" s="283"/>
      <c r="AJR81" s="283"/>
      <c r="AJS81" s="283"/>
      <c r="AJT81" s="283"/>
      <c r="AJU81" s="283"/>
      <c r="AJV81" s="283"/>
      <c r="AJW81" s="283"/>
      <c r="AJX81" s="283"/>
      <c r="AJY81" s="283"/>
      <c r="AJZ81" s="283"/>
      <c r="AKA81" s="283"/>
      <c r="AKB81" s="283"/>
      <c r="AKC81" s="283"/>
      <c r="AKD81" s="283"/>
      <c r="AKE81" s="283"/>
      <c r="AKF81" s="283"/>
      <c r="AKG81" s="283"/>
      <c r="AKH81" s="283"/>
      <c r="AKI81" s="283"/>
      <c r="AKJ81" s="283"/>
      <c r="AKK81" s="283"/>
      <c r="AKL81" s="283"/>
      <c r="AKM81" s="283"/>
      <c r="AKN81" s="283"/>
      <c r="AKO81" s="283"/>
      <c r="AKP81" s="283"/>
      <c r="AKQ81" s="283"/>
      <c r="AKR81" s="283"/>
      <c r="AKS81" s="283"/>
      <c r="AKT81" s="283"/>
      <c r="AKU81" s="283"/>
      <c r="AKV81" s="283"/>
      <c r="AKW81" s="283"/>
      <c r="AKX81" s="283"/>
      <c r="AKY81" s="283"/>
      <c r="AKZ81" s="283"/>
      <c r="ALA81" s="283"/>
      <c r="ALB81" s="283"/>
      <c r="ALC81" s="283"/>
      <c r="ALD81" s="283"/>
      <c r="ALE81" s="283"/>
      <c r="ALF81" s="283"/>
      <c r="ALG81" s="283"/>
      <c r="ALH81" s="283"/>
      <c r="ALI81" s="283"/>
      <c r="ALJ81" s="283"/>
      <c r="ALK81" s="283"/>
      <c r="ALL81" s="283"/>
      <c r="ALM81" s="283"/>
      <c r="ALN81" s="283"/>
      <c r="ALO81" s="283"/>
      <c r="ALP81" s="283"/>
      <c r="ALQ81" s="283"/>
      <c r="ALR81" s="283"/>
      <c r="ALS81" s="283"/>
      <c r="ALT81" s="283"/>
      <c r="ALU81" s="283"/>
      <c r="ALV81" s="283"/>
      <c r="ALW81" s="283"/>
      <c r="ALX81" s="283"/>
      <c r="ALY81" s="283"/>
      <c r="ALZ81" s="283"/>
      <c r="AMA81" s="283"/>
      <c r="AMB81" s="283"/>
      <c r="AMC81" s="283"/>
      <c r="AMD81" s="283"/>
      <c r="AME81" s="283"/>
      <c r="AMF81" s="283"/>
      <c r="AMG81" s="283"/>
      <c r="AMH81" s="283"/>
      <c r="AMI81" s="283"/>
      <c r="AMJ81" s="283"/>
      <c r="AMK81" s="283"/>
    </row>
    <row r="82" spans="1:1025" s="417" customFormat="1" ht="11.25" x14ac:dyDescent="0.2">
      <c r="A82" s="283"/>
      <c r="B82" s="19"/>
      <c r="C82" s="229" t="s">
        <v>99</v>
      </c>
      <c r="D82" s="230"/>
      <c r="E82" s="230"/>
      <c r="F82" s="231" t="s">
        <v>100</v>
      </c>
      <c r="G82" s="16"/>
      <c r="H82" s="153"/>
      <c r="I82" s="15"/>
      <c r="J82" s="17" t="s">
        <v>101</v>
      </c>
      <c r="K82" s="153"/>
      <c r="L82" s="283"/>
      <c r="M82" s="283"/>
      <c r="N82" s="283"/>
      <c r="O82" s="283"/>
      <c r="P82" s="283"/>
      <c r="Q82" s="283"/>
      <c r="R82" s="283"/>
      <c r="S82" s="283"/>
      <c r="T82" s="283"/>
      <c r="U82" s="283"/>
      <c r="V82" s="283"/>
      <c r="W82" s="283"/>
      <c r="X82" s="283"/>
      <c r="Y82" s="283"/>
      <c r="Z82" s="283"/>
      <c r="AA82" s="283"/>
      <c r="AB82" s="283"/>
      <c r="AC82" s="283"/>
      <c r="AD82" s="283"/>
      <c r="AE82" s="283"/>
      <c r="AF82" s="283"/>
      <c r="AG82" s="283"/>
      <c r="AH82" s="283"/>
      <c r="AI82" s="283"/>
      <c r="AJ82" s="283"/>
      <c r="AK82" s="283"/>
      <c r="AL82" s="283"/>
      <c r="AM82" s="283"/>
      <c r="AN82" s="283"/>
      <c r="AO82" s="283"/>
      <c r="AP82" s="283"/>
      <c r="AQ82" s="283"/>
      <c r="AR82" s="283"/>
      <c r="AS82" s="283"/>
      <c r="AT82" s="283"/>
      <c r="AU82" s="283"/>
      <c r="AV82" s="283"/>
      <c r="AW82" s="283"/>
      <c r="AX82" s="283"/>
      <c r="AY82" s="283"/>
      <c r="AZ82" s="283"/>
      <c r="BA82" s="283"/>
      <c r="BB82" s="283"/>
      <c r="BC82" s="283"/>
      <c r="BD82" s="283"/>
      <c r="BE82" s="283"/>
      <c r="BF82" s="283"/>
      <c r="BG82" s="283"/>
      <c r="BH82" s="283"/>
      <c r="BI82" s="283"/>
      <c r="BJ82" s="283"/>
      <c r="BK82" s="283"/>
      <c r="BL82" s="283"/>
      <c r="BM82" s="283"/>
      <c r="BN82" s="283"/>
      <c r="BO82" s="283"/>
      <c r="BP82" s="283"/>
      <c r="BQ82" s="283"/>
      <c r="BR82" s="283"/>
      <c r="BS82" s="283"/>
      <c r="BT82" s="283"/>
      <c r="BU82" s="283"/>
      <c r="BV82" s="283"/>
      <c r="BW82" s="283"/>
      <c r="BX82" s="283"/>
      <c r="BY82" s="283"/>
      <c r="BZ82" s="283"/>
      <c r="CA82" s="283"/>
      <c r="CB82" s="283"/>
      <c r="CC82" s="283"/>
      <c r="CD82" s="283"/>
      <c r="CE82" s="283"/>
      <c r="CF82" s="283"/>
      <c r="CG82" s="283"/>
      <c r="CH82" s="283"/>
      <c r="CI82" s="283"/>
      <c r="CJ82" s="283"/>
      <c r="CK82" s="283"/>
      <c r="CL82" s="283"/>
      <c r="CM82" s="283"/>
      <c r="CN82" s="283"/>
      <c r="CO82" s="283"/>
      <c r="CP82" s="283"/>
      <c r="CQ82" s="283"/>
      <c r="CR82" s="283"/>
      <c r="CS82" s="283"/>
      <c r="CT82" s="283"/>
      <c r="CU82" s="283"/>
      <c r="CV82" s="283"/>
      <c r="CW82" s="283"/>
      <c r="CX82" s="283"/>
      <c r="CY82" s="283"/>
      <c r="CZ82" s="283"/>
      <c r="DA82" s="283"/>
      <c r="DB82" s="283"/>
      <c r="DC82" s="283"/>
      <c r="DD82" s="283"/>
      <c r="DE82" s="283"/>
      <c r="DF82" s="283"/>
      <c r="DG82" s="283"/>
      <c r="DH82" s="283"/>
      <c r="DI82" s="283"/>
      <c r="DJ82" s="283"/>
      <c r="DK82" s="283"/>
      <c r="DL82" s="283"/>
      <c r="DM82" s="283"/>
      <c r="DN82" s="283"/>
      <c r="DO82" s="283"/>
      <c r="DP82" s="283"/>
      <c r="DQ82" s="283"/>
      <c r="DR82" s="283"/>
      <c r="DS82" s="283"/>
      <c r="DT82" s="283"/>
      <c r="DU82" s="283"/>
      <c r="DV82" s="283"/>
      <c r="DW82" s="283"/>
      <c r="DX82" s="283"/>
      <c r="DY82" s="283"/>
      <c r="DZ82" s="283"/>
      <c r="EA82" s="283"/>
      <c r="EB82" s="283"/>
      <c r="EC82" s="283"/>
      <c r="ED82" s="283"/>
      <c r="EE82" s="283"/>
      <c r="EF82" s="283"/>
      <c r="EG82" s="283"/>
      <c r="EH82" s="283"/>
      <c r="EI82" s="283"/>
      <c r="EJ82" s="283"/>
      <c r="EK82" s="283"/>
      <c r="EL82" s="283"/>
      <c r="EM82" s="283"/>
      <c r="EN82" s="283"/>
      <c r="EO82" s="283"/>
      <c r="EP82" s="283"/>
      <c r="EQ82" s="283"/>
      <c r="ER82" s="283"/>
      <c r="ES82" s="283"/>
      <c r="ET82" s="283"/>
      <c r="EU82" s="283"/>
      <c r="EV82" s="283"/>
      <c r="EW82" s="283"/>
      <c r="EX82" s="283"/>
      <c r="EY82" s="283"/>
      <c r="EZ82" s="283"/>
      <c r="FA82" s="283"/>
      <c r="FB82" s="283"/>
      <c r="FC82" s="283"/>
      <c r="FD82" s="283"/>
      <c r="FE82" s="283"/>
      <c r="FF82" s="283"/>
      <c r="FG82" s="283"/>
      <c r="FH82" s="283"/>
      <c r="FI82" s="283"/>
      <c r="FJ82" s="283"/>
      <c r="FK82" s="283"/>
      <c r="FL82" s="283"/>
      <c r="FM82" s="283"/>
      <c r="FN82" s="283"/>
      <c r="FO82" s="283"/>
      <c r="FP82" s="283"/>
      <c r="FQ82" s="283"/>
      <c r="FR82" s="283"/>
      <c r="FS82" s="283"/>
      <c r="FT82" s="283"/>
      <c r="FU82" s="283"/>
      <c r="FV82" s="283"/>
      <c r="FW82" s="283"/>
      <c r="FX82" s="283"/>
      <c r="FY82" s="283"/>
      <c r="FZ82" s="283"/>
      <c r="GA82" s="283"/>
      <c r="GB82" s="283"/>
      <c r="GC82" s="283"/>
      <c r="GD82" s="283"/>
      <c r="GE82" s="283"/>
      <c r="GF82" s="283"/>
      <c r="GG82" s="283"/>
      <c r="GH82" s="283"/>
      <c r="GI82" s="283"/>
      <c r="GJ82" s="283"/>
      <c r="GK82" s="283"/>
      <c r="GL82" s="283"/>
      <c r="GM82" s="283"/>
      <c r="GN82" s="283"/>
      <c r="GO82" s="283"/>
      <c r="GP82" s="283"/>
      <c r="GQ82" s="283"/>
      <c r="GR82" s="283"/>
      <c r="GS82" s="283"/>
      <c r="GT82" s="283"/>
      <c r="GU82" s="283"/>
      <c r="GV82" s="283"/>
      <c r="GW82" s="283"/>
      <c r="GX82" s="283"/>
      <c r="GY82" s="283"/>
      <c r="GZ82" s="283"/>
      <c r="HA82" s="283"/>
      <c r="HB82" s="283"/>
      <c r="HC82" s="283"/>
      <c r="HD82" s="283"/>
      <c r="HE82" s="283"/>
      <c r="HF82" s="283"/>
      <c r="HG82" s="283"/>
      <c r="HH82" s="283"/>
      <c r="HI82" s="283"/>
      <c r="HJ82" s="283"/>
      <c r="HK82" s="283"/>
      <c r="HL82" s="283"/>
      <c r="HM82" s="283"/>
      <c r="HN82" s="283"/>
      <c r="HO82" s="283"/>
      <c r="HP82" s="283"/>
      <c r="HQ82" s="283"/>
      <c r="HR82" s="283"/>
      <c r="HS82" s="283"/>
      <c r="HT82" s="283"/>
      <c r="HU82" s="283"/>
      <c r="HV82" s="283"/>
      <c r="HW82" s="283"/>
      <c r="HX82" s="283"/>
      <c r="HY82" s="283"/>
      <c r="HZ82" s="283"/>
      <c r="IA82" s="283"/>
      <c r="IB82" s="283"/>
      <c r="IC82" s="283"/>
      <c r="ID82" s="283"/>
      <c r="IE82" s="283"/>
      <c r="IF82" s="283"/>
      <c r="IG82" s="283"/>
      <c r="IH82" s="283"/>
      <c r="II82" s="283"/>
      <c r="IJ82" s="283"/>
      <c r="IK82" s="283"/>
      <c r="IL82" s="283"/>
      <c r="IM82" s="283"/>
      <c r="IN82" s="283"/>
      <c r="IO82" s="283"/>
      <c r="IP82" s="283"/>
      <c r="IQ82" s="283"/>
      <c r="IR82" s="283"/>
      <c r="IS82" s="283"/>
      <c r="IT82" s="283"/>
      <c r="IU82" s="283"/>
      <c r="IV82" s="283"/>
      <c r="IW82" s="283"/>
      <c r="IX82" s="283"/>
      <c r="IY82" s="283"/>
      <c r="IZ82" s="283"/>
      <c r="JA82" s="283"/>
      <c r="JB82" s="283"/>
      <c r="JC82" s="283"/>
      <c r="JD82" s="283"/>
      <c r="JE82" s="283"/>
      <c r="JF82" s="283"/>
      <c r="JG82" s="283"/>
      <c r="JH82" s="283"/>
      <c r="JI82" s="283"/>
      <c r="JJ82" s="283"/>
      <c r="JK82" s="283"/>
      <c r="JL82" s="283"/>
      <c r="JM82" s="283"/>
      <c r="JN82" s="283"/>
      <c r="JO82" s="283"/>
      <c r="JP82" s="283"/>
      <c r="JQ82" s="283"/>
      <c r="JR82" s="283"/>
      <c r="JS82" s="283"/>
      <c r="JT82" s="283"/>
      <c r="JU82" s="283"/>
      <c r="JV82" s="283"/>
      <c r="JW82" s="283"/>
      <c r="JX82" s="283"/>
      <c r="JY82" s="283"/>
      <c r="JZ82" s="283"/>
      <c r="KA82" s="283"/>
      <c r="KB82" s="283"/>
      <c r="KC82" s="283"/>
      <c r="KD82" s="283"/>
      <c r="KE82" s="283"/>
      <c r="KF82" s="283"/>
      <c r="KG82" s="283"/>
      <c r="KH82" s="283"/>
      <c r="KI82" s="283"/>
      <c r="KJ82" s="283"/>
      <c r="KK82" s="283"/>
      <c r="KL82" s="283"/>
      <c r="KM82" s="283"/>
      <c r="KN82" s="283"/>
      <c r="KO82" s="283"/>
      <c r="KP82" s="283"/>
      <c r="KQ82" s="283"/>
      <c r="KR82" s="283"/>
      <c r="KS82" s="283"/>
      <c r="KT82" s="283"/>
      <c r="KU82" s="283"/>
      <c r="KV82" s="283"/>
      <c r="KW82" s="283"/>
      <c r="KX82" s="283"/>
      <c r="KY82" s="283"/>
      <c r="KZ82" s="283"/>
      <c r="LA82" s="283"/>
      <c r="LB82" s="283"/>
      <c r="LC82" s="283"/>
      <c r="LD82" s="283"/>
      <c r="LE82" s="283"/>
      <c r="LF82" s="283"/>
      <c r="LG82" s="283"/>
      <c r="LH82" s="283"/>
      <c r="LI82" s="283"/>
      <c r="LJ82" s="283"/>
      <c r="LK82" s="283"/>
      <c r="LL82" s="283"/>
      <c r="LM82" s="283"/>
      <c r="LN82" s="283"/>
      <c r="LO82" s="283"/>
      <c r="LP82" s="283"/>
      <c r="LQ82" s="283"/>
      <c r="LR82" s="283"/>
      <c r="LS82" s="283"/>
      <c r="LT82" s="283"/>
      <c r="LU82" s="283"/>
      <c r="LV82" s="283"/>
      <c r="LW82" s="283"/>
      <c r="LX82" s="283"/>
      <c r="LY82" s="283"/>
      <c r="LZ82" s="283"/>
      <c r="MA82" s="283"/>
      <c r="MB82" s="283"/>
      <c r="MC82" s="283"/>
      <c r="MD82" s="283"/>
      <c r="ME82" s="283"/>
      <c r="MF82" s="283"/>
      <c r="MG82" s="283"/>
      <c r="MH82" s="283"/>
      <c r="MI82" s="283"/>
      <c r="MJ82" s="283"/>
      <c r="MK82" s="283"/>
      <c r="ML82" s="283"/>
      <c r="MM82" s="283"/>
      <c r="MN82" s="283"/>
      <c r="MO82" s="283"/>
      <c r="MP82" s="283"/>
      <c r="MQ82" s="283"/>
      <c r="MR82" s="283"/>
      <c r="MS82" s="283"/>
      <c r="MT82" s="283"/>
      <c r="MU82" s="283"/>
      <c r="MV82" s="283"/>
      <c r="MW82" s="283"/>
      <c r="MX82" s="283"/>
      <c r="MY82" s="283"/>
      <c r="MZ82" s="283"/>
      <c r="NA82" s="283"/>
      <c r="NB82" s="283"/>
      <c r="NC82" s="283"/>
      <c r="ND82" s="283"/>
      <c r="NE82" s="283"/>
      <c r="NF82" s="283"/>
      <c r="NG82" s="283"/>
      <c r="NH82" s="283"/>
      <c r="NI82" s="283"/>
      <c r="NJ82" s="283"/>
      <c r="NK82" s="283"/>
      <c r="NL82" s="283"/>
      <c r="NM82" s="283"/>
      <c r="NN82" s="283"/>
      <c r="NO82" s="283"/>
      <c r="NP82" s="283"/>
      <c r="NQ82" s="283"/>
      <c r="NR82" s="283"/>
      <c r="NS82" s="283"/>
      <c r="NT82" s="283"/>
      <c r="NU82" s="283"/>
      <c r="NV82" s="283"/>
      <c r="NW82" s="283"/>
      <c r="NX82" s="283"/>
      <c r="NY82" s="283"/>
      <c r="NZ82" s="283"/>
      <c r="OA82" s="283"/>
      <c r="OB82" s="283"/>
      <c r="OC82" s="283"/>
      <c r="OD82" s="283"/>
      <c r="OE82" s="283"/>
      <c r="OF82" s="283"/>
      <c r="OG82" s="283"/>
      <c r="OH82" s="283"/>
      <c r="OI82" s="283"/>
      <c r="OJ82" s="283"/>
      <c r="OK82" s="283"/>
      <c r="OL82" s="283"/>
      <c r="OM82" s="283"/>
      <c r="ON82" s="283"/>
      <c r="OO82" s="283"/>
      <c r="OP82" s="283"/>
      <c r="OQ82" s="283"/>
      <c r="OR82" s="283"/>
      <c r="OS82" s="283"/>
      <c r="OT82" s="283"/>
      <c r="OU82" s="283"/>
      <c r="OV82" s="283"/>
      <c r="OW82" s="283"/>
      <c r="OX82" s="283"/>
      <c r="OY82" s="283"/>
      <c r="OZ82" s="283"/>
      <c r="PA82" s="283"/>
      <c r="PB82" s="283"/>
      <c r="PC82" s="283"/>
      <c r="PD82" s="283"/>
      <c r="PE82" s="283"/>
      <c r="PF82" s="283"/>
      <c r="PG82" s="283"/>
      <c r="PH82" s="283"/>
      <c r="PI82" s="283"/>
      <c r="PJ82" s="283"/>
      <c r="PK82" s="283"/>
      <c r="PL82" s="283"/>
      <c r="PM82" s="283"/>
      <c r="PN82" s="283"/>
      <c r="PO82" s="283"/>
      <c r="PP82" s="283"/>
      <c r="PQ82" s="283"/>
      <c r="PR82" s="283"/>
      <c r="PS82" s="283"/>
      <c r="PT82" s="283"/>
      <c r="PU82" s="283"/>
      <c r="PV82" s="283"/>
      <c r="PW82" s="283"/>
      <c r="PX82" s="283"/>
      <c r="PY82" s="283"/>
      <c r="PZ82" s="283"/>
      <c r="QA82" s="283"/>
      <c r="QB82" s="283"/>
      <c r="QC82" s="283"/>
      <c r="QD82" s="283"/>
      <c r="QE82" s="283"/>
      <c r="QF82" s="283"/>
      <c r="QG82" s="283"/>
      <c r="QH82" s="283"/>
      <c r="QI82" s="283"/>
      <c r="QJ82" s="283"/>
      <c r="QK82" s="283"/>
      <c r="QL82" s="283"/>
      <c r="QM82" s="283"/>
      <c r="QN82" s="283"/>
      <c r="QO82" s="283"/>
      <c r="QP82" s="283"/>
      <c r="QQ82" s="283"/>
      <c r="QR82" s="283"/>
      <c r="QS82" s="283"/>
      <c r="QT82" s="283"/>
      <c r="QU82" s="283"/>
      <c r="QV82" s="283"/>
      <c r="QW82" s="283"/>
      <c r="QX82" s="283"/>
      <c r="QY82" s="283"/>
      <c r="QZ82" s="283"/>
      <c r="RA82" s="283"/>
      <c r="RB82" s="283"/>
      <c r="RC82" s="283"/>
      <c r="RD82" s="283"/>
      <c r="RE82" s="283"/>
      <c r="RF82" s="283"/>
      <c r="RG82" s="283"/>
      <c r="RH82" s="283"/>
      <c r="RI82" s="283"/>
      <c r="RJ82" s="283"/>
      <c r="RK82" s="283"/>
      <c r="RL82" s="283"/>
      <c r="RM82" s="283"/>
      <c r="RN82" s="283"/>
      <c r="RO82" s="283"/>
      <c r="RP82" s="283"/>
      <c r="RQ82" s="283"/>
      <c r="RR82" s="283"/>
      <c r="RS82" s="283"/>
      <c r="RT82" s="283"/>
      <c r="RU82" s="283"/>
      <c r="RV82" s="283"/>
      <c r="RW82" s="283"/>
      <c r="RX82" s="283"/>
      <c r="RY82" s="283"/>
      <c r="RZ82" s="283"/>
      <c r="SA82" s="283"/>
      <c r="SB82" s="283"/>
      <c r="SC82" s="283"/>
      <c r="SD82" s="283"/>
      <c r="SE82" s="283"/>
      <c r="SF82" s="283"/>
      <c r="SG82" s="283"/>
      <c r="SH82" s="283"/>
      <c r="SI82" s="283"/>
      <c r="SJ82" s="283"/>
      <c r="SK82" s="283"/>
      <c r="SL82" s="283"/>
      <c r="SM82" s="283"/>
      <c r="SN82" s="283"/>
      <c r="SO82" s="283"/>
      <c r="SP82" s="283"/>
      <c r="SQ82" s="283"/>
      <c r="SR82" s="283"/>
      <c r="SS82" s="283"/>
      <c r="ST82" s="283"/>
      <c r="SU82" s="283"/>
      <c r="SV82" s="283"/>
      <c r="SW82" s="283"/>
      <c r="SX82" s="283"/>
      <c r="SY82" s="283"/>
      <c r="SZ82" s="283"/>
      <c r="TA82" s="283"/>
      <c r="TB82" s="283"/>
      <c r="TC82" s="283"/>
      <c r="TD82" s="283"/>
      <c r="TE82" s="283"/>
      <c r="TF82" s="283"/>
      <c r="TG82" s="283"/>
      <c r="TH82" s="283"/>
      <c r="TI82" s="283"/>
      <c r="TJ82" s="283"/>
      <c r="TK82" s="283"/>
      <c r="TL82" s="283"/>
      <c r="TM82" s="283"/>
      <c r="TN82" s="283"/>
      <c r="TO82" s="283"/>
      <c r="TP82" s="283"/>
      <c r="TQ82" s="283"/>
      <c r="TR82" s="283"/>
      <c r="TS82" s="283"/>
      <c r="TT82" s="283"/>
      <c r="TU82" s="283"/>
      <c r="TV82" s="283"/>
      <c r="TW82" s="283"/>
      <c r="TX82" s="283"/>
      <c r="TY82" s="283"/>
      <c r="TZ82" s="283"/>
      <c r="UA82" s="283"/>
      <c r="UB82" s="283"/>
      <c r="UC82" s="283"/>
      <c r="UD82" s="283"/>
      <c r="UE82" s="283"/>
      <c r="UF82" s="283"/>
      <c r="UG82" s="283"/>
      <c r="UH82" s="283"/>
      <c r="UI82" s="283"/>
      <c r="UJ82" s="283"/>
      <c r="UK82" s="283"/>
      <c r="UL82" s="283"/>
      <c r="UM82" s="283"/>
      <c r="UN82" s="283"/>
      <c r="UO82" s="283"/>
      <c r="UP82" s="283"/>
      <c r="UQ82" s="283"/>
      <c r="UR82" s="283"/>
      <c r="US82" s="283"/>
      <c r="UT82" s="283"/>
      <c r="UU82" s="283"/>
      <c r="UV82" s="283"/>
      <c r="UW82" s="283"/>
      <c r="UX82" s="283"/>
      <c r="UY82" s="283"/>
      <c r="UZ82" s="283"/>
      <c r="VA82" s="283"/>
      <c r="VB82" s="283"/>
      <c r="VC82" s="283"/>
      <c r="VD82" s="283"/>
      <c r="VE82" s="283"/>
      <c r="VF82" s="283"/>
      <c r="VG82" s="283"/>
      <c r="VH82" s="283"/>
      <c r="VI82" s="283"/>
      <c r="VJ82" s="283"/>
      <c r="VK82" s="283"/>
      <c r="VL82" s="283"/>
      <c r="VM82" s="283"/>
      <c r="VN82" s="283"/>
      <c r="VO82" s="283"/>
      <c r="VP82" s="283"/>
      <c r="VQ82" s="283"/>
      <c r="VR82" s="283"/>
      <c r="VS82" s="283"/>
      <c r="VT82" s="283"/>
      <c r="VU82" s="283"/>
      <c r="VV82" s="283"/>
      <c r="VW82" s="283"/>
      <c r="VX82" s="283"/>
      <c r="VY82" s="283"/>
      <c r="VZ82" s="283"/>
      <c r="WA82" s="283"/>
      <c r="WB82" s="283"/>
      <c r="WC82" s="283"/>
      <c r="WD82" s="283"/>
      <c r="WE82" s="283"/>
      <c r="WF82" s="283"/>
      <c r="WG82" s="283"/>
      <c r="WH82" s="283"/>
      <c r="WI82" s="283"/>
      <c r="WJ82" s="283"/>
      <c r="WK82" s="283"/>
      <c r="WL82" s="283"/>
      <c r="WM82" s="283"/>
      <c r="WN82" s="283"/>
      <c r="WO82" s="283"/>
      <c r="WP82" s="283"/>
      <c r="WQ82" s="283"/>
      <c r="WR82" s="283"/>
      <c r="WS82" s="283"/>
      <c r="WT82" s="283"/>
      <c r="WU82" s="283"/>
      <c r="WV82" s="283"/>
      <c r="WW82" s="283"/>
      <c r="WX82" s="283"/>
      <c r="WY82" s="283"/>
      <c r="WZ82" s="283"/>
      <c r="XA82" s="283"/>
      <c r="XB82" s="283"/>
      <c r="XC82" s="283"/>
      <c r="XD82" s="283"/>
      <c r="XE82" s="283"/>
      <c r="XF82" s="283"/>
      <c r="XG82" s="283"/>
      <c r="XH82" s="283"/>
      <c r="XI82" s="283"/>
      <c r="XJ82" s="283"/>
      <c r="XK82" s="283"/>
      <c r="XL82" s="283"/>
      <c r="XM82" s="283"/>
      <c r="XN82" s="283"/>
      <c r="XO82" s="283"/>
      <c r="XP82" s="283"/>
      <c r="XQ82" s="283"/>
      <c r="XR82" s="283"/>
      <c r="XS82" s="283"/>
      <c r="XT82" s="283"/>
      <c r="XU82" s="283"/>
      <c r="XV82" s="283"/>
      <c r="XW82" s="283"/>
      <c r="XX82" s="283"/>
      <c r="XY82" s="283"/>
      <c r="XZ82" s="283"/>
      <c r="YA82" s="283"/>
      <c r="YB82" s="283"/>
      <c r="YC82" s="283"/>
      <c r="YD82" s="283"/>
      <c r="YE82" s="283"/>
      <c r="YF82" s="283"/>
      <c r="YG82" s="283"/>
      <c r="YH82" s="283"/>
      <c r="YI82" s="283"/>
      <c r="YJ82" s="283"/>
      <c r="YK82" s="283"/>
      <c r="YL82" s="283"/>
      <c r="YM82" s="283"/>
      <c r="YN82" s="283"/>
      <c r="YO82" s="283"/>
      <c r="YP82" s="283"/>
      <c r="YQ82" s="283"/>
      <c r="YR82" s="283"/>
      <c r="YS82" s="283"/>
      <c r="YT82" s="283"/>
      <c r="YU82" s="283"/>
      <c r="YV82" s="283"/>
      <c r="YW82" s="283"/>
      <c r="YX82" s="283"/>
      <c r="YY82" s="283"/>
      <c r="YZ82" s="283"/>
      <c r="ZA82" s="283"/>
      <c r="ZB82" s="283"/>
      <c r="ZC82" s="283"/>
      <c r="ZD82" s="283"/>
      <c r="ZE82" s="283"/>
      <c r="ZF82" s="283"/>
      <c r="ZG82" s="283"/>
      <c r="ZH82" s="283"/>
      <c r="ZI82" s="283"/>
      <c r="ZJ82" s="283"/>
      <c r="ZK82" s="283"/>
      <c r="ZL82" s="283"/>
      <c r="ZM82" s="283"/>
      <c r="ZN82" s="283"/>
      <c r="ZO82" s="283"/>
      <c r="ZP82" s="283"/>
      <c r="ZQ82" s="283"/>
      <c r="ZR82" s="283"/>
      <c r="ZS82" s="283"/>
      <c r="ZT82" s="283"/>
      <c r="ZU82" s="283"/>
      <c r="ZV82" s="283"/>
      <c r="ZW82" s="283"/>
      <c r="ZX82" s="283"/>
      <c r="ZY82" s="283"/>
      <c r="ZZ82" s="283"/>
      <c r="AAA82" s="283"/>
      <c r="AAB82" s="283"/>
      <c r="AAC82" s="283"/>
      <c r="AAD82" s="283"/>
      <c r="AAE82" s="283"/>
      <c r="AAF82" s="283"/>
      <c r="AAG82" s="283"/>
      <c r="AAH82" s="283"/>
      <c r="AAI82" s="283"/>
      <c r="AAJ82" s="283"/>
      <c r="AAK82" s="283"/>
      <c r="AAL82" s="283"/>
      <c r="AAM82" s="283"/>
      <c r="AAN82" s="283"/>
      <c r="AAO82" s="283"/>
      <c r="AAP82" s="283"/>
      <c r="AAQ82" s="283"/>
      <c r="AAR82" s="283"/>
      <c r="AAS82" s="283"/>
      <c r="AAT82" s="283"/>
      <c r="AAU82" s="283"/>
      <c r="AAV82" s="283"/>
      <c r="AAW82" s="283"/>
      <c r="AAX82" s="283"/>
      <c r="AAY82" s="283"/>
      <c r="AAZ82" s="283"/>
      <c r="ABA82" s="283"/>
      <c r="ABB82" s="283"/>
      <c r="ABC82" s="283"/>
      <c r="ABD82" s="283"/>
      <c r="ABE82" s="283"/>
      <c r="ABF82" s="283"/>
      <c r="ABG82" s="283"/>
      <c r="ABH82" s="283"/>
      <c r="ABI82" s="283"/>
      <c r="ABJ82" s="283"/>
      <c r="ABK82" s="283"/>
      <c r="ABL82" s="283"/>
      <c r="ABM82" s="283"/>
      <c r="ABN82" s="283"/>
      <c r="ABO82" s="283"/>
      <c r="ABP82" s="283"/>
      <c r="ABQ82" s="283"/>
      <c r="ABR82" s="283"/>
      <c r="ABS82" s="283"/>
      <c r="ABT82" s="283"/>
      <c r="ABU82" s="283"/>
      <c r="ABV82" s="283"/>
      <c r="ABW82" s="283"/>
      <c r="ABX82" s="283"/>
      <c r="ABY82" s="283"/>
      <c r="ABZ82" s="283"/>
      <c r="ACA82" s="283"/>
      <c r="ACB82" s="283"/>
      <c r="ACC82" s="283"/>
      <c r="ACD82" s="283"/>
      <c r="ACE82" s="283"/>
      <c r="ACF82" s="283"/>
      <c r="ACG82" s="283"/>
      <c r="ACH82" s="283"/>
      <c r="ACI82" s="283"/>
      <c r="ACJ82" s="283"/>
      <c r="ACK82" s="283"/>
      <c r="ACL82" s="283"/>
      <c r="ACM82" s="283"/>
      <c r="ACN82" s="283"/>
      <c r="ACO82" s="283"/>
      <c r="ACP82" s="283"/>
      <c r="ACQ82" s="283"/>
      <c r="ACR82" s="283"/>
      <c r="ACS82" s="283"/>
      <c r="ACT82" s="283"/>
      <c r="ACU82" s="283"/>
      <c r="ACV82" s="283"/>
      <c r="ACW82" s="283"/>
      <c r="ACX82" s="283"/>
      <c r="ACY82" s="283"/>
      <c r="ACZ82" s="283"/>
      <c r="ADA82" s="283"/>
      <c r="ADB82" s="283"/>
      <c r="ADC82" s="283"/>
      <c r="ADD82" s="283"/>
      <c r="ADE82" s="283"/>
      <c r="ADF82" s="283"/>
      <c r="ADG82" s="283"/>
      <c r="ADH82" s="283"/>
      <c r="ADI82" s="283"/>
      <c r="ADJ82" s="283"/>
      <c r="ADK82" s="283"/>
      <c r="ADL82" s="283"/>
      <c r="ADM82" s="283"/>
      <c r="ADN82" s="283"/>
      <c r="ADO82" s="283"/>
      <c r="ADP82" s="283"/>
      <c r="ADQ82" s="283"/>
      <c r="ADR82" s="283"/>
      <c r="ADS82" s="283"/>
      <c r="ADT82" s="283"/>
      <c r="ADU82" s="283"/>
      <c r="ADV82" s="283"/>
      <c r="ADW82" s="283"/>
      <c r="ADX82" s="283"/>
      <c r="ADY82" s="283"/>
      <c r="ADZ82" s="283"/>
      <c r="AEA82" s="283"/>
      <c r="AEB82" s="283"/>
      <c r="AEC82" s="283"/>
      <c r="AED82" s="283"/>
      <c r="AEE82" s="283"/>
      <c r="AEF82" s="283"/>
      <c r="AEG82" s="283"/>
      <c r="AEH82" s="283"/>
      <c r="AEI82" s="283"/>
      <c r="AEJ82" s="283"/>
      <c r="AEK82" s="283"/>
      <c r="AEL82" s="283"/>
      <c r="AEM82" s="283"/>
      <c r="AEN82" s="283"/>
      <c r="AEO82" s="283"/>
      <c r="AEP82" s="283"/>
      <c r="AEQ82" s="283"/>
      <c r="AER82" s="283"/>
      <c r="AES82" s="283"/>
      <c r="AET82" s="283"/>
      <c r="AEU82" s="283"/>
      <c r="AEV82" s="283"/>
      <c r="AEW82" s="283"/>
      <c r="AEX82" s="283"/>
      <c r="AEY82" s="283"/>
      <c r="AEZ82" s="283"/>
      <c r="AFA82" s="283"/>
      <c r="AFB82" s="283"/>
      <c r="AFC82" s="283"/>
      <c r="AFD82" s="283"/>
      <c r="AFE82" s="283"/>
      <c r="AFF82" s="283"/>
      <c r="AFG82" s="283"/>
      <c r="AFH82" s="283"/>
      <c r="AFI82" s="283"/>
      <c r="AFJ82" s="283"/>
      <c r="AFK82" s="283"/>
      <c r="AFL82" s="283"/>
      <c r="AFM82" s="283"/>
      <c r="AFN82" s="283"/>
      <c r="AFO82" s="283"/>
      <c r="AFP82" s="283"/>
      <c r="AFQ82" s="283"/>
      <c r="AFR82" s="283"/>
      <c r="AFS82" s="283"/>
      <c r="AFT82" s="283"/>
      <c r="AFU82" s="283"/>
      <c r="AFV82" s="283"/>
      <c r="AFW82" s="283"/>
      <c r="AFX82" s="283"/>
      <c r="AFY82" s="283"/>
      <c r="AFZ82" s="283"/>
      <c r="AGA82" s="283"/>
      <c r="AGB82" s="283"/>
      <c r="AGC82" s="283"/>
      <c r="AGD82" s="283"/>
      <c r="AGE82" s="283"/>
      <c r="AGF82" s="283"/>
      <c r="AGG82" s="283"/>
      <c r="AGH82" s="283"/>
      <c r="AGI82" s="283"/>
      <c r="AGJ82" s="283"/>
      <c r="AGK82" s="283"/>
      <c r="AGL82" s="283"/>
      <c r="AGM82" s="283"/>
      <c r="AGN82" s="283"/>
      <c r="AGO82" s="283"/>
      <c r="AGP82" s="283"/>
      <c r="AGQ82" s="283"/>
      <c r="AGR82" s="283"/>
      <c r="AGS82" s="283"/>
      <c r="AGT82" s="283"/>
      <c r="AGU82" s="283"/>
      <c r="AGV82" s="283"/>
      <c r="AGW82" s="283"/>
      <c r="AGX82" s="283"/>
      <c r="AGY82" s="283"/>
      <c r="AGZ82" s="283"/>
      <c r="AHA82" s="283"/>
      <c r="AHB82" s="283"/>
      <c r="AHC82" s="283"/>
      <c r="AHD82" s="283"/>
      <c r="AHE82" s="283"/>
      <c r="AHF82" s="283"/>
      <c r="AHG82" s="283"/>
      <c r="AHH82" s="283"/>
      <c r="AHI82" s="283"/>
      <c r="AHJ82" s="283"/>
      <c r="AHK82" s="283"/>
      <c r="AHL82" s="283"/>
      <c r="AHM82" s="283"/>
      <c r="AHN82" s="283"/>
      <c r="AHO82" s="283"/>
      <c r="AHP82" s="283"/>
      <c r="AHQ82" s="283"/>
      <c r="AHR82" s="283"/>
      <c r="AHS82" s="283"/>
      <c r="AHT82" s="283"/>
      <c r="AHU82" s="283"/>
      <c r="AHV82" s="283"/>
      <c r="AHW82" s="283"/>
      <c r="AHX82" s="283"/>
      <c r="AHY82" s="283"/>
      <c r="AHZ82" s="283"/>
      <c r="AIA82" s="283"/>
      <c r="AIB82" s="283"/>
      <c r="AIC82" s="283"/>
      <c r="AID82" s="283"/>
      <c r="AIE82" s="283"/>
      <c r="AIF82" s="283"/>
      <c r="AIG82" s="283"/>
      <c r="AIH82" s="283"/>
      <c r="AII82" s="283"/>
      <c r="AIJ82" s="283"/>
      <c r="AIK82" s="283"/>
      <c r="AIL82" s="283"/>
      <c r="AIM82" s="283"/>
      <c r="AIN82" s="283"/>
      <c r="AIO82" s="283"/>
      <c r="AIP82" s="283"/>
      <c r="AIQ82" s="283"/>
      <c r="AIR82" s="283"/>
      <c r="AIS82" s="283"/>
      <c r="AIT82" s="283"/>
      <c r="AIU82" s="283"/>
      <c r="AIV82" s="283"/>
      <c r="AIW82" s="283"/>
      <c r="AIX82" s="283"/>
      <c r="AIY82" s="283"/>
      <c r="AIZ82" s="283"/>
      <c r="AJA82" s="283"/>
      <c r="AJB82" s="283"/>
      <c r="AJC82" s="283"/>
      <c r="AJD82" s="283"/>
      <c r="AJE82" s="283"/>
      <c r="AJF82" s="283"/>
      <c r="AJG82" s="283"/>
      <c r="AJH82" s="283"/>
      <c r="AJI82" s="283"/>
      <c r="AJJ82" s="283"/>
      <c r="AJK82" s="283"/>
      <c r="AJL82" s="283"/>
      <c r="AJM82" s="283"/>
      <c r="AJN82" s="283"/>
      <c r="AJO82" s="283"/>
      <c r="AJP82" s="283"/>
      <c r="AJQ82" s="283"/>
      <c r="AJR82" s="283"/>
      <c r="AJS82" s="283"/>
      <c r="AJT82" s="283"/>
      <c r="AJU82" s="283"/>
      <c r="AJV82" s="283"/>
      <c r="AJW82" s="283"/>
      <c r="AJX82" s="283"/>
      <c r="AJY82" s="283"/>
      <c r="AJZ82" s="283"/>
      <c r="AKA82" s="283"/>
      <c r="AKB82" s="283"/>
      <c r="AKC82" s="283"/>
      <c r="AKD82" s="283"/>
      <c r="AKE82" s="283"/>
      <c r="AKF82" s="283"/>
      <c r="AKG82" s="283"/>
      <c r="AKH82" s="283"/>
      <c r="AKI82" s="283"/>
      <c r="AKJ82" s="283"/>
      <c r="AKK82" s="283"/>
      <c r="AKL82" s="283"/>
      <c r="AKM82" s="283"/>
      <c r="AKN82" s="283"/>
      <c r="AKO82" s="283"/>
      <c r="AKP82" s="283"/>
      <c r="AKQ82" s="283"/>
      <c r="AKR82" s="283"/>
      <c r="AKS82" s="283"/>
      <c r="AKT82" s="283"/>
      <c r="AKU82" s="283"/>
      <c r="AKV82" s="283"/>
      <c r="AKW82" s="283"/>
      <c r="AKX82" s="283"/>
      <c r="AKY82" s="283"/>
      <c r="AKZ82" s="283"/>
      <c r="ALA82" s="283"/>
      <c r="ALB82" s="283"/>
      <c r="ALC82" s="283"/>
      <c r="ALD82" s="283"/>
      <c r="ALE82" s="283"/>
      <c r="ALF82" s="283"/>
      <c r="ALG82" s="283"/>
      <c r="ALH82" s="283"/>
      <c r="ALI82" s="283"/>
      <c r="ALJ82" s="283"/>
      <c r="ALK82" s="283"/>
      <c r="ALL82" s="283"/>
      <c r="ALM82" s="283"/>
      <c r="ALN82" s="283"/>
      <c r="ALO82" s="283"/>
      <c r="ALP82" s="283"/>
      <c r="ALQ82" s="283"/>
      <c r="ALR82" s="283"/>
      <c r="ALS82" s="283"/>
      <c r="ALT82" s="283"/>
      <c r="ALU82" s="283"/>
      <c r="ALV82" s="283"/>
      <c r="ALW82" s="283"/>
      <c r="ALX82" s="283"/>
      <c r="ALY82" s="283"/>
      <c r="ALZ82" s="283"/>
      <c r="AMA82" s="283"/>
      <c r="AMB82" s="283"/>
      <c r="AMC82" s="283"/>
      <c r="AMD82" s="283"/>
      <c r="AME82" s="283"/>
      <c r="AMF82" s="283"/>
      <c r="AMG82" s="283"/>
      <c r="AMH82" s="283"/>
      <c r="AMI82" s="283"/>
      <c r="AMJ82" s="283"/>
      <c r="AMK82" s="283"/>
    </row>
  </sheetData>
  <mergeCells count="3">
    <mergeCell ref="A8:C8"/>
    <mergeCell ref="A9:C9"/>
    <mergeCell ref="A27:B27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MK44"/>
  <sheetViews>
    <sheetView zoomScale="154" zoomScaleNormal="154" workbookViewId="0">
      <selection activeCell="B2" sqref="B2"/>
    </sheetView>
  </sheetViews>
  <sheetFormatPr defaultColWidth="8.7109375" defaultRowHeight="15" x14ac:dyDescent="0.25"/>
  <cols>
    <col min="1" max="1" width="3.5703125" style="1" customWidth="1"/>
    <col min="2" max="2" width="7.5703125" style="1" customWidth="1"/>
    <col min="3" max="3" width="10.5703125" style="1" customWidth="1"/>
    <col min="4" max="4" width="12.140625" style="1" customWidth="1"/>
    <col min="5" max="5" width="13.140625" style="3" customWidth="1"/>
    <col min="6" max="6" width="12" style="1" customWidth="1"/>
    <col min="7" max="7" width="12.7109375" style="1" customWidth="1"/>
    <col min="8" max="8" width="11.28515625" style="1" customWidth="1"/>
    <col min="9" max="9" width="11.7109375" style="1" customWidth="1"/>
    <col min="10" max="10" width="8.140625" style="1" customWidth="1"/>
    <col min="11" max="11" width="9.85546875" style="1" customWidth="1"/>
    <col min="12" max="12" width="10.85546875" style="1" customWidth="1"/>
    <col min="13" max="13" width="10.7109375" style="10" bestFit="1" customWidth="1"/>
    <col min="14" max="14" width="8.42578125" style="10" bestFit="1" customWidth="1"/>
    <col min="15" max="15" width="9.42578125" style="8" bestFit="1" customWidth="1"/>
    <col min="16" max="17" width="12.28515625" style="8" customWidth="1"/>
    <col min="18" max="18" width="12.7109375" style="8" customWidth="1"/>
    <col min="19" max="19" width="11.42578125" style="8" customWidth="1"/>
    <col min="20" max="20" width="11.85546875" style="8" customWidth="1"/>
    <col min="21" max="21" width="10.5703125" style="8" bestFit="1" customWidth="1"/>
    <col min="22" max="22" width="11" style="8" customWidth="1"/>
    <col min="23" max="23" width="10.5703125" style="8" customWidth="1"/>
    <col min="24" max="25" width="12.85546875" style="8" customWidth="1"/>
    <col min="26" max="45" width="8.7109375" style="8"/>
    <col min="46" max="257" width="8.7109375" style="1"/>
    <col min="258" max="258" width="4.140625" style="1" customWidth="1"/>
    <col min="259" max="259" width="8.42578125" style="1" customWidth="1"/>
    <col min="260" max="260" width="11.7109375" style="1" customWidth="1"/>
    <col min="261" max="262" width="13.7109375" style="1" customWidth="1"/>
    <col min="263" max="263" width="12.5703125" style="1" customWidth="1"/>
    <col min="264" max="264" width="12.85546875" style="1" customWidth="1"/>
    <col min="265" max="265" width="13.85546875" style="1" customWidth="1"/>
    <col min="266" max="267" width="12.85546875" style="1" customWidth="1"/>
    <col min="268" max="268" width="4.7109375" style="1" customWidth="1"/>
    <col min="269" max="270" width="12.85546875" style="1" customWidth="1"/>
    <col min="271" max="513" width="8.7109375" style="1"/>
    <col min="514" max="514" width="4.140625" style="1" customWidth="1"/>
    <col min="515" max="515" width="8.42578125" style="1" customWidth="1"/>
    <col min="516" max="516" width="11.7109375" style="1" customWidth="1"/>
    <col min="517" max="518" width="13.7109375" style="1" customWidth="1"/>
    <col min="519" max="519" width="12.5703125" style="1" customWidth="1"/>
    <col min="520" max="520" width="12.85546875" style="1" customWidth="1"/>
    <col min="521" max="521" width="13.85546875" style="1" customWidth="1"/>
    <col min="522" max="523" width="12.85546875" style="1" customWidth="1"/>
    <col min="524" max="524" width="4.7109375" style="1" customWidth="1"/>
    <col min="525" max="526" width="12.85546875" style="1" customWidth="1"/>
    <col min="527" max="769" width="8.7109375" style="1"/>
    <col min="770" max="770" width="4.140625" style="1" customWidth="1"/>
    <col min="771" max="771" width="8.42578125" style="1" customWidth="1"/>
    <col min="772" max="772" width="11.7109375" style="1" customWidth="1"/>
    <col min="773" max="774" width="13.7109375" style="1" customWidth="1"/>
    <col min="775" max="775" width="12.5703125" style="1" customWidth="1"/>
    <col min="776" max="776" width="12.85546875" style="1" customWidth="1"/>
    <col min="777" max="777" width="13.85546875" style="1" customWidth="1"/>
    <col min="778" max="779" width="12.85546875" style="1" customWidth="1"/>
    <col min="780" max="780" width="4.7109375" style="1" customWidth="1"/>
    <col min="781" max="782" width="12.85546875" style="1" customWidth="1"/>
    <col min="783" max="1025" width="8.7109375" style="1"/>
  </cols>
  <sheetData>
    <row r="1" spans="1:45" x14ac:dyDescent="0.25">
      <c r="B1" s="282" t="s">
        <v>2913</v>
      </c>
      <c r="P1" s="182"/>
    </row>
    <row r="2" spans="1:45" s="22" customFormat="1" ht="11.25" x14ac:dyDescent="0.2">
      <c r="H2" s="1047" t="s">
        <v>771</v>
      </c>
      <c r="I2" s="1047"/>
      <c r="J2" s="1047"/>
      <c r="K2" s="1047"/>
      <c r="O2" s="8"/>
      <c r="P2" s="182"/>
      <c r="Q2" s="8"/>
      <c r="R2" s="8"/>
      <c r="S2" s="8"/>
      <c r="T2" s="8"/>
      <c r="U2" s="8"/>
      <c r="V2" s="8"/>
      <c r="W2" s="8"/>
      <c r="X2" s="8"/>
      <c r="Y2" s="8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</row>
    <row r="3" spans="1:45" s="10" customFormat="1" ht="12.75" x14ac:dyDescent="0.2">
      <c r="A3" s="339" t="s">
        <v>593</v>
      </c>
      <c r="B3" s="296" t="s">
        <v>594</v>
      </c>
      <c r="C3" s="83" t="s">
        <v>772</v>
      </c>
      <c r="D3" s="83" t="s">
        <v>773</v>
      </c>
      <c r="E3" s="80" t="s">
        <v>774</v>
      </c>
      <c r="F3" s="83" t="s">
        <v>775</v>
      </c>
      <c r="G3" s="83" t="s">
        <v>776</v>
      </c>
      <c r="H3" s="83" t="s">
        <v>777</v>
      </c>
      <c r="I3" s="83" t="s">
        <v>778</v>
      </c>
      <c r="J3" s="83" t="s">
        <v>779</v>
      </c>
      <c r="K3" s="83" t="s">
        <v>780</v>
      </c>
      <c r="L3" s="83" t="s">
        <v>781</v>
      </c>
      <c r="M3" s="22"/>
      <c r="N3" s="22"/>
      <c r="O3" s="8"/>
      <c r="P3" s="182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 s="10" customFormat="1" ht="11.25" x14ac:dyDescent="0.2">
      <c r="A4" s="339">
        <v>1</v>
      </c>
      <c r="B4" s="195" t="s">
        <v>608</v>
      </c>
      <c r="C4" s="441">
        <f>Cruz!I11</f>
        <v>6297000</v>
      </c>
      <c r="D4" s="70">
        <v>2813616.6</v>
      </c>
      <c r="E4" s="70">
        <f>Cruz!G11</f>
        <v>2460189</v>
      </c>
      <c r="F4" s="70">
        <v>2399906.77</v>
      </c>
      <c r="G4" s="70">
        <f>E4-F4</f>
        <v>60282.229999999981</v>
      </c>
      <c r="H4" s="70">
        <f>108354.27</f>
        <v>108354.27</v>
      </c>
      <c r="I4" s="70">
        <f>105354.27</f>
        <v>105354.27</v>
      </c>
      <c r="J4" s="70">
        <v>3000</v>
      </c>
      <c r="K4" s="70">
        <f>105354.27</f>
        <v>105354.27</v>
      </c>
      <c r="L4" s="70">
        <f>I4-K4</f>
        <v>0</v>
      </c>
      <c r="M4" s="4">
        <f t="shared" ref="M4:M19" si="0">I4-(K4+L4)</f>
        <v>0</v>
      </c>
      <c r="N4" s="4"/>
      <c r="O4" s="8"/>
      <c r="P4" s="182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 s="10" customFormat="1" ht="11.25" x14ac:dyDescent="0.2">
      <c r="A5" s="339">
        <v>2</v>
      </c>
      <c r="B5" s="195" t="s">
        <v>609</v>
      </c>
      <c r="C5" s="441">
        <f>Cruz!I12</f>
        <v>3020561.09</v>
      </c>
      <c r="D5" s="70">
        <v>1315890.3</v>
      </c>
      <c r="E5" s="70">
        <f>Cruz!G12</f>
        <v>1169590.29</v>
      </c>
      <c r="F5" s="70">
        <v>1119487.26</v>
      </c>
      <c r="G5" s="70">
        <f t="shared" ref="G5:G18" si="1">E5-F5</f>
        <v>50103.030000000028</v>
      </c>
      <c r="H5" s="70">
        <v>820779.42</v>
      </c>
      <c r="I5" s="70">
        <v>820779.42</v>
      </c>
      <c r="J5" s="70"/>
      <c r="K5" s="70">
        <v>63684.74</v>
      </c>
      <c r="L5" s="70">
        <f>I5-K5</f>
        <v>757094.68</v>
      </c>
      <c r="M5" s="4">
        <f t="shared" si="0"/>
        <v>0</v>
      </c>
      <c r="N5" s="4">
        <f>757094.68-L5</f>
        <v>0</v>
      </c>
      <c r="O5" s="127"/>
      <c r="P5" s="182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pans="1:45" s="10" customFormat="1" ht="11.25" x14ac:dyDescent="0.2">
      <c r="A6" s="339">
        <v>3</v>
      </c>
      <c r="B6" s="195" t="s">
        <v>1662</v>
      </c>
      <c r="C6" s="441">
        <f>Cruz!I13</f>
        <v>4031372.04</v>
      </c>
      <c r="D6" s="70">
        <v>539379.74</v>
      </c>
      <c r="E6" s="70">
        <f>Cruz!G13</f>
        <v>405383.41</v>
      </c>
      <c r="F6" s="70">
        <v>391729.29</v>
      </c>
      <c r="G6" s="70">
        <f t="shared" si="1"/>
        <v>13654.119999999995</v>
      </c>
      <c r="H6" s="70">
        <v>325716.65000000002</v>
      </c>
      <c r="I6" s="341">
        <v>325716.65000000002</v>
      </c>
      <c r="J6" s="341"/>
      <c r="K6" s="341">
        <f>104037.87</f>
        <v>104037.87</v>
      </c>
      <c r="L6" s="70">
        <f t="shared" ref="L6:L17" si="2">I6-K6</f>
        <v>221678.78000000003</v>
      </c>
      <c r="M6" s="76">
        <f t="shared" si="0"/>
        <v>0</v>
      </c>
      <c r="N6" s="76">
        <f>221678.78-L6</f>
        <v>0</v>
      </c>
      <c r="O6" s="8"/>
      <c r="P6" s="182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pans="1:45" s="10" customFormat="1" ht="11.25" x14ac:dyDescent="0.2">
      <c r="A7" s="339">
        <v>4</v>
      </c>
      <c r="B7" s="195" t="s">
        <v>610</v>
      </c>
      <c r="C7" s="441">
        <f>Cruz!I14</f>
        <v>2226569.6</v>
      </c>
      <c r="D7" s="70">
        <v>997061.41</v>
      </c>
      <c r="E7" s="70">
        <f>Cruz!G14</f>
        <v>959139.53999999992</v>
      </c>
      <c r="F7" s="70">
        <v>919602.03</v>
      </c>
      <c r="G7" s="70">
        <f t="shared" si="1"/>
        <v>39537.509999999893</v>
      </c>
      <c r="H7" s="70">
        <v>931237.23</v>
      </c>
      <c r="I7" s="70">
        <v>931237.23</v>
      </c>
      <c r="J7" s="70"/>
      <c r="K7" s="70">
        <f>111681.98</f>
        <v>111681.98</v>
      </c>
      <c r="L7" s="70">
        <f t="shared" si="2"/>
        <v>819555.25</v>
      </c>
      <c r="M7" s="4">
        <f t="shared" si="0"/>
        <v>0</v>
      </c>
      <c r="N7" s="4">
        <f>819555.25-L7</f>
        <v>0</v>
      </c>
      <c r="O7" s="8"/>
      <c r="P7" s="182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pans="1:45" s="10" customFormat="1" ht="11.25" x14ac:dyDescent="0.2">
      <c r="A8" s="339">
        <v>5</v>
      </c>
      <c r="B8" s="195" t="s">
        <v>611</v>
      </c>
      <c r="C8" s="441">
        <f>Cruz!I15</f>
        <v>6690593.96</v>
      </c>
      <c r="D8" s="70">
        <v>2844547.5</v>
      </c>
      <c r="E8" s="70">
        <f>Cruz!G15</f>
        <v>2713617.5999999996</v>
      </c>
      <c r="F8" s="70">
        <v>2393735.88</v>
      </c>
      <c r="G8" s="70">
        <f t="shared" si="1"/>
        <v>319881.71999999974</v>
      </c>
      <c r="H8" s="70">
        <v>16173636.75</v>
      </c>
      <c r="I8" s="70">
        <v>16170816.75</v>
      </c>
      <c r="J8" s="70"/>
      <c r="K8" s="342">
        <f>1125078.06</f>
        <v>1125078.06</v>
      </c>
      <c r="L8" s="70">
        <f t="shared" si="2"/>
        <v>15045738.689999999</v>
      </c>
      <c r="M8" s="4">
        <f t="shared" si="0"/>
        <v>0</v>
      </c>
      <c r="N8" s="4">
        <f>15045738.69-L8</f>
        <v>0</v>
      </c>
      <c r="O8" s="8"/>
      <c r="P8" s="182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1:45" s="10" customFormat="1" ht="11.25" x14ac:dyDescent="0.2">
      <c r="A9" s="339">
        <v>6</v>
      </c>
      <c r="B9" s="195" t="s">
        <v>612</v>
      </c>
      <c r="C9" s="441">
        <f>Cruz!I16</f>
        <v>4524865</v>
      </c>
      <c r="D9" s="70">
        <v>2345552.2200000002</v>
      </c>
      <c r="E9" s="70">
        <f>Cruz!G16</f>
        <v>1836784.74</v>
      </c>
      <c r="F9" s="70">
        <v>1766051.01</v>
      </c>
      <c r="G9" s="70">
        <f t="shared" si="1"/>
        <v>70733.729999999981</v>
      </c>
      <c r="H9" s="70">
        <f>1748711.86</f>
        <v>1748711.86</v>
      </c>
      <c r="I9" s="70">
        <f>1748711.86</f>
        <v>1748711.86</v>
      </c>
      <c r="J9" s="70"/>
      <c r="K9" s="70">
        <f>292238.76</f>
        <v>292238.76</v>
      </c>
      <c r="L9" s="70">
        <f t="shared" si="2"/>
        <v>1456473.1</v>
      </c>
      <c r="M9" s="4">
        <f t="shared" si="0"/>
        <v>0</v>
      </c>
      <c r="N9" s="4">
        <f>1456473.1-L9</f>
        <v>0</v>
      </c>
      <c r="O9" s="8"/>
      <c r="P9" s="182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pans="1:45" s="10" customFormat="1" ht="11.25" x14ac:dyDescent="0.2">
      <c r="A10" s="339">
        <v>7</v>
      </c>
      <c r="B10" s="195" t="s">
        <v>1663</v>
      </c>
      <c r="C10" s="441">
        <f>Cruz!I17</f>
        <v>2687966.41</v>
      </c>
      <c r="D10" s="70">
        <v>877875.43</v>
      </c>
      <c r="E10" s="70">
        <f>Cruz!G17</f>
        <v>689939.62999999989</v>
      </c>
      <c r="F10" s="70">
        <v>672150.42</v>
      </c>
      <c r="G10" s="70">
        <f t="shared" si="1"/>
        <v>17789.209999999846</v>
      </c>
      <c r="H10" s="70">
        <f>313807.3</f>
        <v>313807.3</v>
      </c>
      <c r="I10" s="70">
        <f>313807.3</f>
        <v>313807.3</v>
      </c>
      <c r="J10" s="70"/>
      <c r="K10" s="70">
        <v>70532.81</v>
      </c>
      <c r="L10" s="70">
        <f t="shared" si="2"/>
        <v>243274.49</v>
      </c>
      <c r="M10" s="4">
        <f t="shared" si="0"/>
        <v>0</v>
      </c>
      <c r="N10" s="4">
        <f>243274.49-L10</f>
        <v>0</v>
      </c>
      <c r="O10" s="8"/>
      <c r="P10" s="182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 s="10" customFormat="1" ht="11.25" x14ac:dyDescent="0.2">
      <c r="A11" s="339">
        <v>8</v>
      </c>
      <c r="B11" s="195" t="s">
        <v>613</v>
      </c>
      <c r="C11" s="441">
        <f>Cruz!I18</f>
        <v>23342214.84</v>
      </c>
      <c r="D11" s="70">
        <v>13037644.24</v>
      </c>
      <c r="E11" s="70">
        <f>Cruz!G18</f>
        <v>8693216.3699999992</v>
      </c>
      <c r="F11" s="70">
        <v>7495271.5</v>
      </c>
      <c r="G11" s="70">
        <f t="shared" si="1"/>
        <v>1197944.8699999992</v>
      </c>
      <c r="H11" s="70">
        <f>4711042</f>
        <v>4711042</v>
      </c>
      <c r="I11" s="341">
        <f>4412302.05</f>
        <v>4412302.05</v>
      </c>
      <c r="J11" s="342"/>
      <c r="K11" s="342">
        <v>1425739.89</v>
      </c>
      <c r="L11" s="70">
        <f t="shared" si="2"/>
        <v>2986562.16</v>
      </c>
      <c r="M11" s="4">
        <f t="shared" si="0"/>
        <v>0</v>
      </c>
      <c r="N11" s="4">
        <f>2986562.16-L11</f>
        <v>0</v>
      </c>
      <c r="O11" s="8"/>
      <c r="P11" s="182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 s="10" customFormat="1" ht="11.25" x14ac:dyDescent="0.2">
      <c r="A12" s="339">
        <v>9</v>
      </c>
      <c r="B12" s="195" t="s">
        <v>1664</v>
      </c>
      <c r="C12" s="441">
        <f>Cruz!I19</f>
        <v>64034664.359999999</v>
      </c>
      <c r="D12" s="70">
        <v>29500151.559999999</v>
      </c>
      <c r="E12" s="70">
        <f>Cruz!G19</f>
        <v>27758233.18</v>
      </c>
      <c r="F12" s="70">
        <v>25742880.84</v>
      </c>
      <c r="G12" s="70">
        <f t="shared" si="1"/>
        <v>2015352.3399999999</v>
      </c>
      <c r="H12" s="70">
        <f>14343254.29</f>
        <v>14343254.289999999</v>
      </c>
      <c r="I12" s="344">
        <f>13911201.72</f>
        <v>13911201.720000001</v>
      </c>
      <c r="J12" s="342"/>
      <c r="K12" s="342">
        <v>2618205.7599999998</v>
      </c>
      <c r="L12" s="70">
        <f t="shared" si="2"/>
        <v>11292995.960000001</v>
      </c>
      <c r="M12" s="4">
        <f t="shared" si="0"/>
        <v>0</v>
      </c>
      <c r="N12" s="4">
        <f>11292995.96-L12</f>
        <v>0</v>
      </c>
      <c r="O12" s="8"/>
      <c r="P12" s="182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s="10" customFormat="1" ht="11.25" x14ac:dyDescent="0.2">
      <c r="A13" s="339">
        <v>10</v>
      </c>
      <c r="B13" s="195" t="s">
        <v>615</v>
      </c>
      <c r="C13" s="441">
        <f>Cruz!I20</f>
        <v>42950571.770000003</v>
      </c>
      <c r="D13" s="70">
        <v>21294925.789999999</v>
      </c>
      <c r="E13" s="70">
        <f>Cruz!G20</f>
        <v>17234437.219999999</v>
      </c>
      <c r="F13" s="70">
        <v>16014493.039999999</v>
      </c>
      <c r="G13" s="70">
        <f t="shared" si="1"/>
        <v>1219944.1799999997</v>
      </c>
      <c r="H13" s="70">
        <f>12553801.97</f>
        <v>12553801.970000001</v>
      </c>
      <c r="I13" s="78">
        <v>12525942.470000001</v>
      </c>
      <c r="J13" s="457"/>
      <c r="K13" s="342">
        <v>2713382.55</v>
      </c>
      <c r="L13" s="70">
        <f t="shared" si="2"/>
        <v>9812559.9200000018</v>
      </c>
      <c r="M13" s="4">
        <f t="shared" si="0"/>
        <v>0</v>
      </c>
      <c r="N13" s="4">
        <f>9812559.92-L13</f>
        <v>0</v>
      </c>
      <c r="O13" s="8"/>
      <c r="P13" s="182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s="10" customFormat="1" ht="11.25" x14ac:dyDescent="0.2">
      <c r="A14" s="339">
        <v>11</v>
      </c>
      <c r="B14" s="195" t="s">
        <v>1665</v>
      </c>
      <c r="C14" s="441">
        <f>Cruz!I21</f>
        <v>5313396.34</v>
      </c>
      <c r="D14" s="70">
        <v>2290166.08</v>
      </c>
      <c r="E14" s="70">
        <f>Cruz!G21</f>
        <v>1973202.28</v>
      </c>
      <c r="F14" s="70">
        <v>1860242.62</v>
      </c>
      <c r="G14" s="70">
        <f t="shared" si="1"/>
        <v>112959.65999999992</v>
      </c>
      <c r="H14" s="70">
        <f>1506309.85</f>
        <v>1506309.85</v>
      </c>
      <c r="I14" s="70">
        <f>1506309.85-3</f>
        <v>1506306.85</v>
      </c>
      <c r="J14" s="70"/>
      <c r="K14" s="342">
        <v>238362.61</v>
      </c>
      <c r="L14" s="70">
        <f>I14-K14</f>
        <v>1267944.2400000002</v>
      </c>
      <c r="M14" s="4">
        <f t="shared" si="0"/>
        <v>0</v>
      </c>
      <c r="N14" s="4">
        <f>1267944.24-L14</f>
        <v>0</v>
      </c>
      <c r="O14" s="127"/>
      <c r="P14" s="182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s="10" customFormat="1" ht="11.25" x14ac:dyDescent="0.2">
      <c r="A15" s="339">
        <v>12</v>
      </c>
      <c r="B15" s="195" t="s">
        <v>1666</v>
      </c>
      <c r="C15" s="441">
        <f>Cruz!I22</f>
        <v>3444333.05</v>
      </c>
      <c r="D15" s="70">
        <v>1132897.4099999999</v>
      </c>
      <c r="E15" s="70">
        <f>Cruz!G22</f>
        <v>1003530.02</v>
      </c>
      <c r="F15" s="70">
        <v>912428.15</v>
      </c>
      <c r="G15" s="70">
        <f t="shared" si="1"/>
        <v>91101.87</v>
      </c>
      <c r="H15" s="70">
        <v>873779.06</v>
      </c>
      <c r="I15" s="70">
        <v>873779.06</v>
      </c>
      <c r="J15" s="70"/>
      <c r="K15" s="70">
        <f>254958.49</f>
        <v>254958.49</v>
      </c>
      <c r="L15" s="70">
        <f t="shared" si="2"/>
        <v>618820.57000000007</v>
      </c>
      <c r="M15" s="4">
        <f t="shared" si="0"/>
        <v>0</v>
      </c>
      <c r="N15" s="4">
        <f>618820.57-L15</f>
        <v>0</v>
      </c>
      <c r="O15" s="8"/>
      <c r="P15" s="182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1:45" s="10" customFormat="1" x14ac:dyDescent="0.25">
      <c r="A16" s="339">
        <v>13</v>
      </c>
      <c r="B16" s="195" t="s">
        <v>616</v>
      </c>
      <c r="C16" s="441">
        <f>Cruz!I23</f>
        <v>16149448.060000001</v>
      </c>
      <c r="D16" s="70">
        <v>7659753.21</v>
      </c>
      <c r="E16" s="70">
        <f>Cruz!G23</f>
        <v>7264949.2799999993</v>
      </c>
      <c r="F16" s="70">
        <v>3695516.12</v>
      </c>
      <c r="G16" s="70">
        <f t="shared" si="1"/>
        <v>3569433.1599999992</v>
      </c>
      <c r="H16" s="70">
        <v>938043.7</v>
      </c>
      <c r="I16" s="70">
        <v>938043.7</v>
      </c>
      <c r="J16" s="70"/>
      <c r="K16" s="70">
        <v>889009.42</v>
      </c>
      <c r="L16" s="70">
        <f t="shared" si="2"/>
        <v>49034.279999999912</v>
      </c>
      <c r="M16" s="4">
        <f t="shared" si="0"/>
        <v>0</v>
      </c>
      <c r="N16" s="677">
        <f>49034.28-L16</f>
        <v>8.7311491370201111E-11</v>
      </c>
      <c r="O16" s="8"/>
      <c r="P16" s="182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s="10" customFormat="1" ht="11.25" x14ac:dyDescent="0.2">
      <c r="A17" s="339">
        <v>15</v>
      </c>
      <c r="B17" s="195" t="s">
        <v>620</v>
      </c>
      <c r="C17" s="442">
        <f>Cruz!I25</f>
        <v>55703630.920000002</v>
      </c>
      <c r="D17" s="70">
        <v>21463974.02</v>
      </c>
      <c r="E17" s="70">
        <f>Cruz!G25</f>
        <v>21463031.41</v>
      </c>
      <c r="F17" s="70">
        <v>21454891.530000001</v>
      </c>
      <c r="G17" s="70">
        <f t="shared" si="1"/>
        <v>8139.8799999989569</v>
      </c>
      <c r="H17" s="70">
        <v>53980.39</v>
      </c>
      <c r="I17" s="70">
        <f>52644.75</f>
        <v>52644.75</v>
      </c>
      <c r="J17" s="70"/>
      <c r="K17" s="70">
        <v>2777.67</v>
      </c>
      <c r="L17" s="70">
        <f t="shared" si="2"/>
        <v>49867.08</v>
      </c>
      <c r="M17" s="4">
        <f t="shared" si="0"/>
        <v>0</v>
      </c>
      <c r="N17" s="4">
        <f>49867.08-L17</f>
        <v>0</v>
      </c>
      <c r="O17" s="8"/>
      <c r="P17" s="182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1:45" s="10" customFormat="1" ht="11.25" x14ac:dyDescent="0.2">
      <c r="A18" s="339">
        <v>16</v>
      </c>
      <c r="B18" s="195" t="s">
        <v>621</v>
      </c>
      <c r="C18" s="442">
        <f>Cruz!I26</f>
        <v>6010493.8399999999</v>
      </c>
      <c r="D18" s="70">
        <v>4964682.26</v>
      </c>
      <c r="E18" s="70">
        <f>Cruz!G26</f>
        <v>2367995.5100000002</v>
      </c>
      <c r="F18" s="70">
        <v>2252937.1800000002</v>
      </c>
      <c r="G18" s="70">
        <f t="shared" si="1"/>
        <v>115058.33000000007</v>
      </c>
      <c r="H18" s="70">
        <v>440295.96</v>
      </c>
      <c r="I18" s="70">
        <v>336861.46</v>
      </c>
      <c r="J18" s="70"/>
      <c r="K18" s="70">
        <v>336861.46</v>
      </c>
      <c r="L18" s="70">
        <f>I18-K18</f>
        <v>0</v>
      </c>
      <c r="M18" s="4">
        <f t="shared" si="0"/>
        <v>0</v>
      </c>
      <c r="N18" s="4">
        <f>336861.46-K18</f>
        <v>0</v>
      </c>
      <c r="O18" s="8"/>
      <c r="P18" s="182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s="10" customFormat="1" ht="11.25" x14ac:dyDescent="0.2">
      <c r="B19" s="663" t="s">
        <v>484</v>
      </c>
      <c r="C19" s="240">
        <f t="shared" ref="C19:K19" si="3">SUM(C4:C18)</f>
        <v>246427681.28</v>
      </c>
      <c r="D19" s="358">
        <f t="shared" si="3"/>
        <v>113078117.76999998</v>
      </c>
      <c r="E19" s="358">
        <f t="shared" ref="E19" si="4">SUM(E4:E18)</f>
        <v>97993239.480000004</v>
      </c>
      <c r="F19" s="516">
        <f t="shared" si="3"/>
        <v>89091323.640000001</v>
      </c>
      <c r="G19" s="516">
        <f t="shared" si="3"/>
        <v>8901915.8399999961</v>
      </c>
      <c r="H19" s="345">
        <f t="shared" si="3"/>
        <v>55842750.700000003</v>
      </c>
      <c r="I19" s="70">
        <f t="shared" si="3"/>
        <v>54973505.540000007</v>
      </c>
      <c r="J19" s="139">
        <f>SUM(J4:J18)</f>
        <v>3000</v>
      </c>
      <c r="K19" s="346">
        <f t="shared" si="3"/>
        <v>10351906.34</v>
      </c>
      <c r="L19" s="342">
        <f>SUM(L4:L18)</f>
        <v>44621599.200000003</v>
      </c>
      <c r="M19" s="4">
        <f t="shared" si="0"/>
        <v>0</v>
      </c>
      <c r="N19" s="4"/>
      <c r="O19" s="8"/>
      <c r="P19" s="182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s="10" customFormat="1" ht="11.25" x14ac:dyDescent="0.2">
      <c r="A20" s="38"/>
      <c r="B20" s="347" t="s">
        <v>782</v>
      </c>
      <c r="C20" s="63">
        <f>C19+Cruz!I24-Cruz!I27</f>
        <v>0</v>
      </c>
      <c r="D20" s="4">
        <f>Cronogra!AE67-D19</f>
        <v>0</v>
      </c>
      <c r="E20" s="4">
        <f>97993239.48-E19</f>
        <v>0</v>
      </c>
      <c r="F20" s="75">
        <f>89091323.64-F19</f>
        <v>0</v>
      </c>
      <c r="G20" s="4">
        <f>8901915.84-G19</f>
        <v>0</v>
      </c>
      <c r="H20" s="4">
        <f>55842750.7-H19</f>
        <v>0</v>
      </c>
      <c r="I20" s="70">
        <f>54973505.54-I19</f>
        <v>0</v>
      </c>
      <c r="J20" s="70">
        <f>3000-J19</f>
        <v>0</v>
      </c>
      <c r="K20" s="139">
        <f>10351906.34-K19</f>
        <v>0</v>
      </c>
      <c r="L20" s="70">
        <f>44621599.2-L19</f>
        <v>0</v>
      </c>
      <c r="M20" s="4" t="s">
        <v>1446</v>
      </c>
      <c r="N20" s="4"/>
      <c r="O20" s="8"/>
      <c r="P20" s="182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s="10" customFormat="1" ht="11.25" x14ac:dyDescent="0.2">
      <c r="B21" s="348" t="s">
        <v>2629</v>
      </c>
      <c r="E21" s="4"/>
      <c r="F21" s="4"/>
      <c r="G21" s="4"/>
      <c r="H21" s="77"/>
      <c r="I21" s="349"/>
      <c r="J21" s="75" t="s">
        <v>936</v>
      </c>
      <c r="K21" s="350"/>
      <c r="L21" s="75"/>
      <c r="M21" s="4"/>
      <c r="N21" s="4"/>
      <c r="O21" s="8"/>
      <c r="P21" s="182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s="10" customFormat="1" ht="11.25" x14ac:dyDescent="0.2">
      <c r="C22" s="415"/>
      <c r="D22" s="415"/>
      <c r="E22" s="415"/>
      <c r="F22" s="736" t="s">
        <v>1640</v>
      </c>
      <c r="G22" s="415"/>
      <c r="H22" s="415"/>
      <c r="I22" s="415"/>
      <c r="J22" s="415"/>
      <c r="K22" s="415" t="s">
        <v>1641</v>
      </c>
      <c r="L22" s="651" t="s">
        <v>1642</v>
      </c>
      <c r="M22" s="415"/>
      <c r="O22" s="8"/>
      <c r="P22" s="182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s="10" customFormat="1" ht="11.25" x14ac:dyDescent="0.2">
      <c r="B23" s="641">
        <v>2982</v>
      </c>
      <c r="C23" s="641" t="s">
        <v>1171</v>
      </c>
      <c r="D23" s="641" t="s">
        <v>1170</v>
      </c>
      <c r="E23" s="9"/>
      <c r="F23" s="642">
        <f>2305939.17</f>
        <v>2305939.17</v>
      </c>
      <c r="G23" s="641">
        <v>3096</v>
      </c>
      <c r="H23" s="641" t="s">
        <v>1630</v>
      </c>
      <c r="I23" s="641" t="s">
        <v>1631</v>
      </c>
      <c r="K23" s="642">
        <f>836962.16</f>
        <v>836962.16</v>
      </c>
      <c r="L23" s="652"/>
      <c r="M23" s="487"/>
      <c r="O23" s="8"/>
      <c r="P23" s="182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s="10" customFormat="1" ht="11.25" x14ac:dyDescent="0.2">
      <c r="B24" s="641">
        <v>2983</v>
      </c>
      <c r="C24" s="641" t="s">
        <v>785</v>
      </c>
      <c r="D24" s="641" t="s">
        <v>786</v>
      </c>
      <c r="E24" s="9"/>
      <c r="F24" s="642">
        <v>53388.74</v>
      </c>
      <c r="G24" s="641">
        <v>3097</v>
      </c>
      <c r="H24" s="641" t="s">
        <v>1632</v>
      </c>
      <c r="I24" s="641" t="s">
        <v>1633</v>
      </c>
      <c r="K24" s="642">
        <f>29283</f>
        <v>29283</v>
      </c>
      <c r="L24" s="653"/>
      <c r="M24" s="487"/>
      <c r="O24" s="8"/>
      <c r="P24" s="182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s="10" customFormat="1" ht="11.25" x14ac:dyDescent="0.2">
      <c r="B25" s="641">
        <v>2988</v>
      </c>
      <c r="C25" s="641" t="s">
        <v>1169</v>
      </c>
      <c r="D25" s="641" t="s">
        <v>1629</v>
      </c>
      <c r="E25" s="9"/>
      <c r="F25" s="642">
        <v>20405174.27</v>
      </c>
      <c r="G25" s="641">
        <v>3098</v>
      </c>
      <c r="H25" s="641" t="s">
        <v>1634</v>
      </c>
      <c r="I25" s="641" t="s">
        <v>1635</v>
      </c>
      <c r="K25" s="642">
        <f>110893.71</f>
        <v>110893.71</v>
      </c>
      <c r="L25" s="654"/>
      <c r="M25" s="487"/>
      <c r="O25" s="8"/>
      <c r="P25" s="182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s="10" customFormat="1" ht="11.25" x14ac:dyDescent="0.2">
      <c r="B26" s="641">
        <v>2989</v>
      </c>
      <c r="C26" s="641" t="s">
        <v>783</v>
      </c>
      <c r="D26" s="641" t="s">
        <v>784</v>
      </c>
      <c r="E26" s="9"/>
      <c r="F26" s="642">
        <v>33078248.52</v>
      </c>
      <c r="G26" s="641">
        <v>3099</v>
      </c>
      <c r="H26" s="641" t="s">
        <v>1172</v>
      </c>
      <c r="I26" s="641" t="s">
        <v>1636</v>
      </c>
      <c r="K26" s="642">
        <f>1379189.04</f>
        <v>1379189.04</v>
      </c>
      <c r="L26" s="655">
        <f>K26</f>
        <v>1379189.04</v>
      </c>
      <c r="M26" s="734">
        <f>K19-(L26+L29)</f>
        <v>0</v>
      </c>
      <c r="O26" s="8"/>
      <c r="P26" s="182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s="10" customFormat="1" ht="11.25" x14ac:dyDescent="0.2">
      <c r="B27" s="644"/>
      <c r="C27" s="352"/>
      <c r="D27" s="647"/>
      <c r="E27" s="31"/>
      <c r="F27" s="353">
        <f>SUM(F23:F26)</f>
        <v>55842750.700000003</v>
      </c>
      <c r="G27" s="641">
        <v>3105</v>
      </c>
      <c r="H27" s="641" t="s">
        <v>1173</v>
      </c>
      <c r="I27" s="641" t="s">
        <v>1637</v>
      </c>
      <c r="K27" s="642">
        <v>3000</v>
      </c>
      <c r="L27" s="61"/>
      <c r="M27" s="4"/>
      <c r="O27" s="8"/>
      <c r="P27" s="182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45" s="10" customFormat="1" ht="11.25" x14ac:dyDescent="0.2">
      <c r="B28" s="643"/>
      <c r="C28" s="9"/>
      <c r="D28" s="9"/>
      <c r="E28" s="9"/>
      <c r="F28" s="453"/>
      <c r="G28" s="641">
        <v>3107</v>
      </c>
      <c r="H28" s="641" t="s">
        <v>787</v>
      </c>
      <c r="I28" s="641" t="s">
        <v>788</v>
      </c>
      <c r="K28" s="642">
        <f>44510705.49</f>
        <v>44510705.490000002</v>
      </c>
      <c r="L28" s="61"/>
      <c r="M28" s="4"/>
      <c r="O28" s="8"/>
      <c r="P28" s="182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45" s="10" customFormat="1" ht="11.25" x14ac:dyDescent="0.2">
      <c r="C29" s="9"/>
      <c r="D29" s="9"/>
      <c r="E29" s="650" t="s">
        <v>2628</v>
      </c>
      <c r="F29" s="648">
        <f>F25+F26-K28</f>
        <v>8972717.299999997</v>
      </c>
      <c r="G29" s="641">
        <v>3108</v>
      </c>
      <c r="H29" s="641" t="s">
        <v>1638</v>
      </c>
      <c r="I29" s="641" t="s">
        <v>1639</v>
      </c>
      <c r="K29" s="642">
        <f>8972717.3</f>
        <v>8972717.3000000007</v>
      </c>
      <c r="L29" s="655">
        <f>K29</f>
        <v>8972717.3000000007</v>
      </c>
      <c r="M29" s="4"/>
      <c r="O29" s="8"/>
      <c r="P29" s="182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45" s="10" customFormat="1" ht="11.25" x14ac:dyDescent="0.2">
      <c r="B30" s="643"/>
      <c r="D30" s="644"/>
      <c r="E30" s="735" t="s">
        <v>2627</v>
      </c>
      <c r="F30" s="645">
        <f>SUM(F23:F24)-SUM(K23:K25)</f>
        <v>1382189.04</v>
      </c>
      <c r="G30" s="646"/>
      <c r="I30" s="649"/>
      <c r="J30" s="649">
        <f>F27-K30</f>
        <v>0</v>
      </c>
      <c r="K30" s="353">
        <f>SUM(K23:K29)</f>
        <v>55842750.700000003</v>
      </c>
      <c r="L30" s="148">
        <f>SUM(L23:L29)</f>
        <v>10351906.34</v>
      </c>
      <c r="M30" s="353">
        <f>L30-K19</f>
        <v>0</v>
      </c>
      <c r="O30" s="8"/>
      <c r="P30" s="182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45" s="10" customFormat="1" ht="11.25" x14ac:dyDescent="0.2">
      <c r="B31" s="313"/>
      <c r="E31" s="4"/>
      <c r="F31" s="4"/>
      <c r="G31" s="4"/>
      <c r="H31" s="4"/>
      <c r="I31" s="77"/>
      <c r="J31" s="77"/>
      <c r="K31" s="77"/>
      <c r="L31" s="75"/>
      <c r="M31" s="4"/>
      <c r="O31" s="8"/>
      <c r="P31" s="182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45" s="10" customFormat="1" ht="11.25" x14ac:dyDescent="0.2">
      <c r="B32" s="351"/>
      <c r="C32" s="31"/>
      <c r="D32" s="31" t="s">
        <v>789</v>
      </c>
      <c r="E32" s="72"/>
      <c r="F32" s="72"/>
      <c r="G32" s="79"/>
      <c r="H32" s="71"/>
      <c r="I32" s="31" t="s">
        <v>790</v>
      </c>
      <c r="J32" s="31"/>
      <c r="K32" s="352"/>
      <c r="L32" s="353"/>
      <c r="M32" s="79"/>
      <c r="O32" s="8"/>
      <c r="P32" s="182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25">
      <c r="B33" s="338" t="s">
        <v>791</v>
      </c>
      <c r="C33" s="354"/>
      <c r="D33" s="355" t="s">
        <v>792</v>
      </c>
      <c r="E33" s="80" t="s">
        <v>793</v>
      </c>
      <c r="F33" s="356" t="s">
        <v>794</v>
      </c>
      <c r="G33" s="80" t="s">
        <v>795</v>
      </c>
      <c r="H33" s="83" t="s">
        <v>796</v>
      </c>
      <c r="I33" s="83" t="s">
        <v>797</v>
      </c>
      <c r="J33" s="83" t="s">
        <v>798</v>
      </c>
      <c r="K33" s="83" t="s">
        <v>780</v>
      </c>
      <c r="L33" s="357" t="s">
        <v>799</v>
      </c>
      <c r="M33" s="83" t="s">
        <v>800</v>
      </c>
      <c r="P33" s="182"/>
    </row>
    <row r="34" spans="2:45" x14ac:dyDescent="0.25">
      <c r="B34" s="38" t="s">
        <v>801</v>
      </c>
      <c r="C34" s="440">
        <f>Cruz!H16</f>
        <v>79626194.680000007</v>
      </c>
      <c r="D34" s="141">
        <f>SUM(D4:D16)</f>
        <v>86649461.48999998</v>
      </c>
      <c r="E34" s="148">
        <f>SUM(E4:E16)</f>
        <v>74162212.560000002</v>
      </c>
      <c r="F34" s="148">
        <f>SUM(F4:F16)</f>
        <v>65383494.929999992</v>
      </c>
      <c r="G34" s="343">
        <f>C34-F34</f>
        <v>14242699.750000015</v>
      </c>
      <c r="H34" s="148">
        <f>E34-F34</f>
        <v>8778717.6300000101</v>
      </c>
      <c r="I34" s="148">
        <f>SUM(H4:H16)</f>
        <v>55348474.350000001</v>
      </c>
      <c r="J34" s="141">
        <f>SUM(I4:I16)</f>
        <v>54583999.330000006</v>
      </c>
      <c r="K34" s="343">
        <f>SUM(K4:K16)</f>
        <v>10012267.209999999</v>
      </c>
      <c r="L34" s="343">
        <f>SUM(L4:L16)</f>
        <v>44571732.120000005</v>
      </c>
      <c r="M34" s="342">
        <f>C34-(F34+K34)</f>
        <v>4230432.5400000215</v>
      </c>
      <c r="P34" s="182"/>
    </row>
    <row r="35" spans="2:45" x14ac:dyDescent="0.25">
      <c r="B35" s="38" t="s">
        <v>620</v>
      </c>
      <c r="C35" s="136">
        <f>Cruz!H25</f>
        <v>22510685.469999999</v>
      </c>
      <c r="D35" s="148">
        <f t="shared" ref="D35:F36" si="5">D17</f>
        <v>21463974.02</v>
      </c>
      <c r="E35" s="148">
        <f t="shared" si="5"/>
        <v>21463031.41</v>
      </c>
      <c r="F35" s="148">
        <f t="shared" si="5"/>
        <v>21454891.530000001</v>
      </c>
      <c r="G35" s="148">
        <f>C35-F35</f>
        <v>1055793.9399999976</v>
      </c>
      <c r="H35" s="148">
        <f>E35-F35</f>
        <v>8139.8799999989569</v>
      </c>
      <c r="I35" s="148">
        <f>H17</f>
        <v>53980.39</v>
      </c>
      <c r="J35" s="148">
        <f>I17</f>
        <v>52644.75</v>
      </c>
      <c r="K35" s="148">
        <f>K17</f>
        <v>2777.67</v>
      </c>
      <c r="L35" s="148">
        <f>L17</f>
        <v>49867.08</v>
      </c>
      <c r="M35" s="61">
        <f>C35-(F35+K35)</f>
        <v>1053016.2699999958</v>
      </c>
      <c r="P35" s="182"/>
    </row>
    <row r="36" spans="2:45" x14ac:dyDescent="0.25">
      <c r="B36" s="38" t="s">
        <v>621</v>
      </c>
      <c r="C36" s="203">
        <f>Cruz!H26</f>
        <v>3372483.24</v>
      </c>
      <c r="D36" s="148">
        <f t="shared" si="5"/>
        <v>4964682.26</v>
      </c>
      <c r="E36" s="148">
        <f t="shared" si="5"/>
        <v>2367995.5100000002</v>
      </c>
      <c r="F36" s="148">
        <f t="shared" si="5"/>
        <v>2252937.1800000002</v>
      </c>
      <c r="G36" s="148">
        <f>C36-F36</f>
        <v>1119546.06</v>
      </c>
      <c r="H36" s="148">
        <f>E36-F36</f>
        <v>115058.33000000007</v>
      </c>
      <c r="I36" s="148">
        <f>H18</f>
        <v>440295.96</v>
      </c>
      <c r="J36" s="343">
        <f>I18</f>
        <v>336861.46</v>
      </c>
      <c r="K36" s="148">
        <f>K18</f>
        <v>336861.46</v>
      </c>
      <c r="L36" s="148">
        <f>L18</f>
        <v>0</v>
      </c>
      <c r="M36" s="70">
        <f>C36-(F36+K36)</f>
        <v>782684.60000000009</v>
      </c>
      <c r="P36" s="182"/>
    </row>
    <row r="37" spans="2:45" x14ac:dyDescent="0.25">
      <c r="B37" s="38" t="s">
        <v>802</v>
      </c>
      <c r="C37" s="240">
        <f t="shared" ref="C37:M37" si="6">SUM(C34:C36)</f>
        <v>105509363.39</v>
      </c>
      <c r="D37" s="358">
        <f t="shared" si="6"/>
        <v>113078117.76999998</v>
      </c>
      <c r="E37" s="358">
        <f t="shared" si="6"/>
        <v>97993239.480000004</v>
      </c>
      <c r="F37" s="358">
        <f t="shared" si="6"/>
        <v>89091323.640000001</v>
      </c>
      <c r="G37" s="359">
        <f t="shared" si="6"/>
        <v>16418039.750000013</v>
      </c>
      <c r="H37" s="358">
        <f t="shared" si="6"/>
        <v>8901915.8400000092</v>
      </c>
      <c r="I37" s="358">
        <f t="shared" si="6"/>
        <v>55842750.700000003</v>
      </c>
      <c r="J37" s="235">
        <f t="shared" si="6"/>
        <v>54973505.540000007</v>
      </c>
      <c r="K37" s="360">
        <f t="shared" si="6"/>
        <v>10351906.34</v>
      </c>
      <c r="L37" s="361">
        <f t="shared" si="6"/>
        <v>44621599.200000003</v>
      </c>
      <c r="M37" s="362">
        <f t="shared" si="6"/>
        <v>6066133.4100000169</v>
      </c>
      <c r="P37" s="182"/>
    </row>
    <row r="38" spans="2:45" s="10" customFormat="1" ht="11.25" x14ac:dyDescent="0.2">
      <c r="B38" s="34" t="s">
        <v>803</v>
      </c>
      <c r="C38" s="34"/>
      <c r="D38" s="34"/>
      <c r="E38" s="64"/>
      <c r="F38" s="34"/>
      <c r="G38" s="34"/>
      <c r="H38" s="363">
        <f>C37-E37</f>
        <v>7516123.9099999964</v>
      </c>
      <c r="I38" s="34" t="s">
        <v>2630</v>
      </c>
      <c r="J38" s="34"/>
      <c r="K38" s="34"/>
      <c r="L38" s="363">
        <f>(D19-F19)+(L19)</f>
        <v>68608393.329999983</v>
      </c>
      <c r="O38" s="8"/>
      <c r="P38" s="182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s="10" customFormat="1" ht="11.25" x14ac:dyDescent="0.2">
      <c r="C39" s="157"/>
      <c r="M39" s="77"/>
      <c r="O39" s="8"/>
      <c r="P39" s="182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s="8" customFormat="1" ht="8.25" x14ac:dyDescent="0.15">
      <c r="M40" s="128"/>
      <c r="P40" s="182"/>
    </row>
    <row r="41" spans="2:45" s="8" customFormat="1" ht="8.25" x14ac:dyDescent="0.15">
      <c r="M41" s="128"/>
      <c r="P41" s="182"/>
    </row>
    <row r="42" spans="2:45" s="8" customFormat="1" ht="8.25" x14ac:dyDescent="0.15">
      <c r="G42" s="229" t="s">
        <v>1454</v>
      </c>
      <c r="H42" s="230"/>
      <c r="I42" s="230"/>
      <c r="J42" s="231" t="s">
        <v>1453</v>
      </c>
      <c r="K42" s="231"/>
      <c r="L42" s="364" t="s">
        <v>98</v>
      </c>
      <c r="P42" s="182"/>
    </row>
    <row r="43" spans="2:45" s="8" customFormat="1" ht="8.25" x14ac:dyDescent="0.15">
      <c r="G43" s="229" t="s">
        <v>99</v>
      </c>
      <c r="H43" s="230"/>
      <c r="I43" s="230"/>
      <c r="J43" s="231" t="s">
        <v>100</v>
      </c>
      <c r="K43" s="231"/>
      <c r="L43" s="232" t="s">
        <v>101</v>
      </c>
      <c r="P43" s="182"/>
    </row>
    <row r="44" spans="2:45" x14ac:dyDescent="0.25">
      <c r="P44" s="182"/>
    </row>
  </sheetData>
  <mergeCells count="1">
    <mergeCell ref="H2:K2"/>
  </mergeCells>
  <pageMargins left="0.25" right="0.25" top="0.75" bottom="0.75" header="0.3" footer="0.3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MK43"/>
  <sheetViews>
    <sheetView zoomScaleNormal="100" workbookViewId="0">
      <selection activeCell="E37" sqref="E37"/>
    </sheetView>
  </sheetViews>
  <sheetFormatPr defaultColWidth="8.7109375" defaultRowHeight="15" x14ac:dyDescent="0.25"/>
  <cols>
    <col min="1" max="1" width="9.5703125" style="153" customWidth="1"/>
    <col min="2" max="2" width="9.42578125" style="153" customWidth="1"/>
    <col min="3" max="3" width="12.7109375" style="153" customWidth="1"/>
    <col min="4" max="4" width="11.85546875" style="153" customWidth="1"/>
    <col min="5" max="5" width="11" style="153" customWidth="1"/>
    <col min="6" max="6" width="11.7109375" style="153" customWidth="1"/>
    <col min="7" max="7" width="10.85546875" style="153" customWidth="1"/>
    <col min="8" max="8" width="10.140625" style="153" customWidth="1"/>
    <col min="9" max="9" width="11.42578125" style="153" customWidth="1"/>
    <col min="10" max="10" width="11.5703125" style="153" customWidth="1"/>
    <col min="11" max="11" width="8.28515625" style="153" customWidth="1"/>
    <col min="12" max="12" width="10.140625" style="153" customWidth="1"/>
    <col min="13" max="13" width="10" style="153" customWidth="1"/>
    <col min="14" max="14" width="13.85546875" style="153" customWidth="1"/>
    <col min="15" max="15" width="11.140625" style="153" customWidth="1"/>
    <col min="16" max="16" width="12" style="153" customWidth="1"/>
    <col min="17" max="17" width="10.85546875" style="153" customWidth="1"/>
    <col min="18" max="18" width="12.140625" style="153" customWidth="1"/>
    <col min="19" max="19" width="10.85546875" style="153" customWidth="1"/>
    <col min="20" max="20" width="10.5703125" style="153" customWidth="1"/>
    <col min="21" max="21" width="11.85546875" style="153" customWidth="1"/>
    <col min="22" max="22" width="10.85546875" style="153" customWidth="1"/>
    <col min="23" max="23" width="11.140625" style="153" customWidth="1"/>
    <col min="24" max="256" width="9.140625" style="153" customWidth="1"/>
    <col min="257" max="257" width="10.28515625" style="153" customWidth="1"/>
    <col min="258" max="258" width="10.42578125" style="153" customWidth="1"/>
    <col min="259" max="259" width="12.7109375" style="153" customWidth="1"/>
    <col min="260" max="260" width="11.28515625" style="153" customWidth="1"/>
    <col min="261" max="261" width="11.85546875" style="153" customWidth="1"/>
    <col min="262" max="262" width="11.7109375" style="153" customWidth="1"/>
    <col min="263" max="263" width="10.7109375" style="153" customWidth="1"/>
    <col min="264" max="264" width="11.85546875" style="153" customWidth="1"/>
    <col min="265" max="265" width="11.42578125" style="153" customWidth="1"/>
    <col min="266" max="266" width="12.28515625" style="153" customWidth="1"/>
    <col min="267" max="267" width="11" style="153" customWidth="1"/>
    <col min="268" max="268" width="12" style="153" customWidth="1"/>
    <col min="269" max="269" width="12.85546875" style="153" customWidth="1"/>
    <col min="270" max="270" width="13.85546875" style="153" customWidth="1"/>
    <col min="271" max="271" width="4.85546875" style="153" customWidth="1"/>
    <col min="272" max="272" width="12" style="153" customWidth="1"/>
    <col min="273" max="273" width="10.28515625" style="153" customWidth="1"/>
    <col min="274" max="274" width="12" style="153" customWidth="1"/>
    <col min="275" max="275" width="12.5703125" style="153" customWidth="1"/>
    <col min="276" max="276" width="12" style="153" customWidth="1"/>
    <col min="277" max="278" width="11.7109375" style="153" customWidth="1"/>
    <col min="279" max="279" width="11.140625" style="153" customWidth="1"/>
    <col min="280" max="512" width="9.140625" style="153" customWidth="1"/>
    <col min="513" max="513" width="10.28515625" style="153" customWidth="1"/>
    <col min="514" max="514" width="10.42578125" style="153" customWidth="1"/>
    <col min="515" max="515" width="12.7109375" style="153" customWidth="1"/>
    <col min="516" max="516" width="11.28515625" style="153" customWidth="1"/>
    <col min="517" max="517" width="11.85546875" style="153" customWidth="1"/>
    <col min="518" max="518" width="11.7109375" style="153" customWidth="1"/>
    <col min="519" max="519" width="10.7109375" style="153" customWidth="1"/>
    <col min="520" max="520" width="11.85546875" style="153" customWidth="1"/>
    <col min="521" max="521" width="11.42578125" style="153" customWidth="1"/>
    <col min="522" max="522" width="12.28515625" style="153" customWidth="1"/>
    <col min="523" max="523" width="11" style="153" customWidth="1"/>
    <col min="524" max="524" width="12" style="153" customWidth="1"/>
    <col min="525" max="525" width="12.85546875" style="153" customWidth="1"/>
    <col min="526" max="526" width="13.85546875" style="153" customWidth="1"/>
    <col min="527" max="527" width="4.85546875" style="153" customWidth="1"/>
    <col min="528" max="528" width="12" style="153" customWidth="1"/>
    <col min="529" max="529" width="10.28515625" style="153" customWidth="1"/>
    <col min="530" max="530" width="12" style="153" customWidth="1"/>
    <col min="531" max="531" width="12.5703125" style="153" customWidth="1"/>
    <col min="532" max="532" width="12" style="153" customWidth="1"/>
    <col min="533" max="534" width="11.7109375" style="153" customWidth="1"/>
    <col min="535" max="535" width="11.140625" style="153" customWidth="1"/>
    <col min="536" max="768" width="9.140625" style="153" customWidth="1"/>
    <col min="769" max="769" width="10.28515625" style="153" customWidth="1"/>
    <col min="770" max="770" width="10.42578125" style="153" customWidth="1"/>
    <col min="771" max="771" width="12.7109375" style="153" customWidth="1"/>
    <col min="772" max="772" width="11.28515625" style="153" customWidth="1"/>
    <col min="773" max="773" width="11.85546875" style="153" customWidth="1"/>
    <col min="774" max="774" width="11.7109375" style="153" customWidth="1"/>
    <col min="775" max="775" width="10.7109375" style="153" customWidth="1"/>
    <col min="776" max="776" width="11.85546875" style="153" customWidth="1"/>
    <col min="777" max="777" width="11.42578125" style="153" customWidth="1"/>
    <col min="778" max="778" width="12.28515625" style="153" customWidth="1"/>
    <col min="779" max="779" width="11" style="153" customWidth="1"/>
    <col min="780" max="780" width="12" style="153" customWidth="1"/>
    <col min="781" max="781" width="12.85546875" style="153" customWidth="1"/>
    <col min="782" max="782" width="13.85546875" style="153" customWidth="1"/>
    <col min="783" max="783" width="4.85546875" style="153" customWidth="1"/>
    <col min="784" max="784" width="12" style="153" customWidth="1"/>
    <col min="785" max="785" width="10.28515625" style="153" customWidth="1"/>
    <col min="786" max="786" width="12" style="153" customWidth="1"/>
    <col min="787" max="787" width="12.5703125" style="153" customWidth="1"/>
    <col min="788" max="788" width="12" style="153" customWidth="1"/>
    <col min="789" max="790" width="11.7109375" style="153" customWidth="1"/>
    <col min="791" max="791" width="11.140625" style="153" customWidth="1"/>
    <col min="792" max="1025" width="9.140625" style="153" customWidth="1"/>
  </cols>
  <sheetData>
    <row r="1" spans="1:1025" x14ac:dyDescent="0.25">
      <c r="A1" s="334"/>
      <c r="B1" s="283" t="s">
        <v>804</v>
      </c>
    </row>
    <row r="2" spans="1:1025" x14ac:dyDescent="0.25">
      <c r="A2" s="365" t="s">
        <v>805</v>
      </c>
      <c r="B2" s="153" t="s">
        <v>2035</v>
      </c>
      <c r="E2" s="153" t="s">
        <v>806</v>
      </c>
    </row>
    <row r="3" spans="1:1025" s="154" customFormat="1" ht="8.25" x14ac:dyDescent="0.15">
      <c r="C3" s="157"/>
      <c r="D3" s="157"/>
    </row>
    <row r="4" spans="1:1025" x14ac:dyDescent="0.25">
      <c r="A4" s="153" t="s">
        <v>807</v>
      </c>
      <c r="D4" s="366"/>
      <c r="P4" s="154"/>
      <c r="Q4" s="154"/>
      <c r="R4" s="154"/>
      <c r="S4" s="154"/>
      <c r="T4" s="154"/>
      <c r="U4" s="154"/>
      <c r="V4" s="154"/>
      <c r="W4" s="154"/>
      <c r="X4" s="154"/>
    </row>
    <row r="5" spans="1:1025" x14ac:dyDescent="0.25">
      <c r="A5" s="153" t="s">
        <v>808</v>
      </c>
      <c r="D5" s="366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</row>
    <row r="6" spans="1:1025" s="154" customFormat="1" ht="11.25" x14ac:dyDescent="0.2">
      <c r="D6" s="157"/>
      <c r="I6" s="178"/>
      <c r="M6" s="153"/>
    </row>
    <row r="7" spans="1:1025" s="417" customFormat="1" ht="11.25" x14ac:dyDescent="0.2">
      <c r="A7" s="74" t="s">
        <v>809</v>
      </c>
      <c r="B7" s="339" t="s">
        <v>810</v>
      </c>
      <c r="C7" s="416" t="s">
        <v>811</v>
      </c>
      <c r="D7" s="289" t="s">
        <v>812</v>
      </c>
      <c r="E7" s="1048" t="s">
        <v>813</v>
      </c>
      <c r="F7" s="1048"/>
      <c r="G7" s="1048" t="s">
        <v>814</v>
      </c>
      <c r="H7" s="1048"/>
      <c r="I7" s="1049" t="s">
        <v>815</v>
      </c>
      <c r="J7" s="1049"/>
      <c r="K7" s="339" t="s">
        <v>816</v>
      </c>
      <c r="L7" s="416" t="s">
        <v>817</v>
      </c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  <c r="EA7" s="153"/>
      <c r="EB7" s="153"/>
      <c r="EC7" s="153"/>
      <c r="ED7" s="153"/>
      <c r="EE7" s="153"/>
      <c r="EF7" s="153"/>
      <c r="EG7" s="153"/>
      <c r="EH7" s="153"/>
      <c r="EI7" s="153"/>
      <c r="EJ7" s="153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  <c r="HH7" s="153"/>
      <c r="HI7" s="153"/>
      <c r="HJ7" s="153"/>
      <c r="HK7" s="153"/>
      <c r="HL7" s="153"/>
      <c r="HM7" s="153"/>
      <c r="HN7" s="153"/>
      <c r="HO7" s="153"/>
      <c r="HP7" s="153"/>
      <c r="HQ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  <c r="IF7" s="153"/>
      <c r="IG7" s="153"/>
      <c r="IH7" s="153"/>
      <c r="II7" s="153"/>
      <c r="IJ7" s="153"/>
      <c r="IK7" s="153"/>
      <c r="IL7" s="153"/>
      <c r="IM7" s="153"/>
      <c r="IN7" s="153"/>
      <c r="IO7" s="153"/>
      <c r="IP7" s="153"/>
      <c r="IQ7" s="153"/>
      <c r="IR7" s="153"/>
      <c r="IS7" s="153"/>
      <c r="IT7" s="153"/>
      <c r="IU7" s="153"/>
      <c r="IV7" s="153"/>
      <c r="IW7" s="153"/>
      <c r="IX7" s="153"/>
      <c r="IY7" s="153"/>
      <c r="IZ7" s="153"/>
      <c r="JA7" s="153"/>
      <c r="JB7" s="153"/>
      <c r="JC7" s="153"/>
      <c r="JD7" s="153"/>
      <c r="JE7" s="153"/>
      <c r="JF7" s="153"/>
      <c r="JG7" s="153"/>
      <c r="JH7" s="153"/>
      <c r="JI7" s="153"/>
      <c r="JJ7" s="153"/>
      <c r="JK7" s="153"/>
      <c r="JL7" s="153"/>
      <c r="JM7" s="153"/>
      <c r="JN7" s="153"/>
      <c r="JO7" s="153"/>
      <c r="JP7" s="153"/>
      <c r="JQ7" s="153"/>
      <c r="JR7" s="153"/>
      <c r="JS7" s="153"/>
      <c r="JT7" s="153"/>
      <c r="JU7" s="153"/>
      <c r="JV7" s="153"/>
      <c r="JW7" s="153"/>
      <c r="JX7" s="153"/>
      <c r="JY7" s="153"/>
      <c r="JZ7" s="153"/>
      <c r="KA7" s="153"/>
      <c r="KB7" s="153"/>
      <c r="KC7" s="153"/>
      <c r="KD7" s="153"/>
      <c r="KE7" s="153"/>
      <c r="KF7" s="153"/>
      <c r="KG7" s="153"/>
      <c r="KH7" s="153"/>
      <c r="KI7" s="153"/>
      <c r="KJ7" s="153"/>
      <c r="KK7" s="153"/>
      <c r="KL7" s="153"/>
      <c r="KM7" s="153"/>
      <c r="KN7" s="153"/>
      <c r="KO7" s="153"/>
      <c r="KP7" s="153"/>
      <c r="KQ7" s="153"/>
      <c r="KR7" s="153"/>
      <c r="KS7" s="153"/>
      <c r="KT7" s="153"/>
      <c r="KU7" s="153"/>
      <c r="KV7" s="153"/>
      <c r="KW7" s="153"/>
      <c r="KX7" s="153"/>
      <c r="KY7" s="153"/>
      <c r="KZ7" s="153"/>
      <c r="LA7" s="153"/>
      <c r="LB7" s="153"/>
      <c r="LC7" s="153"/>
      <c r="LD7" s="153"/>
      <c r="LE7" s="153"/>
      <c r="LF7" s="153"/>
      <c r="LG7" s="153"/>
      <c r="LH7" s="153"/>
      <c r="LI7" s="153"/>
      <c r="LJ7" s="153"/>
      <c r="LK7" s="153"/>
      <c r="LL7" s="153"/>
      <c r="LM7" s="153"/>
      <c r="LN7" s="153"/>
      <c r="LO7" s="153"/>
      <c r="LP7" s="153"/>
      <c r="LQ7" s="153"/>
      <c r="LR7" s="153"/>
      <c r="LS7" s="153"/>
      <c r="LT7" s="153"/>
      <c r="LU7" s="153"/>
      <c r="LV7" s="153"/>
      <c r="LW7" s="153"/>
      <c r="LX7" s="153"/>
      <c r="LY7" s="153"/>
      <c r="LZ7" s="153"/>
      <c r="MA7" s="153"/>
      <c r="MB7" s="153"/>
      <c r="MC7" s="153"/>
      <c r="MD7" s="153"/>
      <c r="ME7" s="153"/>
      <c r="MF7" s="153"/>
      <c r="MG7" s="153"/>
      <c r="MH7" s="153"/>
      <c r="MI7" s="153"/>
      <c r="MJ7" s="153"/>
      <c r="MK7" s="153"/>
      <c r="ML7" s="153"/>
      <c r="MM7" s="153"/>
      <c r="MN7" s="153"/>
      <c r="MO7" s="153"/>
      <c r="MP7" s="153"/>
      <c r="MQ7" s="153"/>
      <c r="MR7" s="153"/>
      <c r="MS7" s="153"/>
      <c r="MT7" s="153"/>
      <c r="MU7" s="153"/>
      <c r="MV7" s="153"/>
      <c r="MW7" s="153"/>
      <c r="MX7" s="153"/>
      <c r="MY7" s="153"/>
      <c r="MZ7" s="153"/>
      <c r="NA7" s="153"/>
      <c r="NB7" s="153"/>
      <c r="NC7" s="153"/>
      <c r="ND7" s="153"/>
      <c r="NE7" s="153"/>
      <c r="NF7" s="153"/>
      <c r="NG7" s="153"/>
      <c r="NH7" s="153"/>
      <c r="NI7" s="153"/>
      <c r="NJ7" s="153"/>
      <c r="NK7" s="153"/>
      <c r="NL7" s="153"/>
      <c r="NM7" s="153"/>
      <c r="NN7" s="153"/>
      <c r="NO7" s="153"/>
      <c r="NP7" s="153"/>
      <c r="NQ7" s="153"/>
      <c r="NR7" s="153"/>
      <c r="NS7" s="153"/>
      <c r="NT7" s="153"/>
      <c r="NU7" s="153"/>
      <c r="NV7" s="153"/>
      <c r="NW7" s="153"/>
      <c r="NX7" s="153"/>
      <c r="NY7" s="153"/>
      <c r="NZ7" s="153"/>
      <c r="OA7" s="153"/>
      <c r="OB7" s="153"/>
      <c r="OC7" s="153"/>
      <c r="OD7" s="153"/>
      <c r="OE7" s="153"/>
      <c r="OF7" s="153"/>
      <c r="OG7" s="153"/>
      <c r="OH7" s="153"/>
      <c r="OI7" s="153"/>
      <c r="OJ7" s="153"/>
      <c r="OK7" s="153"/>
      <c r="OL7" s="153"/>
      <c r="OM7" s="153"/>
      <c r="ON7" s="153"/>
      <c r="OO7" s="153"/>
      <c r="OP7" s="153"/>
      <c r="OQ7" s="153"/>
      <c r="OR7" s="153"/>
      <c r="OS7" s="153"/>
      <c r="OT7" s="153"/>
      <c r="OU7" s="153"/>
      <c r="OV7" s="153"/>
      <c r="OW7" s="153"/>
      <c r="OX7" s="153"/>
      <c r="OY7" s="153"/>
      <c r="OZ7" s="153"/>
      <c r="PA7" s="153"/>
      <c r="PB7" s="153"/>
      <c r="PC7" s="153"/>
      <c r="PD7" s="153"/>
      <c r="PE7" s="153"/>
      <c r="PF7" s="153"/>
      <c r="PG7" s="153"/>
      <c r="PH7" s="153"/>
      <c r="PI7" s="153"/>
      <c r="PJ7" s="153"/>
      <c r="PK7" s="153"/>
      <c r="PL7" s="153"/>
      <c r="PM7" s="153"/>
      <c r="PN7" s="153"/>
      <c r="PO7" s="153"/>
      <c r="PP7" s="153"/>
      <c r="PQ7" s="153"/>
      <c r="PR7" s="153"/>
      <c r="PS7" s="153"/>
      <c r="PT7" s="153"/>
      <c r="PU7" s="153"/>
      <c r="PV7" s="153"/>
      <c r="PW7" s="153"/>
      <c r="PX7" s="153"/>
      <c r="PY7" s="153"/>
      <c r="PZ7" s="153"/>
      <c r="QA7" s="153"/>
      <c r="QB7" s="153"/>
      <c r="QC7" s="153"/>
      <c r="QD7" s="153"/>
      <c r="QE7" s="153"/>
      <c r="QF7" s="153"/>
      <c r="QG7" s="153"/>
      <c r="QH7" s="153"/>
      <c r="QI7" s="153"/>
      <c r="QJ7" s="153"/>
      <c r="QK7" s="153"/>
      <c r="QL7" s="153"/>
      <c r="QM7" s="153"/>
      <c r="QN7" s="153"/>
      <c r="QO7" s="153"/>
      <c r="QP7" s="153"/>
      <c r="QQ7" s="153"/>
      <c r="QR7" s="153"/>
      <c r="QS7" s="153"/>
      <c r="QT7" s="153"/>
      <c r="QU7" s="153"/>
      <c r="QV7" s="153"/>
      <c r="QW7" s="153"/>
      <c r="QX7" s="153"/>
      <c r="QY7" s="153"/>
      <c r="QZ7" s="153"/>
      <c r="RA7" s="153"/>
      <c r="RB7" s="153"/>
      <c r="RC7" s="153"/>
      <c r="RD7" s="153"/>
      <c r="RE7" s="153"/>
      <c r="RF7" s="153"/>
      <c r="RG7" s="153"/>
      <c r="RH7" s="153"/>
      <c r="RI7" s="153"/>
      <c r="RJ7" s="153"/>
      <c r="RK7" s="153"/>
      <c r="RL7" s="153"/>
      <c r="RM7" s="153"/>
      <c r="RN7" s="153"/>
      <c r="RO7" s="153"/>
      <c r="RP7" s="153"/>
      <c r="RQ7" s="153"/>
      <c r="RR7" s="153"/>
      <c r="RS7" s="153"/>
      <c r="RT7" s="153"/>
      <c r="RU7" s="153"/>
      <c r="RV7" s="153"/>
      <c r="RW7" s="153"/>
      <c r="RX7" s="153"/>
      <c r="RY7" s="153"/>
      <c r="RZ7" s="153"/>
      <c r="SA7" s="153"/>
      <c r="SB7" s="153"/>
      <c r="SC7" s="153"/>
      <c r="SD7" s="153"/>
      <c r="SE7" s="153"/>
      <c r="SF7" s="153"/>
      <c r="SG7" s="153"/>
      <c r="SH7" s="153"/>
      <c r="SI7" s="153"/>
      <c r="SJ7" s="153"/>
      <c r="SK7" s="153"/>
      <c r="SL7" s="153"/>
      <c r="SM7" s="153"/>
      <c r="SN7" s="153"/>
      <c r="SO7" s="153"/>
      <c r="SP7" s="153"/>
      <c r="SQ7" s="153"/>
      <c r="SR7" s="153"/>
      <c r="SS7" s="153"/>
      <c r="ST7" s="153"/>
      <c r="SU7" s="153"/>
      <c r="SV7" s="153"/>
      <c r="SW7" s="153"/>
      <c r="SX7" s="153"/>
      <c r="SY7" s="153"/>
      <c r="SZ7" s="153"/>
      <c r="TA7" s="153"/>
      <c r="TB7" s="153"/>
      <c r="TC7" s="153"/>
      <c r="TD7" s="153"/>
      <c r="TE7" s="153"/>
      <c r="TF7" s="153"/>
      <c r="TG7" s="153"/>
      <c r="TH7" s="153"/>
      <c r="TI7" s="153"/>
      <c r="TJ7" s="153"/>
      <c r="TK7" s="153"/>
      <c r="TL7" s="153"/>
      <c r="TM7" s="153"/>
      <c r="TN7" s="153"/>
      <c r="TO7" s="153"/>
      <c r="TP7" s="153"/>
      <c r="TQ7" s="153"/>
      <c r="TR7" s="153"/>
      <c r="TS7" s="153"/>
      <c r="TT7" s="153"/>
      <c r="TU7" s="153"/>
      <c r="TV7" s="153"/>
      <c r="TW7" s="153"/>
      <c r="TX7" s="153"/>
      <c r="TY7" s="153"/>
      <c r="TZ7" s="153"/>
      <c r="UA7" s="153"/>
      <c r="UB7" s="153"/>
      <c r="UC7" s="153"/>
      <c r="UD7" s="153"/>
      <c r="UE7" s="153"/>
      <c r="UF7" s="153"/>
      <c r="UG7" s="153"/>
      <c r="UH7" s="153"/>
      <c r="UI7" s="153"/>
      <c r="UJ7" s="153"/>
      <c r="UK7" s="153"/>
      <c r="UL7" s="153"/>
      <c r="UM7" s="153"/>
      <c r="UN7" s="153"/>
      <c r="UO7" s="153"/>
      <c r="UP7" s="153"/>
      <c r="UQ7" s="153"/>
      <c r="UR7" s="153"/>
      <c r="US7" s="153"/>
      <c r="UT7" s="153"/>
      <c r="UU7" s="153"/>
      <c r="UV7" s="153"/>
      <c r="UW7" s="153"/>
      <c r="UX7" s="153"/>
      <c r="UY7" s="153"/>
      <c r="UZ7" s="153"/>
      <c r="VA7" s="153"/>
      <c r="VB7" s="153"/>
      <c r="VC7" s="153"/>
      <c r="VD7" s="153"/>
      <c r="VE7" s="153"/>
      <c r="VF7" s="153"/>
      <c r="VG7" s="153"/>
      <c r="VH7" s="153"/>
      <c r="VI7" s="153"/>
      <c r="VJ7" s="153"/>
      <c r="VK7" s="153"/>
      <c r="VL7" s="153"/>
      <c r="VM7" s="153"/>
      <c r="VN7" s="153"/>
      <c r="VO7" s="153"/>
      <c r="VP7" s="153"/>
      <c r="VQ7" s="153"/>
      <c r="VR7" s="153"/>
      <c r="VS7" s="153"/>
      <c r="VT7" s="153"/>
      <c r="VU7" s="153"/>
      <c r="VV7" s="153"/>
      <c r="VW7" s="153"/>
      <c r="VX7" s="153"/>
      <c r="VY7" s="153"/>
      <c r="VZ7" s="153"/>
      <c r="WA7" s="153"/>
      <c r="WB7" s="153"/>
      <c r="WC7" s="153"/>
      <c r="WD7" s="153"/>
      <c r="WE7" s="153"/>
      <c r="WF7" s="153"/>
      <c r="WG7" s="153"/>
      <c r="WH7" s="153"/>
      <c r="WI7" s="153"/>
      <c r="WJ7" s="153"/>
      <c r="WK7" s="153"/>
      <c r="WL7" s="153"/>
      <c r="WM7" s="153"/>
      <c r="WN7" s="153"/>
      <c r="WO7" s="153"/>
      <c r="WP7" s="153"/>
      <c r="WQ7" s="153"/>
      <c r="WR7" s="153"/>
      <c r="WS7" s="153"/>
      <c r="WT7" s="153"/>
      <c r="WU7" s="153"/>
      <c r="WV7" s="153"/>
      <c r="WW7" s="153"/>
      <c r="WX7" s="153"/>
      <c r="WY7" s="153"/>
      <c r="WZ7" s="153"/>
      <c r="XA7" s="153"/>
      <c r="XB7" s="153"/>
      <c r="XC7" s="153"/>
      <c r="XD7" s="153"/>
      <c r="XE7" s="153"/>
      <c r="XF7" s="153"/>
      <c r="XG7" s="153"/>
      <c r="XH7" s="153"/>
      <c r="XI7" s="153"/>
      <c r="XJ7" s="153"/>
      <c r="XK7" s="153"/>
      <c r="XL7" s="153"/>
      <c r="XM7" s="153"/>
      <c r="XN7" s="153"/>
      <c r="XO7" s="153"/>
      <c r="XP7" s="153"/>
      <c r="XQ7" s="153"/>
      <c r="XR7" s="153"/>
      <c r="XS7" s="153"/>
      <c r="XT7" s="153"/>
      <c r="XU7" s="153"/>
      <c r="XV7" s="153"/>
      <c r="XW7" s="153"/>
      <c r="XX7" s="153"/>
      <c r="XY7" s="153"/>
      <c r="XZ7" s="153"/>
      <c r="YA7" s="153"/>
      <c r="YB7" s="153"/>
      <c r="YC7" s="153"/>
      <c r="YD7" s="153"/>
      <c r="YE7" s="153"/>
      <c r="YF7" s="153"/>
      <c r="YG7" s="153"/>
      <c r="YH7" s="153"/>
      <c r="YI7" s="153"/>
      <c r="YJ7" s="153"/>
      <c r="YK7" s="153"/>
      <c r="YL7" s="153"/>
      <c r="YM7" s="153"/>
      <c r="YN7" s="153"/>
      <c r="YO7" s="153"/>
      <c r="YP7" s="153"/>
      <c r="YQ7" s="153"/>
      <c r="YR7" s="153"/>
      <c r="YS7" s="153"/>
      <c r="YT7" s="153"/>
      <c r="YU7" s="153"/>
      <c r="YV7" s="153"/>
      <c r="YW7" s="153"/>
      <c r="YX7" s="153"/>
      <c r="YY7" s="153"/>
      <c r="YZ7" s="153"/>
      <c r="ZA7" s="153"/>
      <c r="ZB7" s="153"/>
      <c r="ZC7" s="153"/>
      <c r="ZD7" s="153"/>
      <c r="ZE7" s="153"/>
      <c r="ZF7" s="153"/>
      <c r="ZG7" s="153"/>
      <c r="ZH7" s="153"/>
      <c r="ZI7" s="153"/>
      <c r="ZJ7" s="153"/>
      <c r="ZK7" s="153"/>
      <c r="ZL7" s="153"/>
      <c r="ZM7" s="153"/>
      <c r="ZN7" s="153"/>
      <c r="ZO7" s="153"/>
      <c r="ZP7" s="153"/>
      <c r="ZQ7" s="153"/>
      <c r="ZR7" s="153"/>
      <c r="ZS7" s="153"/>
      <c r="ZT7" s="153"/>
      <c r="ZU7" s="153"/>
      <c r="ZV7" s="153"/>
      <c r="ZW7" s="153"/>
      <c r="ZX7" s="153"/>
      <c r="ZY7" s="153"/>
      <c r="ZZ7" s="153"/>
      <c r="AAA7" s="153"/>
      <c r="AAB7" s="153"/>
      <c r="AAC7" s="153"/>
      <c r="AAD7" s="153"/>
      <c r="AAE7" s="153"/>
      <c r="AAF7" s="153"/>
      <c r="AAG7" s="153"/>
      <c r="AAH7" s="153"/>
      <c r="AAI7" s="153"/>
      <c r="AAJ7" s="153"/>
      <c r="AAK7" s="153"/>
      <c r="AAL7" s="153"/>
      <c r="AAM7" s="153"/>
      <c r="AAN7" s="153"/>
      <c r="AAO7" s="153"/>
      <c r="AAP7" s="153"/>
      <c r="AAQ7" s="153"/>
      <c r="AAR7" s="153"/>
      <c r="AAS7" s="153"/>
      <c r="AAT7" s="153"/>
      <c r="AAU7" s="153"/>
      <c r="AAV7" s="153"/>
      <c r="AAW7" s="153"/>
      <c r="AAX7" s="153"/>
      <c r="AAY7" s="153"/>
      <c r="AAZ7" s="153"/>
      <c r="ABA7" s="153"/>
      <c r="ABB7" s="153"/>
      <c r="ABC7" s="153"/>
      <c r="ABD7" s="153"/>
      <c r="ABE7" s="153"/>
      <c r="ABF7" s="153"/>
      <c r="ABG7" s="153"/>
      <c r="ABH7" s="153"/>
      <c r="ABI7" s="153"/>
      <c r="ABJ7" s="153"/>
      <c r="ABK7" s="153"/>
      <c r="ABL7" s="153"/>
      <c r="ABM7" s="153"/>
      <c r="ABN7" s="153"/>
      <c r="ABO7" s="153"/>
      <c r="ABP7" s="153"/>
      <c r="ABQ7" s="153"/>
      <c r="ABR7" s="153"/>
      <c r="ABS7" s="153"/>
      <c r="ABT7" s="153"/>
      <c r="ABU7" s="153"/>
      <c r="ABV7" s="153"/>
      <c r="ABW7" s="153"/>
      <c r="ABX7" s="153"/>
      <c r="ABY7" s="153"/>
      <c r="ABZ7" s="153"/>
      <c r="ACA7" s="153"/>
      <c r="ACB7" s="153"/>
      <c r="ACC7" s="153"/>
      <c r="ACD7" s="153"/>
      <c r="ACE7" s="153"/>
      <c r="ACF7" s="153"/>
      <c r="ACG7" s="153"/>
      <c r="ACH7" s="153"/>
      <c r="ACI7" s="153"/>
      <c r="ACJ7" s="153"/>
      <c r="ACK7" s="153"/>
      <c r="ACL7" s="153"/>
      <c r="ACM7" s="153"/>
      <c r="ACN7" s="153"/>
      <c r="ACO7" s="153"/>
      <c r="ACP7" s="153"/>
      <c r="ACQ7" s="153"/>
      <c r="ACR7" s="153"/>
      <c r="ACS7" s="153"/>
      <c r="ACT7" s="153"/>
      <c r="ACU7" s="153"/>
      <c r="ACV7" s="153"/>
      <c r="ACW7" s="153"/>
      <c r="ACX7" s="153"/>
      <c r="ACY7" s="153"/>
      <c r="ACZ7" s="153"/>
      <c r="ADA7" s="153"/>
      <c r="ADB7" s="153"/>
      <c r="ADC7" s="153"/>
      <c r="ADD7" s="153"/>
      <c r="ADE7" s="153"/>
      <c r="ADF7" s="153"/>
      <c r="ADG7" s="153"/>
      <c r="ADH7" s="153"/>
      <c r="ADI7" s="153"/>
      <c r="ADJ7" s="153"/>
      <c r="ADK7" s="153"/>
      <c r="ADL7" s="153"/>
      <c r="ADM7" s="153"/>
      <c r="ADN7" s="153"/>
      <c r="ADO7" s="153"/>
      <c r="ADP7" s="153"/>
      <c r="ADQ7" s="153"/>
      <c r="ADR7" s="153"/>
      <c r="ADS7" s="153"/>
      <c r="ADT7" s="153"/>
      <c r="ADU7" s="153"/>
      <c r="ADV7" s="153"/>
      <c r="ADW7" s="153"/>
      <c r="ADX7" s="153"/>
      <c r="ADY7" s="153"/>
      <c r="ADZ7" s="153"/>
      <c r="AEA7" s="153"/>
      <c r="AEB7" s="153"/>
      <c r="AEC7" s="153"/>
      <c r="AED7" s="153"/>
      <c r="AEE7" s="153"/>
      <c r="AEF7" s="153"/>
      <c r="AEG7" s="153"/>
      <c r="AEH7" s="153"/>
      <c r="AEI7" s="153"/>
      <c r="AEJ7" s="153"/>
      <c r="AEK7" s="153"/>
      <c r="AEL7" s="153"/>
      <c r="AEM7" s="153"/>
      <c r="AEN7" s="153"/>
      <c r="AEO7" s="153"/>
      <c r="AEP7" s="153"/>
      <c r="AEQ7" s="153"/>
      <c r="AER7" s="153"/>
      <c r="AES7" s="153"/>
      <c r="AET7" s="153"/>
      <c r="AEU7" s="153"/>
      <c r="AEV7" s="153"/>
      <c r="AEW7" s="153"/>
      <c r="AEX7" s="153"/>
      <c r="AEY7" s="153"/>
      <c r="AEZ7" s="153"/>
      <c r="AFA7" s="153"/>
      <c r="AFB7" s="153"/>
      <c r="AFC7" s="153"/>
      <c r="AFD7" s="153"/>
      <c r="AFE7" s="153"/>
      <c r="AFF7" s="153"/>
      <c r="AFG7" s="153"/>
      <c r="AFH7" s="153"/>
      <c r="AFI7" s="153"/>
      <c r="AFJ7" s="153"/>
      <c r="AFK7" s="153"/>
      <c r="AFL7" s="153"/>
      <c r="AFM7" s="153"/>
      <c r="AFN7" s="153"/>
      <c r="AFO7" s="153"/>
      <c r="AFP7" s="153"/>
      <c r="AFQ7" s="153"/>
      <c r="AFR7" s="153"/>
      <c r="AFS7" s="153"/>
      <c r="AFT7" s="153"/>
      <c r="AFU7" s="153"/>
      <c r="AFV7" s="153"/>
      <c r="AFW7" s="153"/>
      <c r="AFX7" s="153"/>
      <c r="AFY7" s="153"/>
      <c r="AFZ7" s="153"/>
      <c r="AGA7" s="153"/>
      <c r="AGB7" s="153"/>
      <c r="AGC7" s="153"/>
      <c r="AGD7" s="153"/>
      <c r="AGE7" s="153"/>
      <c r="AGF7" s="153"/>
      <c r="AGG7" s="153"/>
      <c r="AGH7" s="153"/>
      <c r="AGI7" s="153"/>
      <c r="AGJ7" s="153"/>
      <c r="AGK7" s="153"/>
      <c r="AGL7" s="153"/>
      <c r="AGM7" s="153"/>
      <c r="AGN7" s="153"/>
      <c r="AGO7" s="153"/>
      <c r="AGP7" s="153"/>
      <c r="AGQ7" s="153"/>
      <c r="AGR7" s="153"/>
      <c r="AGS7" s="153"/>
      <c r="AGT7" s="153"/>
      <c r="AGU7" s="153"/>
      <c r="AGV7" s="153"/>
      <c r="AGW7" s="153"/>
      <c r="AGX7" s="153"/>
      <c r="AGY7" s="153"/>
      <c r="AGZ7" s="153"/>
      <c r="AHA7" s="153"/>
      <c r="AHB7" s="153"/>
      <c r="AHC7" s="153"/>
      <c r="AHD7" s="153"/>
      <c r="AHE7" s="153"/>
      <c r="AHF7" s="153"/>
      <c r="AHG7" s="153"/>
      <c r="AHH7" s="153"/>
      <c r="AHI7" s="153"/>
      <c r="AHJ7" s="153"/>
      <c r="AHK7" s="153"/>
      <c r="AHL7" s="153"/>
      <c r="AHM7" s="153"/>
      <c r="AHN7" s="153"/>
      <c r="AHO7" s="153"/>
      <c r="AHP7" s="153"/>
      <c r="AHQ7" s="153"/>
      <c r="AHR7" s="153"/>
      <c r="AHS7" s="153"/>
      <c r="AHT7" s="153"/>
      <c r="AHU7" s="153"/>
      <c r="AHV7" s="153"/>
      <c r="AHW7" s="153"/>
      <c r="AHX7" s="153"/>
      <c r="AHY7" s="153"/>
      <c r="AHZ7" s="153"/>
      <c r="AIA7" s="153"/>
      <c r="AIB7" s="153"/>
      <c r="AIC7" s="153"/>
      <c r="AID7" s="153"/>
      <c r="AIE7" s="153"/>
      <c r="AIF7" s="153"/>
      <c r="AIG7" s="153"/>
      <c r="AIH7" s="153"/>
      <c r="AII7" s="153"/>
      <c r="AIJ7" s="153"/>
      <c r="AIK7" s="153"/>
      <c r="AIL7" s="153"/>
      <c r="AIM7" s="153"/>
      <c r="AIN7" s="153"/>
      <c r="AIO7" s="153"/>
      <c r="AIP7" s="153"/>
      <c r="AIQ7" s="153"/>
      <c r="AIR7" s="153"/>
      <c r="AIS7" s="153"/>
      <c r="AIT7" s="153"/>
      <c r="AIU7" s="153"/>
      <c r="AIV7" s="153"/>
      <c r="AIW7" s="153"/>
      <c r="AIX7" s="153"/>
      <c r="AIY7" s="153"/>
      <c r="AIZ7" s="153"/>
      <c r="AJA7" s="153"/>
      <c r="AJB7" s="153"/>
      <c r="AJC7" s="153"/>
      <c r="AJD7" s="153"/>
      <c r="AJE7" s="153"/>
      <c r="AJF7" s="153"/>
      <c r="AJG7" s="153"/>
      <c r="AJH7" s="153"/>
      <c r="AJI7" s="153"/>
      <c r="AJJ7" s="153"/>
      <c r="AJK7" s="153"/>
      <c r="AJL7" s="153"/>
      <c r="AJM7" s="153"/>
      <c r="AJN7" s="153"/>
      <c r="AJO7" s="153"/>
      <c r="AJP7" s="153"/>
      <c r="AJQ7" s="153"/>
      <c r="AJR7" s="153"/>
      <c r="AJS7" s="153"/>
      <c r="AJT7" s="153"/>
      <c r="AJU7" s="153"/>
      <c r="AJV7" s="153"/>
      <c r="AJW7" s="153"/>
      <c r="AJX7" s="153"/>
      <c r="AJY7" s="153"/>
      <c r="AJZ7" s="153"/>
      <c r="AKA7" s="153"/>
      <c r="AKB7" s="153"/>
      <c r="AKC7" s="153"/>
      <c r="AKD7" s="153"/>
      <c r="AKE7" s="153"/>
      <c r="AKF7" s="153"/>
      <c r="AKG7" s="153"/>
      <c r="AKH7" s="153"/>
      <c r="AKI7" s="153"/>
      <c r="AKJ7" s="153"/>
      <c r="AKK7" s="153"/>
      <c r="AKL7" s="153"/>
      <c r="AKM7" s="153"/>
      <c r="AKN7" s="153"/>
      <c r="AKO7" s="153"/>
      <c r="AKP7" s="153"/>
      <c r="AKQ7" s="153"/>
      <c r="AKR7" s="153"/>
      <c r="AKS7" s="153"/>
      <c r="AKT7" s="153"/>
      <c r="AKU7" s="153"/>
      <c r="AKV7" s="153"/>
      <c r="AKW7" s="153"/>
      <c r="AKX7" s="153"/>
      <c r="AKY7" s="153"/>
      <c r="AKZ7" s="153"/>
      <c r="ALA7" s="153"/>
      <c r="ALB7" s="153"/>
      <c r="ALC7" s="153"/>
      <c r="ALD7" s="153"/>
      <c r="ALE7" s="153"/>
      <c r="ALF7" s="153"/>
      <c r="ALG7" s="153"/>
      <c r="ALH7" s="153"/>
      <c r="ALI7" s="153"/>
      <c r="ALJ7" s="153"/>
      <c r="ALK7" s="153"/>
      <c r="ALL7" s="153"/>
      <c r="ALM7" s="153"/>
      <c r="ALN7" s="153"/>
      <c r="ALO7" s="153"/>
      <c r="ALP7" s="153"/>
      <c r="ALQ7" s="153"/>
      <c r="ALR7" s="153"/>
      <c r="ALS7" s="153"/>
      <c r="ALT7" s="153"/>
      <c r="ALU7" s="153"/>
      <c r="ALV7" s="153"/>
      <c r="ALW7" s="153"/>
      <c r="ALX7" s="153"/>
      <c r="ALY7" s="153"/>
      <c r="ALZ7" s="153"/>
      <c r="AMA7" s="153"/>
      <c r="AMB7" s="153"/>
      <c r="AMC7" s="153"/>
      <c r="AMD7" s="153"/>
      <c r="AME7" s="153"/>
      <c r="AMF7" s="153"/>
      <c r="AMG7" s="153"/>
      <c r="AMH7" s="153"/>
      <c r="AMI7" s="153"/>
      <c r="AMJ7" s="153"/>
      <c r="AMK7" s="153"/>
    </row>
    <row r="8" spans="1:1025" s="417" customFormat="1" ht="11.25" x14ac:dyDescent="0.2">
      <c r="A8" s="69" t="s">
        <v>818</v>
      </c>
      <c r="B8" s="335" t="s">
        <v>231</v>
      </c>
      <c r="C8" s="67">
        <f>4877524.19</f>
        <v>4877524.1900000004</v>
      </c>
      <c r="D8" s="423">
        <f>2812430.67</f>
        <v>2812430.67</v>
      </c>
      <c r="E8" s="367">
        <f t="shared" ref="E8:E18" si="0">D8*0.6</f>
        <v>1687458.402</v>
      </c>
      <c r="F8" s="368">
        <f t="shared" ref="F8:F18" si="1">(((C8*0.6)/12)*6)-E8</f>
        <v>-224201.14500000002</v>
      </c>
      <c r="G8" s="368">
        <f>D8*0.25</f>
        <v>703107.66749999998</v>
      </c>
      <c r="H8" s="368">
        <f t="shared" ref="H8:H18" si="2">(((C8*0.25)/12)*6)-G8</f>
        <v>-93417.14374999993</v>
      </c>
      <c r="I8" s="369"/>
      <c r="J8" s="366"/>
      <c r="K8" s="257">
        <f t="shared" ref="K8:K18" si="3">D8*0.15</f>
        <v>421864.6005</v>
      </c>
      <c r="L8" s="368">
        <f t="shared" ref="L8:L18" si="4">(((C8*0.25)/12)*6)-K8</f>
        <v>187825.92325000005</v>
      </c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  <c r="IX8" s="153"/>
      <c r="IY8" s="153"/>
      <c r="IZ8" s="153"/>
      <c r="JA8" s="153"/>
      <c r="JB8" s="153"/>
      <c r="JC8" s="153"/>
      <c r="JD8" s="153"/>
      <c r="JE8" s="153"/>
      <c r="JF8" s="153"/>
      <c r="JG8" s="153"/>
      <c r="JH8" s="153"/>
      <c r="JI8" s="153"/>
      <c r="JJ8" s="153"/>
      <c r="JK8" s="153"/>
      <c r="JL8" s="153"/>
      <c r="JM8" s="153"/>
      <c r="JN8" s="153"/>
      <c r="JO8" s="153"/>
      <c r="JP8" s="153"/>
      <c r="JQ8" s="153"/>
      <c r="JR8" s="153"/>
      <c r="JS8" s="153"/>
      <c r="JT8" s="153"/>
      <c r="JU8" s="153"/>
      <c r="JV8" s="153"/>
      <c r="JW8" s="153"/>
      <c r="JX8" s="153"/>
      <c r="JY8" s="153"/>
      <c r="JZ8" s="153"/>
      <c r="KA8" s="153"/>
      <c r="KB8" s="153"/>
      <c r="KC8" s="153"/>
      <c r="KD8" s="153"/>
      <c r="KE8" s="153"/>
      <c r="KF8" s="153"/>
      <c r="KG8" s="153"/>
      <c r="KH8" s="153"/>
      <c r="KI8" s="153"/>
      <c r="KJ8" s="153"/>
      <c r="KK8" s="153"/>
      <c r="KL8" s="153"/>
      <c r="KM8" s="153"/>
      <c r="KN8" s="153"/>
      <c r="KO8" s="153"/>
      <c r="KP8" s="153"/>
      <c r="KQ8" s="153"/>
      <c r="KR8" s="153"/>
      <c r="KS8" s="153"/>
      <c r="KT8" s="153"/>
      <c r="KU8" s="153"/>
      <c r="KV8" s="153"/>
      <c r="KW8" s="153"/>
      <c r="KX8" s="153"/>
      <c r="KY8" s="153"/>
      <c r="KZ8" s="153"/>
      <c r="LA8" s="153"/>
      <c r="LB8" s="153"/>
      <c r="LC8" s="153"/>
      <c r="LD8" s="153"/>
      <c r="LE8" s="153"/>
      <c r="LF8" s="153"/>
      <c r="LG8" s="153"/>
      <c r="LH8" s="153"/>
      <c r="LI8" s="153"/>
      <c r="LJ8" s="153"/>
      <c r="LK8" s="153"/>
      <c r="LL8" s="153"/>
      <c r="LM8" s="153"/>
      <c r="LN8" s="153"/>
      <c r="LO8" s="153"/>
      <c r="LP8" s="153"/>
      <c r="LQ8" s="153"/>
      <c r="LR8" s="153"/>
      <c r="LS8" s="153"/>
      <c r="LT8" s="153"/>
      <c r="LU8" s="153"/>
      <c r="LV8" s="153"/>
      <c r="LW8" s="153"/>
      <c r="LX8" s="153"/>
      <c r="LY8" s="153"/>
      <c r="LZ8" s="153"/>
      <c r="MA8" s="153"/>
      <c r="MB8" s="153"/>
      <c r="MC8" s="153"/>
      <c r="MD8" s="153"/>
      <c r="ME8" s="153"/>
      <c r="MF8" s="153"/>
      <c r="MG8" s="153"/>
      <c r="MH8" s="153"/>
      <c r="MI8" s="153"/>
      <c r="MJ8" s="153"/>
      <c r="MK8" s="153"/>
      <c r="ML8" s="153"/>
      <c r="MM8" s="153"/>
      <c r="MN8" s="153"/>
      <c r="MO8" s="153"/>
      <c r="MP8" s="153"/>
      <c r="MQ8" s="153"/>
      <c r="MR8" s="153"/>
      <c r="MS8" s="153"/>
      <c r="MT8" s="153"/>
      <c r="MU8" s="153"/>
      <c r="MV8" s="153"/>
      <c r="MW8" s="153"/>
      <c r="MX8" s="153"/>
      <c r="MY8" s="153"/>
      <c r="MZ8" s="153"/>
      <c r="NA8" s="153"/>
      <c r="NB8" s="153"/>
      <c r="NC8" s="153"/>
      <c r="ND8" s="153"/>
      <c r="NE8" s="153"/>
      <c r="NF8" s="153"/>
      <c r="NG8" s="153"/>
      <c r="NH8" s="153"/>
      <c r="NI8" s="153"/>
      <c r="NJ8" s="153"/>
      <c r="NK8" s="153"/>
      <c r="NL8" s="153"/>
      <c r="NM8" s="153"/>
      <c r="NN8" s="153"/>
      <c r="NO8" s="153"/>
      <c r="NP8" s="153"/>
      <c r="NQ8" s="153"/>
      <c r="NR8" s="153"/>
      <c r="NS8" s="153"/>
      <c r="NT8" s="153"/>
      <c r="NU8" s="153"/>
      <c r="NV8" s="153"/>
      <c r="NW8" s="153"/>
      <c r="NX8" s="153"/>
      <c r="NY8" s="153"/>
      <c r="NZ8" s="153"/>
      <c r="OA8" s="153"/>
      <c r="OB8" s="153"/>
      <c r="OC8" s="153"/>
      <c r="OD8" s="153"/>
      <c r="OE8" s="153"/>
      <c r="OF8" s="153"/>
      <c r="OG8" s="153"/>
      <c r="OH8" s="153"/>
      <c r="OI8" s="153"/>
      <c r="OJ8" s="153"/>
      <c r="OK8" s="153"/>
      <c r="OL8" s="153"/>
      <c r="OM8" s="153"/>
      <c r="ON8" s="153"/>
      <c r="OO8" s="153"/>
      <c r="OP8" s="153"/>
      <c r="OQ8" s="153"/>
      <c r="OR8" s="153"/>
      <c r="OS8" s="153"/>
      <c r="OT8" s="153"/>
      <c r="OU8" s="153"/>
      <c r="OV8" s="153"/>
      <c r="OW8" s="153"/>
      <c r="OX8" s="153"/>
      <c r="OY8" s="153"/>
      <c r="OZ8" s="153"/>
      <c r="PA8" s="153"/>
      <c r="PB8" s="153"/>
      <c r="PC8" s="153"/>
      <c r="PD8" s="153"/>
      <c r="PE8" s="153"/>
      <c r="PF8" s="153"/>
      <c r="PG8" s="153"/>
      <c r="PH8" s="153"/>
      <c r="PI8" s="153"/>
      <c r="PJ8" s="153"/>
      <c r="PK8" s="153"/>
      <c r="PL8" s="153"/>
      <c r="PM8" s="153"/>
      <c r="PN8" s="153"/>
      <c r="PO8" s="153"/>
      <c r="PP8" s="153"/>
      <c r="PQ8" s="153"/>
      <c r="PR8" s="153"/>
      <c r="PS8" s="153"/>
      <c r="PT8" s="153"/>
      <c r="PU8" s="153"/>
      <c r="PV8" s="153"/>
      <c r="PW8" s="153"/>
      <c r="PX8" s="153"/>
      <c r="PY8" s="153"/>
      <c r="PZ8" s="153"/>
      <c r="QA8" s="153"/>
      <c r="QB8" s="153"/>
      <c r="QC8" s="153"/>
      <c r="QD8" s="153"/>
      <c r="QE8" s="153"/>
      <c r="QF8" s="153"/>
      <c r="QG8" s="153"/>
      <c r="QH8" s="153"/>
      <c r="QI8" s="153"/>
      <c r="QJ8" s="153"/>
      <c r="QK8" s="153"/>
      <c r="QL8" s="153"/>
      <c r="QM8" s="153"/>
      <c r="QN8" s="153"/>
      <c r="QO8" s="153"/>
      <c r="QP8" s="153"/>
      <c r="QQ8" s="153"/>
      <c r="QR8" s="153"/>
      <c r="QS8" s="153"/>
      <c r="QT8" s="153"/>
      <c r="QU8" s="153"/>
      <c r="QV8" s="153"/>
      <c r="QW8" s="153"/>
      <c r="QX8" s="153"/>
      <c r="QY8" s="153"/>
      <c r="QZ8" s="153"/>
      <c r="RA8" s="153"/>
      <c r="RB8" s="153"/>
      <c r="RC8" s="153"/>
      <c r="RD8" s="153"/>
      <c r="RE8" s="153"/>
      <c r="RF8" s="153"/>
      <c r="RG8" s="153"/>
      <c r="RH8" s="153"/>
      <c r="RI8" s="153"/>
      <c r="RJ8" s="153"/>
      <c r="RK8" s="153"/>
      <c r="RL8" s="153"/>
      <c r="RM8" s="153"/>
      <c r="RN8" s="153"/>
      <c r="RO8" s="153"/>
      <c r="RP8" s="153"/>
      <c r="RQ8" s="153"/>
      <c r="RR8" s="153"/>
      <c r="RS8" s="153"/>
      <c r="RT8" s="153"/>
      <c r="RU8" s="153"/>
      <c r="RV8" s="153"/>
      <c r="RW8" s="153"/>
      <c r="RX8" s="153"/>
      <c r="RY8" s="153"/>
      <c r="RZ8" s="153"/>
      <c r="SA8" s="153"/>
      <c r="SB8" s="153"/>
      <c r="SC8" s="153"/>
      <c r="SD8" s="153"/>
      <c r="SE8" s="153"/>
      <c r="SF8" s="153"/>
      <c r="SG8" s="153"/>
      <c r="SH8" s="153"/>
      <c r="SI8" s="153"/>
      <c r="SJ8" s="153"/>
      <c r="SK8" s="153"/>
      <c r="SL8" s="153"/>
      <c r="SM8" s="153"/>
      <c r="SN8" s="153"/>
      <c r="SO8" s="153"/>
      <c r="SP8" s="153"/>
      <c r="SQ8" s="153"/>
      <c r="SR8" s="153"/>
      <c r="SS8" s="153"/>
      <c r="ST8" s="153"/>
      <c r="SU8" s="153"/>
      <c r="SV8" s="153"/>
      <c r="SW8" s="153"/>
      <c r="SX8" s="153"/>
      <c r="SY8" s="153"/>
      <c r="SZ8" s="153"/>
      <c r="TA8" s="153"/>
      <c r="TB8" s="153"/>
      <c r="TC8" s="153"/>
      <c r="TD8" s="153"/>
      <c r="TE8" s="153"/>
      <c r="TF8" s="153"/>
      <c r="TG8" s="153"/>
      <c r="TH8" s="153"/>
      <c r="TI8" s="153"/>
      <c r="TJ8" s="153"/>
      <c r="TK8" s="153"/>
      <c r="TL8" s="153"/>
      <c r="TM8" s="153"/>
      <c r="TN8" s="153"/>
      <c r="TO8" s="153"/>
      <c r="TP8" s="153"/>
      <c r="TQ8" s="153"/>
      <c r="TR8" s="153"/>
      <c r="TS8" s="153"/>
      <c r="TT8" s="153"/>
      <c r="TU8" s="153"/>
      <c r="TV8" s="153"/>
      <c r="TW8" s="153"/>
      <c r="TX8" s="153"/>
      <c r="TY8" s="153"/>
      <c r="TZ8" s="153"/>
      <c r="UA8" s="153"/>
      <c r="UB8" s="153"/>
      <c r="UC8" s="153"/>
      <c r="UD8" s="153"/>
      <c r="UE8" s="153"/>
      <c r="UF8" s="153"/>
      <c r="UG8" s="153"/>
      <c r="UH8" s="153"/>
      <c r="UI8" s="153"/>
      <c r="UJ8" s="153"/>
      <c r="UK8" s="153"/>
      <c r="UL8" s="153"/>
      <c r="UM8" s="153"/>
      <c r="UN8" s="153"/>
      <c r="UO8" s="153"/>
      <c r="UP8" s="153"/>
      <c r="UQ8" s="153"/>
      <c r="UR8" s="153"/>
      <c r="US8" s="153"/>
      <c r="UT8" s="153"/>
      <c r="UU8" s="153"/>
      <c r="UV8" s="153"/>
      <c r="UW8" s="153"/>
      <c r="UX8" s="153"/>
      <c r="UY8" s="153"/>
      <c r="UZ8" s="153"/>
      <c r="VA8" s="153"/>
      <c r="VB8" s="153"/>
      <c r="VC8" s="153"/>
      <c r="VD8" s="153"/>
      <c r="VE8" s="153"/>
      <c r="VF8" s="153"/>
      <c r="VG8" s="153"/>
      <c r="VH8" s="153"/>
      <c r="VI8" s="153"/>
      <c r="VJ8" s="153"/>
      <c r="VK8" s="153"/>
      <c r="VL8" s="153"/>
      <c r="VM8" s="153"/>
      <c r="VN8" s="153"/>
      <c r="VO8" s="153"/>
      <c r="VP8" s="153"/>
      <c r="VQ8" s="153"/>
      <c r="VR8" s="153"/>
      <c r="VS8" s="153"/>
      <c r="VT8" s="153"/>
      <c r="VU8" s="153"/>
      <c r="VV8" s="153"/>
      <c r="VW8" s="153"/>
      <c r="VX8" s="153"/>
      <c r="VY8" s="153"/>
      <c r="VZ8" s="153"/>
      <c r="WA8" s="153"/>
      <c r="WB8" s="153"/>
      <c r="WC8" s="153"/>
      <c r="WD8" s="153"/>
      <c r="WE8" s="153"/>
      <c r="WF8" s="153"/>
      <c r="WG8" s="153"/>
      <c r="WH8" s="153"/>
      <c r="WI8" s="153"/>
      <c r="WJ8" s="153"/>
      <c r="WK8" s="153"/>
      <c r="WL8" s="153"/>
      <c r="WM8" s="153"/>
      <c r="WN8" s="153"/>
      <c r="WO8" s="153"/>
      <c r="WP8" s="153"/>
      <c r="WQ8" s="153"/>
      <c r="WR8" s="153"/>
      <c r="WS8" s="153"/>
      <c r="WT8" s="153"/>
      <c r="WU8" s="153"/>
      <c r="WV8" s="153"/>
      <c r="WW8" s="153"/>
      <c r="WX8" s="153"/>
      <c r="WY8" s="153"/>
      <c r="WZ8" s="153"/>
      <c r="XA8" s="153"/>
      <c r="XB8" s="153"/>
      <c r="XC8" s="153"/>
      <c r="XD8" s="153"/>
      <c r="XE8" s="153"/>
      <c r="XF8" s="153"/>
      <c r="XG8" s="153"/>
      <c r="XH8" s="153"/>
      <c r="XI8" s="153"/>
      <c r="XJ8" s="153"/>
      <c r="XK8" s="153"/>
      <c r="XL8" s="153"/>
      <c r="XM8" s="153"/>
      <c r="XN8" s="153"/>
      <c r="XO8" s="153"/>
      <c r="XP8" s="153"/>
      <c r="XQ8" s="153"/>
      <c r="XR8" s="153"/>
      <c r="XS8" s="153"/>
      <c r="XT8" s="153"/>
      <c r="XU8" s="153"/>
      <c r="XV8" s="153"/>
      <c r="XW8" s="153"/>
      <c r="XX8" s="153"/>
      <c r="XY8" s="153"/>
      <c r="XZ8" s="153"/>
      <c r="YA8" s="153"/>
      <c r="YB8" s="153"/>
      <c r="YC8" s="153"/>
      <c r="YD8" s="153"/>
      <c r="YE8" s="153"/>
      <c r="YF8" s="153"/>
      <c r="YG8" s="153"/>
      <c r="YH8" s="153"/>
      <c r="YI8" s="153"/>
      <c r="YJ8" s="153"/>
      <c r="YK8" s="153"/>
      <c r="YL8" s="153"/>
      <c r="YM8" s="153"/>
      <c r="YN8" s="153"/>
      <c r="YO8" s="153"/>
      <c r="YP8" s="153"/>
      <c r="YQ8" s="153"/>
      <c r="YR8" s="153"/>
      <c r="YS8" s="153"/>
      <c r="YT8" s="153"/>
      <c r="YU8" s="153"/>
      <c r="YV8" s="153"/>
      <c r="YW8" s="153"/>
      <c r="YX8" s="153"/>
      <c r="YY8" s="153"/>
      <c r="YZ8" s="153"/>
      <c r="ZA8" s="153"/>
      <c r="ZB8" s="153"/>
      <c r="ZC8" s="153"/>
      <c r="ZD8" s="153"/>
      <c r="ZE8" s="153"/>
      <c r="ZF8" s="153"/>
      <c r="ZG8" s="153"/>
      <c r="ZH8" s="153"/>
      <c r="ZI8" s="153"/>
      <c r="ZJ8" s="153"/>
      <c r="ZK8" s="153"/>
      <c r="ZL8" s="153"/>
      <c r="ZM8" s="153"/>
      <c r="ZN8" s="153"/>
      <c r="ZO8" s="153"/>
      <c r="ZP8" s="153"/>
      <c r="ZQ8" s="153"/>
      <c r="ZR8" s="153"/>
      <c r="ZS8" s="153"/>
      <c r="ZT8" s="153"/>
      <c r="ZU8" s="153"/>
      <c r="ZV8" s="153"/>
      <c r="ZW8" s="153"/>
      <c r="ZX8" s="153"/>
      <c r="ZY8" s="153"/>
      <c r="ZZ8" s="153"/>
      <c r="AAA8" s="153"/>
      <c r="AAB8" s="153"/>
      <c r="AAC8" s="153"/>
      <c r="AAD8" s="153"/>
      <c r="AAE8" s="153"/>
      <c r="AAF8" s="153"/>
      <c r="AAG8" s="153"/>
      <c r="AAH8" s="153"/>
      <c r="AAI8" s="153"/>
      <c r="AAJ8" s="153"/>
      <c r="AAK8" s="153"/>
      <c r="AAL8" s="153"/>
      <c r="AAM8" s="153"/>
      <c r="AAN8" s="153"/>
      <c r="AAO8" s="153"/>
      <c r="AAP8" s="153"/>
      <c r="AAQ8" s="153"/>
      <c r="AAR8" s="153"/>
      <c r="AAS8" s="153"/>
      <c r="AAT8" s="153"/>
      <c r="AAU8" s="153"/>
      <c r="AAV8" s="153"/>
      <c r="AAW8" s="153"/>
      <c r="AAX8" s="153"/>
      <c r="AAY8" s="153"/>
      <c r="AAZ8" s="153"/>
      <c r="ABA8" s="153"/>
      <c r="ABB8" s="153"/>
      <c r="ABC8" s="153"/>
      <c r="ABD8" s="153"/>
      <c r="ABE8" s="153"/>
      <c r="ABF8" s="153"/>
      <c r="ABG8" s="153"/>
      <c r="ABH8" s="153"/>
      <c r="ABI8" s="153"/>
      <c r="ABJ8" s="153"/>
      <c r="ABK8" s="153"/>
      <c r="ABL8" s="153"/>
      <c r="ABM8" s="153"/>
      <c r="ABN8" s="153"/>
      <c r="ABO8" s="153"/>
      <c r="ABP8" s="153"/>
      <c r="ABQ8" s="153"/>
      <c r="ABR8" s="153"/>
      <c r="ABS8" s="153"/>
      <c r="ABT8" s="153"/>
      <c r="ABU8" s="153"/>
      <c r="ABV8" s="153"/>
      <c r="ABW8" s="153"/>
      <c r="ABX8" s="153"/>
      <c r="ABY8" s="153"/>
      <c r="ABZ8" s="153"/>
      <c r="ACA8" s="153"/>
      <c r="ACB8" s="153"/>
      <c r="ACC8" s="153"/>
      <c r="ACD8" s="153"/>
      <c r="ACE8" s="153"/>
      <c r="ACF8" s="153"/>
      <c r="ACG8" s="153"/>
      <c r="ACH8" s="153"/>
      <c r="ACI8" s="153"/>
      <c r="ACJ8" s="153"/>
      <c r="ACK8" s="153"/>
      <c r="ACL8" s="153"/>
      <c r="ACM8" s="153"/>
      <c r="ACN8" s="153"/>
      <c r="ACO8" s="153"/>
      <c r="ACP8" s="153"/>
      <c r="ACQ8" s="153"/>
      <c r="ACR8" s="153"/>
      <c r="ACS8" s="153"/>
      <c r="ACT8" s="153"/>
      <c r="ACU8" s="153"/>
      <c r="ACV8" s="153"/>
      <c r="ACW8" s="153"/>
      <c r="ACX8" s="153"/>
      <c r="ACY8" s="153"/>
      <c r="ACZ8" s="153"/>
      <c r="ADA8" s="153"/>
      <c r="ADB8" s="153"/>
      <c r="ADC8" s="153"/>
      <c r="ADD8" s="153"/>
      <c r="ADE8" s="153"/>
      <c r="ADF8" s="153"/>
      <c r="ADG8" s="153"/>
      <c r="ADH8" s="153"/>
      <c r="ADI8" s="153"/>
      <c r="ADJ8" s="153"/>
      <c r="ADK8" s="153"/>
      <c r="ADL8" s="153"/>
      <c r="ADM8" s="153"/>
      <c r="ADN8" s="153"/>
      <c r="ADO8" s="153"/>
      <c r="ADP8" s="153"/>
      <c r="ADQ8" s="153"/>
      <c r="ADR8" s="153"/>
      <c r="ADS8" s="153"/>
      <c r="ADT8" s="153"/>
      <c r="ADU8" s="153"/>
      <c r="ADV8" s="153"/>
      <c r="ADW8" s="153"/>
      <c r="ADX8" s="153"/>
      <c r="ADY8" s="153"/>
      <c r="ADZ8" s="153"/>
      <c r="AEA8" s="153"/>
      <c r="AEB8" s="153"/>
      <c r="AEC8" s="153"/>
      <c r="AED8" s="153"/>
      <c r="AEE8" s="153"/>
      <c r="AEF8" s="153"/>
      <c r="AEG8" s="153"/>
      <c r="AEH8" s="153"/>
      <c r="AEI8" s="153"/>
      <c r="AEJ8" s="153"/>
      <c r="AEK8" s="153"/>
      <c r="AEL8" s="153"/>
      <c r="AEM8" s="153"/>
      <c r="AEN8" s="153"/>
      <c r="AEO8" s="153"/>
      <c r="AEP8" s="153"/>
      <c r="AEQ8" s="153"/>
      <c r="AER8" s="153"/>
      <c r="AES8" s="153"/>
      <c r="AET8" s="153"/>
      <c r="AEU8" s="153"/>
      <c r="AEV8" s="153"/>
      <c r="AEW8" s="153"/>
      <c r="AEX8" s="153"/>
      <c r="AEY8" s="153"/>
      <c r="AEZ8" s="153"/>
      <c r="AFA8" s="153"/>
      <c r="AFB8" s="153"/>
      <c r="AFC8" s="153"/>
      <c r="AFD8" s="153"/>
      <c r="AFE8" s="153"/>
      <c r="AFF8" s="153"/>
      <c r="AFG8" s="153"/>
      <c r="AFH8" s="153"/>
      <c r="AFI8" s="153"/>
      <c r="AFJ8" s="153"/>
      <c r="AFK8" s="153"/>
      <c r="AFL8" s="153"/>
      <c r="AFM8" s="153"/>
      <c r="AFN8" s="153"/>
      <c r="AFO8" s="153"/>
      <c r="AFP8" s="153"/>
      <c r="AFQ8" s="153"/>
      <c r="AFR8" s="153"/>
      <c r="AFS8" s="153"/>
      <c r="AFT8" s="153"/>
      <c r="AFU8" s="153"/>
      <c r="AFV8" s="153"/>
      <c r="AFW8" s="153"/>
      <c r="AFX8" s="153"/>
      <c r="AFY8" s="153"/>
      <c r="AFZ8" s="153"/>
      <c r="AGA8" s="153"/>
      <c r="AGB8" s="153"/>
      <c r="AGC8" s="153"/>
      <c r="AGD8" s="153"/>
      <c r="AGE8" s="153"/>
      <c r="AGF8" s="153"/>
      <c r="AGG8" s="153"/>
      <c r="AGH8" s="153"/>
      <c r="AGI8" s="153"/>
      <c r="AGJ8" s="153"/>
      <c r="AGK8" s="153"/>
      <c r="AGL8" s="153"/>
      <c r="AGM8" s="153"/>
      <c r="AGN8" s="153"/>
      <c r="AGO8" s="153"/>
      <c r="AGP8" s="153"/>
      <c r="AGQ8" s="153"/>
      <c r="AGR8" s="153"/>
      <c r="AGS8" s="153"/>
      <c r="AGT8" s="153"/>
      <c r="AGU8" s="153"/>
      <c r="AGV8" s="153"/>
      <c r="AGW8" s="153"/>
      <c r="AGX8" s="153"/>
      <c r="AGY8" s="153"/>
      <c r="AGZ8" s="153"/>
      <c r="AHA8" s="153"/>
      <c r="AHB8" s="153"/>
      <c r="AHC8" s="153"/>
      <c r="AHD8" s="153"/>
      <c r="AHE8" s="153"/>
      <c r="AHF8" s="153"/>
      <c r="AHG8" s="153"/>
      <c r="AHH8" s="153"/>
      <c r="AHI8" s="153"/>
      <c r="AHJ8" s="153"/>
      <c r="AHK8" s="153"/>
      <c r="AHL8" s="153"/>
      <c r="AHM8" s="153"/>
      <c r="AHN8" s="153"/>
      <c r="AHO8" s="153"/>
      <c r="AHP8" s="153"/>
      <c r="AHQ8" s="153"/>
      <c r="AHR8" s="153"/>
      <c r="AHS8" s="153"/>
      <c r="AHT8" s="153"/>
      <c r="AHU8" s="153"/>
      <c r="AHV8" s="153"/>
      <c r="AHW8" s="153"/>
      <c r="AHX8" s="153"/>
      <c r="AHY8" s="153"/>
      <c r="AHZ8" s="153"/>
      <c r="AIA8" s="153"/>
      <c r="AIB8" s="153"/>
      <c r="AIC8" s="153"/>
      <c r="AID8" s="153"/>
      <c r="AIE8" s="153"/>
      <c r="AIF8" s="153"/>
      <c r="AIG8" s="153"/>
      <c r="AIH8" s="153"/>
      <c r="AII8" s="153"/>
      <c r="AIJ8" s="153"/>
      <c r="AIK8" s="153"/>
      <c r="AIL8" s="153"/>
      <c r="AIM8" s="153"/>
      <c r="AIN8" s="153"/>
      <c r="AIO8" s="153"/>
      <c r="AIP8" s="153"/>
      <c r="AIQ8" s="153"/>
      <c r="AIR8" s="153"/>
      <c r="AIS8" s="153"/>
      <c r="AIT8" s="153"/>
      <c r="AIU8" s="153"/>
      <c r="AIV8" s="153"/>
      <c r="AIW8" s="153"/>
      <c r="AIX8" s="153"/>
      <c r="AIY8" s="153"/>
      <c r="AIZ8" s="153"/>
      <c r="AJA8" s="153"/>
      <c r="AJB8" s="153"/>
      <c r="AJC8" s="153"/>
      <c r="AJD8" s="153"/>
      <c r="AJE8" s="153"/>
      <c r="AJF8" s="153"/>
      <c r="AJG8" s="153"/>
      <c r="AJH8" s="153"/>
      <c r="AJI8" s="153"/>
      <c r="AJJ8" s="153"/>
      <c r="AJK8" s="153"/>
      <c r="AJL8" s="153"/>
      <c r="AJM8" s="153"/>
      <c r="AJN8" s="153"/>
      <c r="AJO8" s="153"/>
      <c r="AJP8" s="153"/>
      <c r="AJQ8" s="153"/>
      <c r="AJR8" s="153"/>
      <c r="AJS8" s="153"/>
      <c r="AJT8" s="153"/>
      <c r="AJU8" s="153"/>
      <c r="AJV8" s="153"/>
      <c r="AJW8" s="153"/>
      <c r="AJX8" s="153"/>
      <c r="AJY8" s="153"/>
      <c r="AJZ8" s="153"/>
      <c r="AKA8" s="153"/>
      <c r="AKB8" s="153"/>
      <c r="AKC8" s="153"/>
      <c r="AKD8" s="153"/>
      <c r="AKE8" s="153"/>
      <c r="AKF8" s="153"/>
      <c r="AKG8" s="153"/>
      <c r="AKH8" s="153"/>
      <c r="AKI8" s="153"/>
      <c r="AKJ8" s="153"/>
      <c r="AKK8" s="153"/>
      <c r="AKL8" s="153"/>
      <c r="AKM8" s="153"/>
      <c r="AKN8" s="153"/>
      <c r="AKO8" s="153"/>
      <c r="AKP8" s="153"/>
      <c r="AKQ8" s="153"/>
      <c r="AKR8" s="153"/>
      <c r="AKS8" s="153"/>
      <c r="AKT8" s="153"/>
      <c r="AKU8" s="153"/>
      <c r="AKV8" s="153"/>
      <c r="AKW8" s="153"/>
      <c r="AKX8" s="153"/>
      <c r="AKY8" s="153"/>
      <c r="AKZ8" s="153"/>
      <c r="ALA8" s="153"/>
      <c r="ALB8" s="153"/>
      <c r="ALC8" s="153"/>
      <c r="ALD8" s="153"/>
      <c r="ALE8" s="153"/>
      <c r="ALF8" s="153"/>
      <c r="ALG8" s="153"/>
      <c r="ALH8" s="153"/>
      <c r="ALI8" s="153"/>
      <c r="ALJ8" s="153"/>
      <c r="ALK8" s="153"/>
      <c r="ALL8" s="153"/>
      <c r="ALM8" s="153"/>
      <c r="ALN8" s="153"/>
      <c r="ALO8" s="153"/>
      <c r="ALP8" s="153"/>
      <c r="ALQ8" s="153"/>
      <c r="ALR8" s="153"/>
      <c r="ALS8" s="153"/>
      <c r="ALT8" s="153"/>
      <c r="ALU8" s="153"/>
      <c r="ALV8" s="153"/>
      <c r="ALW8" s="153"/>
      <c r="ALX8" s="153"/>
      <c r="ALY8" s="153"/>
      <c r="ALZ8" s="153"/>
      <c r="AMA8" s="153"/>
      <c r="AMB8" s="153"/>
      <c r="AMC8" s="153"/>
      <c r="AMD8" s="153"/>
      <c r="AME8" s="153"/>
      <c r="AMF8" s="153"/>
      <c r="AMG8" s="153"/>
      <c r="AMH8" s="153"/>
      <c r="AMI8" s="153"/>
      <c r="AMJ8" s="153"/>
      <c r="AMK8" s="153"/>
    </row>
    <row r="9" spans="1:1025" s="417" customFormat="1" ht="11.25" x14ac:dyDescent="0.2">
      <c r="A9" s="69" t="s">
        <v>819</v>
      </c>
      <c r="B9" s="335" t="s">
        <v>233</v>
      </c>
      <c r="C9" s="376">
        <v>926389.67</v>
      </c>
      <c r="D9" s="376">
        <f>755681.67</f>
        <v>755681.67</v>
      </c>
      <c r="E9" s="369">
        <f t="shared" si="0"/>
        <v>453409.00200000004</v>
      </c>
      <c r="F9" s="316">
        <f t="shared" si="1"/>
        <v>-175492.10100000002</v>
      </c>
      <c r="G9" s="316">
        <f>D9*0.25</f>
        <v>188920.41750000001</v>
      </c>
      <c r="H9" s="316">
        <f t="shared" si="2"/>
        <v>-73121.708749999991</v>
      </c>
      <c r="I9" s="369"/>
      <c r="J9" s="366"/>
      <c r="K9" s="257">
        <f t="shared" si="3"/>
        <v>113352.25050000001</v>
      </c>
      <c r="L9" s="316">
        <f t="shared" si="4"/>
        <v>2446.4582500000106</v>
      </c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3"/>
      <c r="EB9" s="153"/>
      <c r="EC9" s="153"/>
      <c r="ED9" s="153"/>
      <c r="EE9" s="153"/>
      <c r="EF9" s="153"/>
      <c r="EG9" s="153"/>
      <c r="EH9" s="153"/>
      <c r="EI9" s="153"/>
      <c r="EJ9" s="153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153"/>
      <c r="JG9" s="153"/>
      <c r="JH9" s="153"/>
      <c r="JI9" s="153"/>
      <c r="JJ9" s="153"/>
      <c r="JK9" s="153"/>
      <c r="JL9" s="153"/>
      <c r="JM9" s="153"/>
      <c r="JN9" s="153"/>
      <c r="JO9" s="153"/>
      <c r="JP9" s="153"/>
      <c r="JQ9" s="153"/>
      <c r="JR9" s="153"/>
      <c r="JS9" s="153"/>
      <c r="JT9" s="153"/>
      <c r="JU9" s="153"/>
      <c r="JV9" s="153"/>
      <c r="JW9" s="153"/>
      <c r="JX9" s="153"/>
      <c r="JY9" s="153"/>
      <c r="JZ9" s="153"/>
      <c r="KA9" s="153"/>
      <c r="KB9" s="153"/>
      <c r="KC9" s="153"/>
      <c r="KD9" s="153"/>
      <c r="KE9" s="153"/>
      <c r="KF9" s="153"/>
      <c r="KG9" s="153"/>
      <c r="KH9" s="153"/>
      <c r="KI9" s="153"/>
      <c r="KJ9" s="153"/>
      <c r="KK9" s="153"/>
      <c r="KL9" s="153"/>
      <c r="KM9" s="153"/>
      <c r="KN9" s="153"/>
      <c r="KO9" s="153"/>
      <c r="KP9" s="153"/>
      <c r="KQ9" s="153"/>
      <c r="KR9" s="153"/>
      <c r="KS9" s="153"/>
      <c r="KT9" s="153"/>
      <c r="KU9" s="153"/>
      <c r="KV9" s="153"/>
      <c r="KW9" s="153"/>
      <c r="KX9" s="153"/>
      <c r="KY9" s="153"/>
      <c r="KZ9" s="153"/>
      <c r="LA9" s="153"/>
      <c r="LB9" s="153"/>
      <c r="LC9" s="153"/>
      <c r="LD9" s="153"/>
      <c r="LE9" s="153"/>
      <c r="LF9" s="153"/>
      <c r="LG9" s="153"/>
      <c r="LH9" s="153"/>
      <c r="LI9" s="153"/>
      <c r="LJ9" s="153"/>
      <c r="LK9" s="153"/>
      <c r="LL9" s="153"/>
      <c r="LM9" s="153"/>
      <c r="LN9" s="153"/>
      <c r="LO9" s="153"/>
      <c r="LP9" s="153"/>
      <c r="LQ9" s="153"/>
      <c r="LR9" s="153"/>
      <c r="LS9" s="153"/>
      <c r="LT9" s="153"/>
      <c r="LU9" s="153"/>
      <c r="LV9" s="153"/>
      <c r="LW9" s="153"/>
      <c r="LX9" s="153"/>
      <c r="LY9" s="153"/>
      <c r="LZ9" s="153"/>
      <c r="MA9" s="153"/>
      <c r="MB9" s="153"/>
      <c r="MC9" s="153"/>
      <c r="MD9" s="153"/>
      <c r="ME9" s="153"/>
      <c r="MF9" s="153"/>
      <c r="MG9" s="153"/>
      <c r="MH9" s="153"/>
      <c r="MI9" s="153"/>
      <c r="MJ9" s="153"/>
      <c r="MK9" s="153"/>
      <c r="ML9" s="153"/>
      <c r="MM9" s="153"/>
      <c r="MN9" s="153"/>
      <c r="MO9" s="153"/>
      <c r="MP9" s="153"/>
      <c r="MQ9" s="153"/>
      <c r="MR9" s="153"/>
      <c r="MS9" s="153"/>
      <c r="MT9" s="153"/>
      <c r="MU9" s="153"/>
      <c r="MV9" s="153"/>
      <c r="MW9" s="153"/>
      <c r="MX9" s="153"/>
      <c r="MY9" s="153"/>
      <c r="MZ9" s="153"/>
      <c r="NA9" s="153"/>
      <c r="NB9" s="153"/>
      <c r="NC9" s="153"/>
      <c r="ND9" s="153"/>
      <c r="NE9" s="153"/>
      <c r="NF9" s="153"/>
      <c r="NG9" s="153"/>
      <c r="NH9" s="153"/>
      <c r="NI9" s="153"/>
      <c r="NJ9" s="153"/>
      <c r="NK9" s="153"/>
      <c r="NL9" s="153"/>
      <c r="NM9" s="153"/>
      <c r="NN9" s="153"/>
      <c r="NO9" s="153"/>
      <c r="NP9" s="153"/>
      <c r="NQ9" s="153"/>
      <c r="NR9" s="153"/>
      <c r="NS9" s="153"/>
      <c r="NT9" s="153"/>
      <c r="NU9" s="153"/>
      <c r="NV9" s="153"/>
      <c r="NW9" s="153"/>
      <c r="NX9" s="153"/>
      <c r="NY9" s="153"/>
      <c r="NZ9" s="153"/>
      <c r="OA9" s="153"/>
      <c r="OB9" s="153"/>
      <c r="OC9" s="153"/>
      <c r="OD9" s="153"/>
      <c r="OE9" s="153"/>
      <c r="OF9" s="153"/>
      <c r="OG9" s="153"/>
      <c r="OH9" s="153"/>
      <c r="OI9" s="153"/>
      <c r="OJ9" s="153"/>
      <c r="OK9" s="153"/>
      <c r="OL9" s="153"/>
      <c r="OM9" s="153"/>
      <c r="ON9" s="153"/>
      <c r="OO9" s="153"/>
      <c r="OP9" s="153"/>
      <c r="OQ9" s="153"/>
      <c r="OR9" s="153"/>
      <c r="OS9" s="153"/>
      <c r="OT9" s="153"/>
      <c r="OU9" s="153"/>
      <c r="OV9" s="153"/>
      <c r="OW9" s="153"/>
      <c r="OX9" s="153"/>
      <c r="OY9" s="153"/>
      <c r="OZ9" s="153"/>
      <c r="PA9" s="153"/>
      <c r="PB9" s="153"/>
      <c r="PC9" s="153"/>
      <c r="PD9" s="153"/>
      <c r="PE9" s="153"/>
      <c r="PF9" s="153"/>
      <c r="PG9" s="153"/>
      <c r="PH9" s="153"/>
      <c r="PI9" s="153"/>
      <c r="PJ9" s="153"/>
      <c r="PK9" s="153"/>
      <c r="PL9" s="153"/>
      <c r="PM9" s="153"/>
      <c r="PN9" s="153"/>
      <c r="PO9" s="153"/>
      <c r="PP9" s="153"/>
      <c r="PQ9" s="153"/>
      <c r="PR9" s="153"/>
      <c r="PS9" s="153"/>
      <c r="PT9" s="153"/>
      <c r="PU9" s="153"/>
      <c r="PV9" s="153"/>
      <c r="PW9" s="153"/>
      <c r="PX9" s="153"/>
      <c r="PY9" s="153"/>
      <c r="PZ9" s="153"/>
      <c r="QA9" s="153"/>
      <c r="QB9" s="153"/>
      <c r="QC9" s="153"/>
      <c r="QD9" s="153"/>
      <c r="QE9" s="153"/>
      <c r="QF9" s="153"/>
      <c r="QG9" s="153"/>
      <c r="QH9" s="153"/>
      <c r="QI9" s="153"/>
      <c r="QJ9" s="153"/>
      <c r="QK9" s="153"/>
      <c r="QL9" s="153"/>
      <c r="QM9" s="153"/>
      <c r="QN9" s="153"/>
      <c r="QO9" s="153"/>
      <c r="QP9" s="153"/>
      <c r="QQ9" s="153"/>
      <c r="QR9" s="153"/>
      <c r="QS9" s="153"/>
      <c r="QT9" s="153"/>
      <c r="QU9" s="153"/>
      <c r="QV9" s="153"/>
      <c r="QW9" s="153"/>
      <c r="QX9" s="153"/>
      <c r="QY9" s="153"/>
      <c r="QZ9" s="153"/>
      <c r="RA9" s="153"/>
      <c r="RB9" s="153"/>
      <c r="RC9" s="153"/>
      <c r="RD9" s="153"/>
      <c r="RE9" s="153"/>
      <c r="RF9" s="153"/>
      <c r="RG9" s="153"/>
      <c r="RH9" s="153"/>
      <c r="RI9" s="153"/>
      <c r="RJ9" s="153"/>
      <c r="RK9" s="153"/>
      <c r="RL9" s="153"/>
      <c r="RM9" s="153"/>
      <c r="RN9" s="153"/>
      <c r="RO9" s="153"/>
      <c r="RP9" s="153"/>
      <c r="RQ9" s="153"/>
      <c r="RR9" s="153"/>
      <c r="RS9" s="153"/>
      <c r="RT9" s="153"/>
      <c r="RU9" s="153"/>
      <c r="RV9" s="153"/>
      <c r="RW9" s="153"/>
      <c r="RX9" s="153"/>
      <c r="RY9" s="153"/>
      <c r="RZ9" s="153"/>
      <c r="SA9" s="153"/>
      <c r="SB9" s="153"/>
      <c r="SC9" s="153"/>
      <c r="SD9" s="153"/>
      <c r="SE9" s="153"/>
      <c r="SF9" s="153"/>
      <c r="SG9" s="153"/>
      <c r="SH9" s="153"/>
      <c r="SI9" s="153"/>
      <c r="SJ9" s="153"/>
      <c r="SK9" s="153"/>
      <c r="SL9" s="153"/>
      <c r="SM9" s="153"/>
      <c r="SN9" s="153"/>
      <c r="SO9" s="153"/>
      <c r="SP9" s="153"/>
      <c r="SQ9" s="153"/>
      <c r="SR9" s="153"/>
      <c r="SS9" s="153"/>
      <c r="ST9" s="153"/>
      <c r="SU9" s="153"/>
      <c r="SV9" s="153"/>
      <c r="SW9" s="153"/>
      <c r="SX9" s="153"/>
      <c r="SY9" s="153"/>
      <c r="SZ9" s="153"/>
      <c r="TA9" s="153"/>
      <c r="TB9" s="153"/>
      <c r="TC9" s="153"/>
      <c r="TD9" s="153"/>
      <c r="TE9" s="153"/>
      <c r="TF9" s="153"/>
      <c r="TG9" s="153"/>
      <c r="TH9" s="153"/>
      <c r="TI9" s="153"/>
      <c r="TJ9" s="153"/>
      <c r="TK9" s="153"/>
      <c r="TL9" s="153"/>
      <c r="TM9" s="153"/>
      <c r="TN9" s="153"/>
      <c r="TO9" s="153"/>
      <c r="TP9" s="153"/>
      <c r="TQ9" s="153"/>
      <c r="TR9" s="153"/>
      <c r="TS9" s="153"/>
      <c r="TT9" s="153"/>
      <c r="TU9" s="153"/>
      <c r="TV9" s="153"/>
      <c r="TW9" s="153"/>
      <c r="TX9" s="153"/>
      <c r="TY9" s="153"/>
      <c r="TZ9" s="153"/>
      <c r="UA9" s="153"/>
      <c r="UB9" s="153"/>
      <c r="UC9" s="153"/>
      <c r="UD9" s="153"/>
      <c r="UE9" s="153"/>
      <c r="UF9" s="153"/>
      <c r="UG9" s="153"/>
      <c r="UH9" s="153"/>
      <c r="UI9" s="153"/>
      <c r="UJ9" s="153"/>
      <c r="UK9" s="153"/>
      <c r="UL9" s="153"/>
      <c r="UM9" s="153"/>
      <c r="UN9" s="153"/>
      <c r="UO9" s="153"/>
      <c r="UP9" s="153"/>
      <c r="UQ9" s="153"/>
      <c r="UR9" s="153"/>
      <c r="US9" s="153"/>
      <c r="UT9" s="153"/>
      <c r="UU9" s="153"/>
      <c r="UV9" s="153"/>
      <c r="UW9" s="153"/>
      <c r="UX9" s="153"/>
      <c r="UY9" s="153"/>
      <c r="UZ9" s="153"/>
      <c r="VA9" s="153"/>
      <c r="VB9" s="153"/>
      <c r="VC9" s="153"/>
      <c r="VD9" s="153"/>
      <c r="VE9" s="153"/>
      <c r="VF9" s="153"/>
      <c r="VG9" s="153"/>
      <c r="VH9" s="153"/>
      <c r="VI9" s="153"/>
      <c r="VJ9" s="153"/>
      <c r="VK9" s="153"/>
      <c r="VL9" s="153"/>
      <c r="VM9" s="153"/>
      <c r="VN9" s="153"/>
      <c r="VO9" s="153"/>
      <c r="VP9" s="153"/>
      <c r="VQ9" s="153"/>
      <c r="VR9" s="153"/>
      <c r="VS9" s="153"/>
      <c r="VT9" s="153"/>
      <c r="VU9" s="153"/>
      <c r="VV9" s="153"/>
      <c r="VW9" s="153"/>
      <c r="VX9" s="153"/>
      <c r="VY9" s="153"/>
      <c r="VZ9" s="153"/>
      <c r="WA9" s="153"/>
      <c r="WB9" s="153"/>
      <c r="WC9" s="153"/>
      <c r="WD9" s="153"/>
      <c r="WE9" s="153"/>
      <c r="WF9" s="153"/>
      <c r="WG9" s="153"/>
      <c r="WH9" s="153"/>
      <c r="WI9" s="153"/>
      <c r="WJ9" s="153"/>
      <c r="WK9" s="153"/>
      <c r="WL9" s="153"/>
      <c r="WM9" s="153"/>
      <c r="WN9" s="153"/>
      <c r="WO9" s="153"/>
      <c r="WP9" s="153"/>
      <c r="WQ9" s="153"/>
      <c r="WR9" s="153"/>
      <c r="WS9" s="153"/>
      <c r="WT9" s="153"/>
      <c r="WU9" s="153"/>
      <c r="WV9" s="153"/>
      <c r="WW9" s="153"/>
      <c r="WX9" s="153"/>
      <c r="WY9" s="153"/>
      <c r="WZ9" s="153"/>
      <c r="XA9" s="153"/>
      <c r="XB9" s="153"/>
      <c r="XC9" s="153"/>
      <c r="XD9" s="153"/>
      <c r="XE9" s="153"/>
      <c r="XF9" s="153"/>
      <c r="XG9" s="153"/>
      <c r="XH9" s="153"/>
      <c r="XI9" s="153"/>
      <c r="XJ9" s="153"/>
      <c r="XK9" s="153"/>
      <c r="XL9" s="153"/>
      <c r="XM9" s="153"/>
      <c r="XN9" s="153"/>
      <c r="XO9" s="153"/>
      <c r="XP9" s="153"/>
      <c r="XQ9" s="153"/>
      <c r="XR9" s="153"/>
      <c r="XS9" s="153"/>
      <c r="XT9" s="153"/>
      <c r="XU9" s="153"/>
      <c r="XV9" s="153"/>
      <c r="XW9" s="153"/>
      <c r="XX9" s="153"/>
      <c r="XY9" s="153"/>
      <c r="XZ9" s="153"/>
      <c r="YA9" s="153"/>
      <c r="YB9" s="153"/>
      <c r="YC9" s="153"/>
      <c r="YD9" s="153"/>
      <c r="YE9" s="153"/>
      <c r="YF9" s="153"/>
      <c r="YG9" s="153"/>
      <c r="YH9" s="153"/>
      <c r="YI9" s="153"/>
      <c r="YJ9" s="153"/>
      <c r="YK9" s="153"/>
      <c r="YL9" s="153"/>
      <c r="YM9" s="153"/>
      <c r="YN9" s="153"/>
      <c r="YO9" s="153"/>
      <c r="YP9" s="153"/>
      <c r="YQ9" s="153"/>
      <c r="YR9" s="153"/>
      <c r="YS9" s="153"/>
      <c r="YT9" s="153"/>
      <c r="YU9" s="153"/>
      <c r="YV9" s="153"/>
      <c r="YW9" s="153"/>
      <c r="YX9" s="153"/>
      <c r="YY9" s="153"/>
      <c r="YZ9" s="153"/>
      <c r="ZA9" s="153"/>
      <c r="ZB9" s="153"/>
      <c r="ZC9" s="153"/>
      <c r="ZD9" s="153"/>
      <c r="ZE9" s="153"/>
      <c r="ZF9" s="153"/>
      <c r="ZG9" s="153"/>
      <c r="ZH9" s="153"/>
      <c r="ZI9" s="153"/>
      <c r="ZJ9" s="153"/>
      <c r="ZK9" s="153"/>
      <c r="ZL9" s="153"/>
      <c r="ZM9" s="153"/>
      <c r="ZN9" s="153"/>
      <c r="ZO9" s="153"/>
      <c r="ZP9" s="153"/>
      <c r="ZQ9" s="153"/>
      <c r="ZR9" s="153"/>
      <c r="ZS9" s="153"/>
      <c r="ZT9" s="153"/>
      <c r="ZU9" s="153"/>
      <c r="ZV9" s="153"/>
      <c r="ZW9" s="153"/>
      <c r="ZX9" s="153"/>
      <c r="ZY9" s="153"/>
      <c r="ZZ9" s="153"/>
      <c r="AAA9" s="153"/>
      <c r="AAB9" s="153"/>
      <c r="AAC9" s="153"/>
      <c r="AAD9" s="153"/>
      <c r="AAE9" s="153"/>
      <c r="AAF9" s="153"/>
      <c r="AAG9" s="153"/>
      <c r="AAH9" s="153"/>
      <c r="AAI9" s="153"/>
      <c r="AAJ9" s="153"/>
      <c r="AAK9" s="153"/>
      <c r="AAL9" s="153"/>
      <c r="AAM9" s="153"/>
      <c r="AAN9" s="153"/>
      <c r="AAO9" s="153"/>
      <c r="AAP9" s="153"/>
      <c r="AAQ9" s="153"/>
      <c r="AAR9" s="153"/>
      <c r="AAS9" s="153"/>
      <c r="AAT9" s="153"/>
      <c r="AAU9" s="153"/>
      <c r="AAV9" s="153"/>
      <c r="AAW9" s="153"/>
      <c r="AAX9" s="153"/>
      <c r="AAY9" s="153"/>
      <c r="AAZ9" s="153"/>
      <c r="ABA9" s="153"/>
      <c r="ABB9" s="153"/>
      <c r="ABC9" s="153"/>
      <c r="ABD9" s="153"/>
      <c r="ABE9" s="153"/>
      <c r="ABF9" s="153"/>
      <c r="ABG9" s="153"/>
      <c r="ABH9" s="153"/>
      <c r="ABI9" s="153"/>
      <c r="ABJ9" s="153"/>
      <c r="ABK9" s="153"/>
      <c r="ABL9" s="153"/>
      <c r="ABM9" s="153"/>
      <c r="ABN9" s="153"/>
      <c r="ABO9" s="153"/>
      <c r="ABP9" s="153"/>
      <c r="ABQ9" s="153"/>
      <c r="ABR9" s="153"/>
      <c r="ABS9" s="153"/>
      <c r="ABT9" s="153"/>
      <c r="ABU9" s="153"/>
      <c r="ABV9" s="153"/>
      <c r="ABW9" s="153"/>
      <c r="ABX9" s="153"/>
      <c r="ABY9" s="153"/>
      <c r="ABZ9" s="153"/>
      <c r="ACA9" s="153"/>
      <c r="ACB9" s="153"/>
      <c r="ACC9" s="153"/>
      <c r="ACD9" s="153"/>
      <c r="ACE9" s="153"/>
      <c r="ACF9" s="153"/>
      <c r="ACG9" s="153"/>
      <c r="ACH9" s="153"/>
      <c r="ACI9" s="153"/>
      <c r="ACJ9" s="153"/>
      <c r="ACK9" s="153"/>
      <c r="ACL9" s="153"/>
      <c r="ACM9" s="153"/>
      <c r="ACN9" s="153"/>
      <c r="ACO9" s="153"/>
      <c r="ACP9" s="153"/>
      <c r="ACQ9" s="153"/>
      <c r="ACR9" s="153"/>
      <c r="ACS9" s="153"/>
      <c r="ACT9" s="153"/>
      <c r="ACU9" s="153"/>
      <c r="ACV9" s="153"/>
      <c r="ACW9" s="153"/>
      <c r="ACX9" s="153"/>
      <c r="ACY9" s="153"/>
      <c r="ACZ9" s="153"/>
      <c r="ADA9" s="153"/>
      <c r="ADB9" s="153"/>
      <c r="ADC9" s="153"/>
      <c r="ADD9" s="153"/>
      <c r="ADE9" s="153"/>
      <c r="ADF9" s="153"/>
      <c r="ADG9" s="153"/>
      <c r="ADH9" s="153"/>
      <c r="ADI9" s="153"/>
      <c r="ADJ9" s="153"/>
      <c r="ADK9" s="153"/>
      <c r="ADL9" s="153"/>
      <c r="ADM9" s="153"/>
      <c r="ADN9" s="153"/>
      <c r="ADO9" s="153"/>
      <c r="ADP9" s="153"/>
      <c r="ADQ9" s="153"/>
      <c r="ADR9" s="153"/>
      <c r="ADS9" s="153"/>
      <c r="ADT9" s="153"/>
      <c r="ADU9" s="153"/>
      <c r="ADV9" s="153"/>
      <c r="ADW9" s="153"/>
      <c r="ADX9" s="153"/>
      <c r="ADY9" s="153"/>
      <c r="ADZ9" s="153"/>
      <c r="AEA9" s="153"/>
      <c r="AEB9" s="153"/>
      <c r="AEC9" s="153"/>
      <c r="AED9" s="153"/>
      <c r="AEE9" s="153"/>
      <c r="AEF9" s="153"/>
      <c r="AEG9" s="153"/>
      <c r="AEH9" s="153"/>
      <c r="AEI9" s="153"/>
      <c r="AEJ9" s="153"/>
      <c r="AEK9" s="153"/>
      <c r="AEL9" s="153"/>
      <c r="AEM9" s="153"/>
      <c r="AEN9" s="153"/>
      <c r="AEO9" s="153"/>
      <c r="AEP9" s="153"/>
      <c r="AEQ9" s="153"/>
      <c r="AER9" s="153"/>
      <c r="AES9" s="153"/>
      <c r="AET9" s="153"/>
      <c r="AEU9" s="153"/>
      <c r="AEV9" s="153"/>
      <c r="AEW9" s="153"/>
      <c r="AEX9" s="153"/>
      <c r="AEY9" s="153"/>
      <c r="AEZ9" s="153"/>
      <c r="AFA9" s="153"/>
      <c r="AFB9" s="153"/>
      <c r="AFC9" s="153"/>
      <c r="AFD9" s="153"/>
      <c r="AFE9" s="153"/>
      <c r="AFF9" s="153"/>
      <c r="AFG9" s="153"/>
      <c r="AFH9" s="153"/>
      <c r="AFI9" s="153"/>
      <c r="AFJ9" s="153"/>
      <c r="AFK9" s="153"/>
      <c r="AFL9" s="153"/>
      <c r="AFM9" s="153"/>
      <c r="AFN9" s="153"/>
      <c r="AFO9" s="153"/>
      <c r="AFP9" s="153"/>
      <c r="AFQ9" s="153"/>
      <c r="AFR9" s="153"/>
      <c r="AFS9" s="153"/>
      <c r="AFT9" s="153"/>
      <c r="AFU9" s="153"/>
      <c r="AFV9" s="153"/>
      <c r="AFW9" s="153"/>
      <c r="AFX9" s="153"/>
      <c r="AFY9" s="153"/>
      <c r="AFZ9" s="153"/>
      <c r="AGA9" s="153"/>
      <c r="AGB9" s="153"/>
      <c r="AGC9" s="153"/>
      <c r="AGD9" s="153"/>
      <c r="AGE9" s="153"/>
      <c r="AGF9" s="153"/>
      <c r="AGG9" s="153"/>
      <c r="AGH9" s="153"/>
      <c r="AGI9" s="153"/>
      <c r="AGJ9" s="153"/>
      <c r="AGK9" s="153"/>
      <c r="AGL9" s="153"/>
      <c r="AGM9" s="153"/>
      <c r="AGN9" s="153"/>
      <c r="AGO9" s="153"/>
      <c r="AGP9" s="153"/>
      <c r="AGQ9" s="153"/>
      <c r="AGR9" s="153"/>
      <c r="AGS9" s="153"/>
      <c r="AGT9" s="153"/>
      <c r="AGU9" s="153"/>
      <c r="AGV9" s="153"/>
      <c r="AGW9" s="153"/>
      <c r="AGX9" s="153"/>
      <c r="AGY9" s="153"/>
      <c r="AGZ9" s="153"/>
      <c r="AHA9" s="153"/>
      <c r="AHB9" s="153"/>
      <c r="AHC9" s="153"/>
      <c r="AHD9" s="153"/>
      <c r="AHE9" s="153"/>
      <c r="AHF9" s="153"/>
      <c r="AHG9" s="153"/>
      <c r="AHH9" s="153"/>
      <c r="AHI9" s="153"/>
      <c r="AHJ9" s="153"/>
      <c r="AHK9" s="153"/>
      <c r="AHL9" s="153"/>
      <c r="AHM9" s="153"/>
      <c r="AHN9" s="153"/>
      <c r="AHO9" s="153"/>
      <c r="AHP9" s="153"/>
      <c r="AHQ9" s="153"/>
      <c r="AHR9" s="153"/>
      <c r="AHS9" s="153"/>
      <c r="AHT9" s="153"/>
      <c r="AHU9" s="153"/>
      <c r="AHV9" s="153"/>
      <c r="AHW9" s="153"/>
      <c r="AHX9" s="153"/>
      <c r="AHY9" s="153"/>
      <c r="AHZ9" s="153"/>
      <c r="AIA9" s="153"/>
      <c r="AIB9" s="153"/>
      <c r="AIC9" s="153"/>
      <c r="AID9" s="153"/>
      <c r="AIE9" s="153"/>
      <c r="AIF9" s="153"/>
      <c r="AIG9" s="153"/>
      <c r="AIH9" s="153"/>
      <c r="AII9" s="153"/>
      <c r="AIJ9" s="153"/>
      <c r="AIK9" s="153"/>
      <c r="AIL9" s="153"/>
      <c r="AIM9" s="153"/>
      <c r="AIN9" s="153"/>
      <c r="AIO9" s="153"/>
      <c r="AIP9" s="153"/>
      <c r="AIQ9" s="153"/>
      <c r="AIR9" s="153"/>
      <c r="AIS9" s="153"/>
      <c r="AIT9" s="153"/>
      <c r="AIU9" s="153"/>
      <c r="AIV9" s="153"/>
      <c r="AIW9" s="153"/>
      <c r="AIX9" s="153"/>
      <c r="AIY9" s="153"/>
      <c r="AIZ9" s="153"/>
      <c r="AJA9" s="153"/>
      <c r="AJB9" s="153"/>
      <c r="AJC9" s="153"/>
      <c r="AJD9" s="153"/>
      <c r="AJE9" s="153"/>
      <c r="AJF9" s="153"/>
      <c r="AJG9" s="153"/>
      <c r="AJH9" s="153"/>
      <c r="AJI9" s="153"/>
      <c r="AJJ9" s="153"/>
      <c r="AJK9" s="153"/>
      <c r="AJL9" s="153"/>
      <c r="AJM9" s="153"/>
      <c r="AJN9" s="153"/>
      <c r="AJO9" s="153"/>
      <c r="AJP9" s="153"/>
      <c r="AJQ9" s="153"/>
      <c r="AJR9" s="153"/>
      <c r="AJS9" s="153"/>
      <c r="AJT9" s="153"/>
      <c r="AJU9" s="153"/>
      <c r="AJV9" s="153"/>
      <c r="AJW9" s="153"/>
      <c r="AJX9" s="153"/>
      <c r="AJY9" s="153"/>
      <c r="AJZ9" s="153"/>
      <c r="AKA9" s="153"/>
      <c r="AKB9" s="153"/>
      <c r="AKC9" s="153"/>
      <c r="AKD9" s="153"/>
      <c r="AKE9" s="153"/>
      <c r="AKF9" s="153"/>
      <c r="AKG9" s="153"/>
      <c r="AKH9" s="153"/>
      <c r="AKI9" s="153"/>
      <c r="AKJ9" s="153"/>
      <c r="AKK9" s="153"/>
      <c r="AKL9" s="153"/>
      <c r="AKM9" s="153"/>
      <c r="AKN9" s="153"/>
      <c r="AKO9" s="153"/>
      <c r="AKP9" s="153"/>
      <c r="AKQ9" s="153"/>
      <c r="AKR9" s="153"/>
      <c r="AKS9" s="153"/>
      <c r="AKT9" s="153"/>
      <c r="AKU9" s="153"/>
      <c r="AKV9" s="153"/>
      <c r="AKW9" s="153"/>
      <c r="AKX9" s="153"/>
      <c r="AKY9" s="153"/>
      <c r="AKZ9" s="153"/>
      <c r="ALA9" s="153"/>
      <c r="ALB9" s="153"/>
      <c r="ALC9" s="153"/>
      <c r="ALD9" s="153"/>
      <c r="ALE9" s="153"/>
      <c r="ALF9" s="153"/>
      <c r="ALG9" s="153"/>
      <c r="ALH9" s="153"/>
      <c r="ALI9" s="153"/>
      <c r="ALJ9" s="153"/>
      <c r="ALK9" s="153"/>
      <c r="ALL9" s="153"/>
      <c r="ALM9" s="153"/>
      <c r="ALN9" s="153"/>
      <c r="ALO9" s="153"/>
      <c r="ALP9" s="153"/>
      <c r="ALQ9" s="153"/>
      <c r="ALR9" s="153"/>
      <c r="ALS9" s="153"/>
      <c r="ALT9" s="153"/>
      <c r="ALU9" s="153"/>
      <c r="ALV9" s="153"/>
      <c r="ALW9" s="153"/>
      <c r="ALX9" s="153"/>
      <c r="ALY9" s="153"/>
      <c r="ALZ9" s="153"/>
      <c r="AMA9" s="153"/>
      <c r="AMB9" s="153"/>
      <c r="AMC9" s="153"/>
      <c r="AMD9" s="153"/>
      <c r="AME9" s="153"/>
      <c r="AMF9" s="153"/>
      <c r="AMG9" s="153"/>
      <c r="AMH9" s="153"/>
      <c r="AMI9" s="153"/>
      <c r="AMJ9" s="153"/>
      <c r="AMK9" s="153"/>
    </row>
    <row r="10" spans="1:1025" s="417" customFormat="1" ht="11.25" x14ac:dyDescent="0.2">
      <c r="A10" s="69" t="s">
        <v>820</v>
      </c>
      <c r="B10" s="335" t="s">
        <v>234</v>
      </c>
      <c r="C10" s="376">
        <v>8679640.8000000007</v>
      </c>
      <c r="D10" s="61">
        <f>4401870.96</f>
        <v>4401870.96</v>
      </c>
      <c r="E10" s="369">
        <f t="shared" si="0"/>
        <v>2641122.5759999999</v>
      </c>
      <c r="F10" s="316">
        <f t="shared" si="1"/>
        <v>-37230.335999999661</v>
      </c>
      <c r="G10" s="316">
        <f>D10*0.25</f>
        <v>1100467.74</v>
      </c>
      <c r="H10" s="316">
        <f t="shared" si="2"/>
        <v>-15512.639999999898</v>
      </c>
      <c r="I10" s="369"/>
      <c r="J10" s="366"/>
      <c r="K10" s="257">
        <f t="shared" si="3"/>
        <v>660280.64399999997</v>
      </c>
      <c r="L10" s="316">
        <f t="shared" si="4"/>
        <v>424674.45600000012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3"/>
      <c r="IT10" s="153"/>
      <c r="IU10" s="153"/>
      <c r="IV10" s="153"/>
      <c r="IW10" s="153"/>
      <c r="IX10" s="153"/>
      <c r="IY10" s="153"/>
      <c r="IZ10" s="153"/>
      <c r="JA10" s="153"/>
      <c r="JB10" s="153"/>
      <c r="JC10" s="153"/>
      <c r="JD10" s="153"/>
      <c r="JE10" s="153"/>
      <c r="JF10" s="153"/>
      <c r="JG10" s="153"/>
      <c r="JH10" s="153"/>
      <c r="JI10" s="153"/>
      <c r="JJ10" s="153"/>
      <c r="JK10" s="153"/>
      <c r="JL10" s="153"/>
      <c r="JM10" s="153"/>
      <c r="JN10" s="153"/>
      <c r="JO10" s="153"/>
      <c r="JP10" s="153"/>
      <c r="JQ10" s="153"/>
      <c r="JR10" s="153"/>
      <c r="JS10" s="153"/>
      <c r="JT10" s="153"/>
      <c r="JU10" s="153"/>
      <c r="JV10" s="153"/>
      <c r="JW10" s="153"/>
      <c r="JX10" s="153"/>
      <c r="JY10" s="153"/>
      <c r="JZ10" s="153"/>
      <c r="KA10" s="153"/>
      <c r="KB10" s="153"/>
      <c r="KC10" s="153"/>
      <c r="KD10" s="153"/>
      <c r="KE10" s="153"/>
      <c r="KF10" s="153"/>
      <c r="KG10" s="153"/>
      <c r="KH10" s="153"/>
      <c r="KI10" s="153"/>
      <c r="KJ10" s="153"/>
      <c r="KK10" s="153"/>
      <c r="KL10" s="153"/>
      <c r="KM10" s="153"/>
      <c r="KN10" s="153"/>
      <c r="KO10" s="153"/>
      <c r="KP10" s="153"/>
      <c r="KQ10" s="153"/>
      <c r="KR10" s="153"/>
      <c r="KS10" s="153"/>
      <c r="KT10" s="153"/>
      <c r="KU10" s="153"/>
      <c r="KV10" s="153"/>
      <c r="KW10" s="153"/>
      <c r="KX10" s="153"/>
      <c r="KY10" s="153"/>
      <c r="KZ10" s="153"/>
      <c r="LA10" s="153"/>
      <c r="LB10" s="153"/>
      <c r="LC10" s="153"/>
      <c r="LD10" s="153"/>
      <c r="LE10" s="153"/>
      <c r="LF10" s="153"/>
      <c r="LG10" s="153"/>
      <c r="LH10" s="153"/>
      <c r="LI10" s="153"/>
      <c r="LJ10" s="153"/>
      <c r="LK10" s="153"/>
      <c r="LL10" s="153"/>
      <c r="LM10" s="153"/>
      <c r="LN10" s="153"/>
      <c r="LO10" s="153"/>
      <c r="LP10" s="153"/>
      <c r="LQ10" s="153"/>
      <c r="LR10" s="153"/>
      <c r="LS10" s="153"/>
      <c r="LT10" s="153"/>
      <c r="LU10" s="153"/>
      <c r="LV10" s="153"/>
      <c r="LW10" s="153"/>
      <c r="LX10" s="153"/>
      <c r="LY10" s="153"/>
      <c r="LZ10" s="153"/>
      <c r="MA10" s="153"/>
      <c r="MB10" s="153"/>
      <c r="MC10" s="153"/>
      <c r="MD10" s="153"/>
      <c r="ME10" s="153"/>
      <c r="MF10" s="153"/>
      <c r="MG10" s="153"/>
      <c r="MH10" s="153"/>
      <c r="MI10" s="153"/>
      <c r="MJ10" s="153"/>
      <c r="MK10" s="153"/>
      <c r="ML10" s="153"/>
      <c r="MM10" s="153"/>
      <c r="MN10" s="153"/>
      <c r="MO10" s="153"/>
      <c r="MP10" s="153"/>
      <c r="MQ10" s="153"/>
      <c r="MR10" s="153"/>
      <c r="MS10" s="153"/>
      <c r="MT10" s="153"/>
      <c r="MU10" s="153"/>
      <c r="MV10" s="153"/>
      <c r="MW10" s="153"/>
      <c r="MX10" s="153"/>
      <c r="MY10" s="153"/>
      <c r="MZ10" s="153"/>
      <c r="NA10" s="153"/>
      <c r="NB10" s="153"/>
      <c r="NC10" s="153"/>
      <c r="ND10" s="153"/>
      <c r="NE10" s="153"/>
      <c r="NF10" s="153"/>
      <c r="NG10" s="153"/>
      <c r="NH10" s="153"/>
      <c r="NI10" s="153"/>
      <c r="NJ10" s="153"/>
      <c r="NK10" s="153"/>
      <c r="NL10" s="153"/>
      <c r="NM10" s="153"/>
      <c r="NN10" s="153"/>
      <c r="NO10" s="153"/>
      <c r="NP10" s="153"/>
      <c r="NQ10" s="153"/>
      <c r="NR10" s="153"/>
      <c r="NS10" s="153"/>
      <c r="NT10" s="153"/>
      <c r="NU10" s="153"/>
      <c r="NV10" s="153"/>
      <c r="NW10" s="153"/>
      <c r="NX10" s="153"/>
      <c r="NY10" s="153"/>
      <c r="NZ10" s="153"/>
      <c r="OA10" s="153"/>
      <c r="OB10" s="153"/>
      <c r="OC10" s="153"/>
      <c r="OD10" s="153"/>
      <c r="OE10" s="153"/>
      <c r="OF10" s="153"/>
      <c r="OG10" s="153"/>
      <c r="OH10" s="153"/>
      <c r="OI10" s="153"/>
      <c r="OJ10" s="153"/>
      <c r="OK10" s="153"/>
      <c r="OL10" s="153"/>
      <c r="OM10" s="153"/>
      <c r="ON10" s="153"/>
      <c r="OO10" s="153"/>
      <c r="OP10" s="153"/>
      <c r="OQ10" s="153"/>
      <c r="OR10" s="153"/>
      <c r="OS10" s="153"/>
      <c r="OT10" s="153"/>
      <c r="OU10" s="153"/>
      <c r="OV10" s="153"/>
      <c r="OW10" s="153"/>
      <c r="OX10" s="153"/>
      <c r="OY10" s="153"/>
      <c r="OZ10" s="153"/>
      <c r="PA10" s="153"/>
      <c r="PB10" s="153"/>
      <c r="PC10" s="153"/>
      <c r="PD10" s="153"/>
      <c r="PE10" s="153"/>
      <c r="PF10" s="153"/>
      <c r="PG10" s="153"/>
      <c r="PH10" s="153"/>
      <c r="PI10" s="153"/>
      <c r="PJ10" s="153"/>
      <c r="PK10" s="153"/>
      <c r="PL10" s="153"/>
      <c r="PM10" s="153"/>
      <c r="PN10" s="153"/>
      <c r="PO10" s="153"/>
      <c r="PP10" s="153"/>
      <c r="PQ10" s="153"/>
      <c r="PR10" s="153"/>
      <c r="PS10" s="153"/>
      <c r="PT10" s="153"/>
      <c r="PU10" s="153"/>
      <c r="PV10" s="153"/>
      <c r="PW10" s="153"/>
      <c r="PX10" s="153"/>
      <c r="PY10" s="153"/>
      <c r="PZ10" s="153"/>
      <c r="QA10" s="153"/>
      <c r="QB10" s="153"/>
      <c r="QC10" s="153"/>
      <c r="QD10" s="153"/>
      <c r="QE10" s="153"/>
      <c r="QF10" s="153"/>
      <c r="QG10" s="153"/>
      <c r="QH10" s="153"/>
      <c r="QI10" s="153"/>
      <c r="QJ10" s="153"/>
      <c r="QK10" s="153"/>
      <c r="QL10" s="153"/>
      <c r="QM10" s="153"/>
      <c r="QN10" s="153"/>
      <c r="QO10" s="153"/>
      <c r="QP10" s="153"/>
      <c r="QQ10" s="153"/>
      <c r="QR10" s="153"/>
      <c r="QS10" s="153"/>
      <c r="QT10" s="153"/>
      <c r="QU10" s="153"/>
      <c r="QV10" s="153"/>
      <c r="QW10" s="153"/>
      <c r="QX10" s="153"/>
      <c r="QY10" s="153"/>
      <c r="QZ10" s="153"/>
      <c r="RA10" s="153"/>
      <c r="RB10" s="153"/>
      <c r="RC10" s="153"/>
      <c r="RD10" s="153"/>
      <c r="RE10" s="153"/>
      <c r="RF10" s="153"/>
      <c r="RG10" s="153"/>
      <c r="RH10" s="153"/>
      <c r="RI10" s="153"/>
      <c r="RJ10" s="153"/>
      <c r="RK10" s="153"/>
      <c r="RL10" s="153"/>
      <c r="RM10" s="153"/>
      <c r="RN10" s="153"/>
      <c r="RO10" s="153"/>
      <c r="RP10" s="153"/>
      <c r="RQ10" s="153"/>
      <c r="RR10" s="153"/>
      <c r="RS10" s="153"/>
      <c r="RT10" s="153"/>
      <c r="RU10" s="153"/>
      <c r="RV10" s="153"/>
      <c r="RW10" s="153"/>
      <c r="RX10" s="153"/>
      <c r="RY10" s="153"/>
      <c r="RZ10" s="153"/>
      <c r="SA10" s="153"/>
      <c r="SB10" s="153"/>
      <c r="SC10" s="153"/>
      <c r="SD10" s="153"/>
      <c r="SE10" s="153"/>
      <c r="SF10" s="153"/>
      <c r="SG10" s="153"/>
      <c r="SH10" s="153"/>
      <c r="SI10" s="153"/>
      <c r="SJ10" s="153"/>
      <c r="SK10" s="153"/>
      <c r="SL10" s="153"/>
      <c r="SM10" s="153"/>
      <c r="SN10" s="153"/>
      <c r="SO10" s="153"/>
      <c r="SP10" s="153"/>
      <c r="SQ10" s="153"/>
      <c r="SR10" s="153"/>
      <c r="SS10" s="153"/>
      <c r="ST10" s="153"/>
      <c r="SU10" s="153"/>
      <c r="SV10" s="153"/>
      <c r="SW10" s="153"/>
      <c r="SX10" s="153"/>
      <c r="SY10" s="153"/>
      <c r="SZ10" s="153"/>
      <c r="TA10" s="153"/>
      <c r="TB10" s="153"/>
      <c r="TC10" s="153"/>
      <c r="TD10" s="153"/>
      <c r="TE10" s="153"/>
      <c r="TF10" s="153"/>
      <c r="TG10" s="153"/>
      <c r="TH10" s="153"/>
      <c r="TI10" s="153"/>
      <c r="TJ10" s="153"/>
      <c r="TK10" s="153"/>
      <c r="TL10" s="153"/>
      <c r="TM10" s="153"/>
      <c r="TN10" s="153"/>
      <c r="TO10" s="153"/>
      <c r="TP10" s="153"/>
      <c r="TQ10" s="153"/>
      <c r="TR10" s="153"/>
      <c r="TS10" s="153"/>
      <c r="TT10" s="153"/>
      <c r="TU10" s="153"/>
      <c r="TV10" s="153"/>
      <c r="TW10" s="153"/>
      <c r="TX10" s="153"/>
      <c r="TY10" s="153"/>
      <c r="TZ10" s="153"/>
      <c r="UA10" s="153"/>
      <c r="UB10" s="153"/>
      <c r="UC10" s="153"/>
      <c r="UD10" s="153"/>
      <c r="UE10" s="153"/>
      <c r="UF10" s="153"/>
      <c r="UG10" s="153"/>
      <c r="UH10" s="153"/>
      <c r="UI10" s="153"/>
      <c r="UJ10" s="153"/>
      <c r="UK10" s="153"/>
      <c r="UL10" s="153"/>
      <c r="UM10" s="153"/>
      <c r="UN10" s="153"/>
      <c r="UO10" s="153"/>
      <c r="UP10" s="153"/>
      <c r="UQ10" s="153"/>
      <c r="UR10" s="153"/>
      <c r="US10" s="153"/>
      <c r="UT10" s="153"/>
      <c r="UU10" s="153"/>
      <c r="UV10" s="153"/>
      <c r="UW10" s="153"/>
      <c r="UX10" s="153"/>
      <c r="UY10" s="153"/>
      <c r="UZ10" s="153"/>
      <c r="VA10" s="153"/>
      <c r="VB10" s="153"/>
      <c r="VC10" s="153"/>
      <c r="VD10" s="153"/>
      <c r="VE10" s="153"/>
      <c r="VF10" s="153"/>
      <c r="VG10" s="153"/>
      <c r="VH10" s="153"/>
      <c r="VI10" s="153"/>
      <c r="VJ10" s="153"/>
      <c r="VK10" s="153"/>
      <c r="VL10" s="153"/>
      <c r="VM10" s="153"/>
      <c r="VN10" s="153"/>
      <c r="VO10" s="153"/>
      <c r="VP10" s="153"/>
      <c r="VQ10" s="153"/>
      <c r="VR10" s="153"/>
      <c r="VS10" s="153"/>
      <c r="VT10" s="153"/>
      <c r="VU10" s="153"/>
      <c r="VV10" s="153"/>
      <c r="VW10" s="153"/>
      <c r="VX10" s="153"/>
      <c r="VY10" s="153"/>
      <c r="VZ10" s="153"/>
      <c r="WA10" s="153"/>
      <c r="WB10" s="153"/>
      <c r="WC10" s="153"/>
      <c r="WD10" s="153"/>
      <c r="WE10" s="153"/>
      <c r="WF10" s="153"/>
      <c r="WG10" s="153"/>
      <c r="WH10" s="153"/>
      <c r="WI10" s="153"/>
      <c r="WJ10" s="153"/>
      <c r="WK10" s="153"/>
      <c r="WL10" s="153"/>
      <c r="WM10" s="153"/>
      <c r="WN10" s="153"/>
      <c r="WO10" s="153"/>
      <c r="WP10" s="153"/>
      <c r="WQ10" s="153"/>
      <c r="WR10" s="153"/>
      <c r="WS10" s="153"/>
      <c r="WT10" s="153"/>
      <c r="WU10" s="153"/>
      <c r="WV10" s="153"/>
      <c r="WW10" s="153"/>
      <c r="WX10" s="153"/>
      <c r="WY10" s="153"/>
      <c r="WZ10" s="153"/>
      <c r="XA10" s="153"/>
      <c r="XB10" s="153"/>
      <c r="XC10" s="153"/>
      <c r="XD10" s="153"/>
      <c r="XE10" s="153"/>
      <c r="XF10" s="153"/>
      <c r="XG10" s="153"/>
      <c r="XH10" s="153"/>
      <c r="XI10" s="153"/>
      <c r="XJ10" s="153"/>
      <c r="XK10" s="153"/>
      <c r="XL10" s="153"/>
      <c r="XM10" s="153"/>
      <c r="XN10" s="153"/>
      <c r="XO10" s="153"/>
      <c r="XP10" s="153"/>
      <c r="XQ10" s="153"/>
      <c r="XR10" s="153"/>
      <c r="XS10" s="153"/>
      <c r="XT10" s="153"/>
      <c r="XU10" s="153"/>
      <c r="XV10" s="153"/>
      <c r="XW10" s="153"/>
      <c r="XX10" s="153"/>
      <c r="XY10" s="153"/>
      <c r="XZ10" s="153"/>
      <c r="YA10" s="153"/>
      <c r="YB10" s="153"/>
      <c r="YC10" s="153"/>
      <c r="YD10" s="153"/>
      <c r="YE10" s="153"/>
      <c r="YF10" s="153"/>
      <c r="YG10" s="153"/>
      <c r="YH10" s="153"/>
      <c r="YI10" s="153"/>
      <c r="YJ10" s="153"/>
      <c r="YK10" s="153"/>
      <c r="YL10" s="153"/>
      <c r="YM10" s="153"/>
      <c r="YN10" s="153"/>
      <c r="YO10" s="153"/>
      <c r="YP10" s="153"/>
      <c r="YQ10" s="153"/>
      <c r="YR10" s="153"/>
      <c r="YS10" s="153"/>
      <c r="YT10" s="153"/>
      <c r="YU10" s="153"/>
      <c r="YV10" s="153"/>
      <c r="YW10" s="153"/>
      <c r="YX10" s="153"/>
      <c r="YY10" s="153"/>
      <c r="YZ10" s="153"/>
      <c r="ZA10" s="153"/>
      <c r="ZB10" s="153"/>
      <c r="ZC10" s="153"/>
      <c r="ZD10" s="153"/>
      <c r="ZE10" s="153"/>
      <c r="ZF10" s="153"/>
      <c r="ZG10" s="153"/>
      <c r="ZH10" s="153"/>
      <c r="ZI10" s="153"/>
      <c r="ZJ10" s="153"/>
      <c r="ZK10" s="153"/>
      <c r="ZL10" s="153"/>
      <c r="ZM10" s="153"/>
      <c r="ZN10" s="153"/>
      <c r="ZO10" s="153"/>
      <c r="ZP10" s="153"/>
      <c r="ZQ10" s="153"/>
      <c r="ZR10" s="153"/>
      <c r="ZS10" s="153"/>
      <c r="ZT10" s="153"/>
      <c r="ZU10" s="153"/>
      <c r="ZV10" s="153"/>
      <c r="ZW10" s="153"/>
      <c r="ZX10" s="153"/>
      <c r="ZY10" s="153"/>
      <c r="ZZ10" s="153"/>
      <c r="AAA10" s="153"/>
      <c r="AAB10" s="153"/>
      <c r="AAC10" s="153"/>
      <c r="AAD10" s="153"/>
      <c r="AAE10" s="153"/>
      <c r="AAF10" s="153"/>
      <c r="AAG10" s="153"/>
      <c r="AAH10" s="153"/>
      <c r="AAI10" s="153"/>
      <c r="AAJ10" s="153"/>
      <c r="AAK10" s="153"/>
      <c r="AAL10" s="153"/>
      <c r="AAM10" s="153"/>
      <c r="AAN10" s="153"/>
      <c r="AAO10" s="153"/>
      <c r="AAP10" s="153"/>
      <c r="AAQ10" s="153"/>
      <c r="AAR10" s="153"/>
      <c r="AAS10" s="153"/>
      <c r="AAT10" s="153"/>
      <c r="AAU10" s="153"/>
      <c r="AAV10" s="153"/>
      <c r="AAW10" s="153"/>
      <c r="AAX10" s="153"/>
      <c r="AAY10" s="153"/>
      <c r="AAZ10" s="153"/>
      <c r="ABA10" s="153"/>
      <c r="ABB10" s="153"/>
      <c r="ABC10" s="153"/>
      <c r="ABD10" s="153"/>
      <c r="ABE10" s="153"/>
      <c r="ABF10" s="153"/>
      <c r="ABG10" s="153"/>
      <c r="ABH10" s="153"/>
      <c r="ABI10" s="153"/>
      <c r="ABJ10" s="153"/>
      <c r="ABK10" s="153"/>
      <c r="ABL10" s="153"/>
      <c r="ABM10" s="153"/>
      <c r="ABN10" s="153"/>
      <c r="ABO10" s="153"/>
      <c r="ABP10" s="153"/>
      <c r="ABQ10" s="153"/>
      <c r="ABR10" s="153"/>
      <c r="ABS10" s="153"/>
      <c r="ABT10" s="153"/>
      <c r="ABU10" s="153"/>
      <c r="ABV10" s="153"/>
      <c r="ABW10" s="153"/>
      <c r="ABX10" s="153"/>
      <c r="ABY10" s="153"/>
      <c r="ABZ10" s="153"/>
      <c r="ACA10" s="153"/>
      <c r="ACB10" s="153"/>
      <c r="ACC10" s="153"/>
      <c r="ACD10" s="153"/>
      <c r="ACE10" s="153"/>
      <c r="ACF10" s="153"/>
      <c r="ACG10" s="153"/>
      <c r="ACH10" s="153"/>
      <c r="ACI10" s="153"/>
      <c r="ACJ10" s="153"/>
      <c r="ACK10" s="153"/>
      <c r="ACL10" s="153"/>
      <c r="ACM10" s="153"/>
      <c r="ACN10" s="153"/>
      <c r="ACO10" s="153"/>
      <c r="ACP10" s="153"/>
      <c r="ACQ10" s="153"/>
      <c r="ACR10" s="153"/>
      <c r="ACS10" s="153"/>
      <c r="ACT10" s="153"/>
      <c r="ACU10" s="153"/>
      <c r="ACV10" s="153"/>
      <c r="ACW10" s="153"/>
      <c r="ACX10" s="153"/>
      <c r="ACY10" s="153"/>
      <c r="ACZ10" s="153"/>
      <c r="ADA10" s="153"/>
      <c r="ADB10" s="153"/>
      <c r="ADC10" s="153"/>
      <c r="ADD10" s="153"/>
      <c r="ADE10" s="153"/>
      <c r="ADF10" s="153"/>
      <c r="ADG10" s="153"/>
      <c r="ADH10" s="153"/>
      <c r="ADI10" s="153"/>
      <c r="ADJ10" s="153"/>
      <c r="ADK10" s="153"/>
      <c r="ADL10" s="153"/>
      <c r="ADM10" s="153"/>
      <c r="ADN10" s="153"/>
      <c r="ADO10" s="153"/>
      <c r="ADP10" s="153"/>
      <c r="ADQ10" s="153"/>
      <c r="ADR10" s="153"/>
      <c r="ADS10" s="153"/>
      <c r="ADT10" s="153"/>
      <c r="ADU10" s="153"/>
      <c r="ADV10" s="153"/>
      <c r="ADW10" s="153"/>
      <c r="ADX10" s="153"/>
      <c r="ADY10" s="153"/>
      <c r="ADZ10" s="153"/>
      <c r="AEA10" s="153"/>
      <c r="AEB10" s="153"/>
      <c r="AEC10" s="153"/>
      <c r="AED10" s="153"/>
      <c r="AEE10" s="153"/>
      <c r="AEF10" s="153"/>
      <c r="AEG10" s="153"/>
      <c r="AEH10" s="153"/>
      <c r="AEI10" s="153"/>
      <c r="AEJ10" s="153"/>
      <c r="AEK10" s="153"/>
      <c r="AEL10" s="153"/>
      <c r="AEM10" s="153"/>
      <c r="AEN10" s="153"/>
      <c r="AEO10" s="153"/>
      <c r="AEP10" s="153"/>
      <c r="AEQ10" s="153"/>
      <c r="AER10" s="153"/>
      <c r="AES10" s="153"/>
      <c r="AET10" s="153"/>
      <c r="AEU10" s="153"/>
      <c r="AEV10" s="153"/>
      <c r="AEW10" s="153"/>
      <c r="AEX10" s="153"/>
      <c r="AEY10" s="153"/>
      <c r="AEZ10" s="153"/>
      <c r="AFA10" s="153"/>
      <c r="AFB10" s="153"/>
      <c r="AFC10" s="153"/>
      <c r="AFD10" s="153"/>
      <c r="AFE10" s="153"/>
      <c r="AFF10" s="153"/>
      <c r="AFG10" s="153"/>
      <c r="AFH10" s="153"/>
      <c r="AFI10" s="153"/>
      <c r="AFJ10" s="153"/>
      <c r="AFK10" s="153"/>
      <c r="AFL10" s="153"/>
      <c r="AFM10" s="153"/>
      <c r="AFN10" s="153"/>
      <c r="AFO10" s="153"/>
      <c r="AFP10" s="153"/>
      <c r="AFQ10" s="153"/>
      <c r="AFR10" s="153"/>
      <c r="AFS10" s="153"/>
      <c r="AFT10" s="153"/>
      <c r="AFU10" s="153"/>
      <c r="AFV10" s="153"/>
      <c r="AFW10" s="153"/>
      <c r="AFX10" s="153"/>
      <c r="AFY10" s="153"/>
      <c r="AFZ10" s="153"/>
      <c r="AGA10" s="153"/>
      <c r="AGB10" s="153"/>
      <c r="AGC10" s="153"/>
      <c r="AGD10" s="153"/>
      <c r="AGE10" s="153"/>
      <c r="AGF10" s="153"/>
      <c r="AGG10" s="153"/>
      <c r="AGH10" s="153"/>
      <c r="AGI10" s="153"/>
      <c r="AGJ10" s="153"/>
      <c r="AGK10" s="153"/>
      <c r="AGL10" s="153"/>
      <c r="AGM10" s="153"/>
      <c r="AGN10" s="153"/>
      <c r="AGO10" s="153"/>
      <c r="AGP10" s="153"/>
      <c r="AGQ10" s="153"/>
      <c r="AGR10" s="153"/>
      <c r="AGS10" s="153"/>
      <c r="AGT10" s="153"/>
      <c r="AGU10" s="153"/>
      <c r="AGV10" s="153"/>
      <c r="AGW10" s="153"/>
      <c r="AGX10" s="153"/>
      <c r="AGY10" s="153"/>
      <c r="AGZ10" s="153"/>
      <c r="AHA10" s="153"/>
      <c r="AHB10" s="153"/>
      <c r="AHC10" s="153"/>
      <c r="AHD10" s="153"/>
      <c r="AHE10" s="153"/>
      <c r="AHF10" s="153"/>
      <c r="AHG10" s="153"/>
      <c r="AHH10" s="153"/>
      <c r="AHI10" s="153"/>
      <c r="AHJ10" s="153"/>
      <c r="AHK10" s="153"/>
      <c r="AHL10" s="153"/>
      <c r="AHM10" s="153"/>
      <c r="AHN10" s="153"/>
      <c r="AHO10" s="153"/>
      <c r="AHP10" s="153"/>
      <c r="AHQ10" s="153"/>
      <c r="AHR10" s="153"/>
      <c r="AHS10" s="153"/>
      <c r="AHT10" s="153"/>
      <c r="AHU10" s="153"/>
      <c r="AHV10" s="153"/>
      <c r="AHW10" s="153"/>
      <c r="AHX10" s="153"/>
      <c r="AHY10" s="153"/>
      <c r="AHZ10" s="153"/>
      <c r="AIA10" s="153"/>
      <c r="AIB10" s="153"/>
      <c r="AIC10" s="153"/>
      <c r="AID10" s="153"/>
      <c r="AIE10" s="153"/>
      <c r="AIF10" s="153"/>
      <c r="AIG10" s="153"/>
      <c r="AIH10" s="153"/>
      <c r="AII10" s="153"/>
      <c r="AIJ10" s="153"/>
      <c r="AIK10" s="153"/>
      <c r="AIL10" s="153"/>
      <c r="AIM10" s="153"/>
      <c r="AIN10" s="153"/>
      <c r="AIO10" s="153"/>
      <c r="AIP10" s="153"/>
      <c r="AIQ10" s="153"/>
      <c r="AIR10" s="153"/>
      <c r="AIS10" s="153"/>
      <c r="AIT10" s="153"/>
      <c r="AIU10" s="153"/>
      <c r="AIV10" s="153"/>
      <c r="AIW10" s="153"/>
      <c r="AIX10" s="153"/>
      <c r="AIY10" s="153"/>
      <c r="AIZ10" s="153"/>
      <c r="AJA10" s="153"/>
      <c r="AJB10" s="153"/>
      <c r="AJC10" s="153"/>
      <c r="AJD10" s="153"/>
      <c r="AJE10" s="153"/>
      <c r="AJF10" s="153"/>
      <c r="AJG10" s="153"/>
      <c r="AJH10" s="153"/>
      <c r="AJI10" s="153"/>
      <c r="AJJ10" s="153"/>
      <c r="AJK10" s="153"/>
      <c r="AJL10" s="153"/>
      <c r="AJM10" s="153"/>
      <c r="AJN10" s="153"/>
      <c r="AJO10" s="153"/>
      <c r="AJP10" s="153"/>
      <c r="AJQ10" s="153"/>
      <c r="AJR10" s="153"/>
      <c r="AJS10" s="153"/>
      <c r="AJT10" s="153"/>
      <c r="AJU10" s="153"/>
      <c r="AJV10" s="153"/>
      <c r="AJW10" s="153"/>
      <c r="AJX10" s="153"/>
      <c r="AJY10" s="153"/>
      <c r="AJZ10" s="153"/>
      <c r="AKA10" s="153"/>
      <c r="AKB10" s="153"/>
      <c r="AKC10" s="153"/>
      <c r="AKD10" s="153"/>
      <c r="AKE10" s="153"/>
      <c r="AKF10" s="153"/>
      <c r="AKG10" s="153"/>
      <c r="AKH10" s="153"/>
      <c r="AKI10" s="153"/>
      <c r="AKJ10" s="153"/>
      <c r="AKK10" s="153"/>
      <c r="AKL10" s="153"/>
      <c r="AKM10" s="153"/>
      <c r="AKN10" s="153"/>
      <c r="AKO10" s="153"/>
      <c r="AKP10" s="153"/>
      <c r="AKQ10" s="153"/>
      <c r="AKR10" s="153"/>
      <c r="AKS10" s="153"/>
      <c r="AKT10" s="153"/>
      <c r="AKU10" s="153"/>
      <c r="AKV10" s="153"/>
      <c r="AKW10" s="153"/>
      <c r="AKX10" s="153"/>
      <c r="AKY10" s="153"/>
      <c r="AKZ10" s="153"/>
      <c r="ALA10" s="153"/>
      <c r="ALB10" s="153"/>
      <c r="ALC10" s="153"/>
      <c r="ALD10" s="153"/>
      <c r="ALE10" s="153"/>
      <c r="ALF10" s="153"/>
      <c r="ALG10" s="153"/>
      <c r="ALH10" s="153"/>
      <c r="ALI10" s="153"/>
      <c r="ALJ10" s="153"/>
      <c r="ALK10" s="153"/>
      <c r="ALL10" s="153"/>
      <c r="ALM10" s="153"/>
      <c r="ALN10" s="153"/>
      <c r="ALO10" s="153"/>
      <c r="ALP10" s="153"/>
      <c r="ALQ10" s="153"/>
      <c r="ALR10" s="153"/>
      <c r="ALS10" s="153"/>
      <c r="ALT10" s="153"/>
      <c r="ALU10" s="153"/>
      <c r="ALV10" s="153"/>
      <c r="ALW10" s="153"/>
      <c r="ALX10" s="153"/>
      <c r="ALY10" s="153"/>
      <c r="ALZ10" s="153"/>
      <c r="AMA10" s="153"/>
      <c r="AMB10" s="153"/>
      <c r="AMC10" s="153"/>
      <c r="AMD10" s="153"/>
      <c r="AME10" s="153"/>
      <c r="AMF10" s="153"/>
      <c r="AMG10" s="153"/>
      <c r="AMH10" s="153"/>
      <c r="AMI10" s="153"/>
      <c r="AMJ10" s="153"/>
      <c r="AMK10" s="153"/>
    </row>
    <row r="11" spans="1:1025" s="417" customFormat="1" ht="11.25" x14ac:dyDescent="0.2">
      <c r="A11" s="69" t="s">
        <v>821</v>
      </c>
      <c r="B11" s="335" t="s">
        <v>822</v>
      </c>
      <c r="C11" s="376">
        <v>9250330.2899999991</v>
      </c>
      <c r="D11" s="61">
        <f>4293897.82</f>
        <v>4293897.82</v>
      </c>
      <c r="E11" s="369">
        <f t="shared" si="0"/>
        <v>2576338.6920000003</v>
      </c>
      <c r="F11" s="316">
        <f t="shared" si="1"/>
        <v>198760.39499999955</v>
      </c>
      <c r="G11" s="316">
        <f>D11*0.25</f>
        <v>1073474.4550000001</v>
      </c>
      <c r="H11" s="316">
        <f t="shared" si="2"/>
        <v>82816.831249999814</v>
      </c>
      <c r="I11" s="369"/>
      <c r="J11" s="366"/>
      <c r="K11" s="257">
        <f t="shared" si="3"/>
        <v>644084.67300000007</v>
      </c>
      <c r="L11" s="370">
        <f t="shared" si="4"/>
        <v>512206.61324999982</v>
      </c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  <c r="EC11" s="153"/>
      <c r="ED11" s="153"/>
      <c r="EE11" s="153"/>
      <c r="EF11" s="153"/>
      <c r="EG11" s="153"/>
      <c r="EH11" s="153"/>
      <c r="EI11" s="153"/>
      <c r="EJ11" s="153"/>
      <c r="EK11" s="153"/>
      <c r="EL11" s="153"/>
      <c r="EM11" s="153"/>
      <c r="EN11" s="153"/>
      <c r="EO11" s="153"/>
      <c r="EP11" s="153"/>
      <c r="EQ11" s="153"/>
      <c r="ER11" s="153"/>
      <c r="ES11" s="153"/>
      <c r="ET11" s="153"/>
      <c r="EU11" s="153"/>
      <c r="EV11" s="153"/>
      <c r="EW11" s="153"/>
      <c r="EX11" s="153"/>
      <c r="EY11" s="153"/>
      <c r="EZ11" s="153"/>
      <c r="FA11" s="153"/>
      <c r="FB11" s="153"/>
      <c r="FC11" s="153"/>
      <c r="FD11" s="153"/>
      <c r="FE11" s="153"/>
      <c r="FF11" s="153"/>
      <c r="FG11" s="153"/>
      <c r="FH11" s="153"/>
      <c r="FI11" s="153"/>
      <c r="FJ11" s="153"/>
      <c r="FK11" s="153"/>
      <c r="FL11" s="153"/>
      <c r="FM11" s="153"/>
      <c r="FN11" s="153"/>
      <c r="FO11" s="153"/>
      <c r="FP11" s="153"/>
      <c r="FQ11" s="153"/>
      <c r="FR11" s="153"/>
      <c r="FS11" s="153"/>
      <c r="FT11" s="153"/>
      <c r="FU11" s="153"/>
      <c r="FV11" s="153"/>
      <c r="FW11" s="153"/>
      <c r="FX11" s="153"/>
      <c r="FY11" s="153"/>
      <c r="FZ11" s="153"/>
      <c r="GA11" s="153"/>
      <c r="GB11" s="153"/>
      <c r="GC11" s="153"/>
      <c r="GD11" s="153"/>
      <c r="GE11" s="153"/>
      <c r="GF11" s="153"/>
      <c r="GG11" s="153"/>
      <c r="GH11" s="153"/>
      <c r="GI11" s="153"/>
      <c r="GJ11" s="153"/>
      <c r="GK11" s="153"/>
      <c r="GL11" s="153"/>
      <c r="GM11" s="153"/>
      <c r="GN11" s="153"/>
      <c r="GO11" s="153"/>
      <c r="GP11" s="153"/>
      <c r="GQ11" s="153"/>
      <c r="GR11" s="153"/>
      <c r="GS11" s="153"/>
      <c r="GT11" s="153"/>
      <c r="GU11" s="153"/>
      <c r="GV11" s="153"/>
      <c r="GW11" s="153"/>
      <c r="GX11" s="153"/>
      <c r="GY11" s="153"/>
      <c r="GZ11" s="153"/>
      <c r="HA11" s="153"/>
      <c r="HB11" s="153"/>
      <c r="HC11" s="153"/>
      <c r="HD11" s="153"/>
      <c r="HE11" s="153"/>
      <c r="HF11" s="153"/>
      <c r="HG11" s="153"/>
      <c r="HH11" s="153"/>
      <c r="HI11" s="153"/>
      <c r="HJ11" s="153"/>
      <c r="HK11" s="153"/>
      <c r="HL11" s="153"/>
      <c r="HM11" s="153"/>
      <c r="HN11" s="153"/>
      <c r="HO11" s="153"/>
      <c r="HP11" s="153"/>
      <c r="HQ11" s="153"/>
      <c r="HR11" s="153"/>
      <c r="HS11" s="153"/>
      <c r="HT11" s="153"/>
      <c r="HU11" s="153"/>
      <c r="HV11" s="153"/>
      <c r="HW11" s="153"/>
      <c r="HX11" s="153"/>
      <c r="HY11" s="153"/>
      <c r="HZ11" s="153"/>
      <c r="IA11" s="153"/>
      <c r="IB11" s="153"/>
      <c r="IC11" s="153"/>
      <c r="ID11" s="153"/>
      <c r="IE11" s="153"/>
      <c r="IF11" s="153"/>
      <c r="IG11" s="153"/>
      <c r="IH11" s="153"/>
      <c r="II11" s="153"/>
      <c r="IJ11" s="153"/>
      <c r="IK11" s="153"/>
      <c r="IL11" s="153"/>
      <c r="IM11" s="153"/>
      <c r="IN11" s="153"/>
      <c r="IO11" s="153"/>
      <c r="IP11" s="153"/>
      <c r="IQ11" s="153"/>
      <c r="IR11" s="153"/>
      <c r="IS11" s="153"/>
      <c r="IT11" s="153"/>
      <c r="IU11" s="153"/>
      <c r="IV11" s="153"/>
      <c r="IW11" s="153"/>
      <c r="IX11" s="153"/>
      <c r="IY11" s="153"/>
      <c r="IZ11" s="153"/>
      <c r="JA11" s="153"/>
      <c r="JB11" s="153"/>
      <c r="JC11" s="153"/>
      <c r="JD11" s="153"/>
      <c r="JE11" s="153"/>
      <c r="JF11" s="153"/>
      <c r="JG11" s="153"/>
      <c r="JH11" s="153"/>
      <c r="JI11" s="153"/>
      <c r="JJ11" s="153"/>
      <c r="JK11" s="153"/>
      <c r="JL11" s="153"/>
      <c r="JM11" s="153"/>
      <c r="JN11" s="153"/>
      <c r="JO11" s="153"/>
      <c r="JP11" s="153"/>
      <c r="JQ11" s="153"/>
      <c r="JR11" s="153"/>
      <c r="JS11" s="153"/>
      <c r="JT11" s="153"/>
      <c r="JU11" s="153"/>
      <c r="JV11" s="153"/>
      <c r="JW11" s="153"/>
      <c r="JX11" s="153"/>
      <c r="JY11" s="153"/>
      <c r="JZ11" s="153"/>
      <c r="KA11" s="153"/>
      <c r="KB11" s="153"/>
      <c r="KC11" s="153"/>
      <c r="KD11" s="153"/>
      <c r="KE11" s="153"/>
      <c r="KF11" s="153"/>
      <c r="KG11" s="153"/>
      <c r="KH11" s="153"/>
      <c r="KI11" s="153"/>
      <c r="KJ11" s="153"/>
      <c r="KK11" s="153"/>
      <c r="KL11" s="153"/>
      <c r="KM11" s="153"/>
      <c r="KN11" s="153"/>
      <c r="KO11" s="153"/>
      <c r="KP11" s="153"/>
      <c r="KQ11" s="153"/>
      <c r="KR11" s="153"/>
      <c r="KS11" s="153"/>
      <c r="KT11" s="153"/>
      <c r="KU11" s="153"/>
      <c r="KV11" s="153"/>
      <c r="KW11" s="153"/>
      <c r="KX11" s="153"/>
      <c r="KY11" s="153"/>
      <c r="KZ11" s="153"/>
      <c r="LA11" s="153"/>
      <c r="LB11" s="153"/>
      <c r="LC11" s="153"/>
      <c r="LD11" s="153"/>
      <c r="LE11" s="153"/>
      <c r="LF11" s="153"/>
      <c r="LG11" s="153"/>
      <c r="LH11" s="153"/>
      <c r="LI11" s="153"/>
      <c r="LJ11" s="153"/>
      <c r="LK11" s="153"/>
      <c r="LL11" s="153"/>
      <c r="LM11" s="153"/>
      <c r="LN11" s="153"/>
      <c r="LO11" s="153"/>
      <c r="LP11" s="153"/>
      <c r="LQ11" s="153"/>
      <c r="LR11" s="153"/>
      <c r="LS11" s="153"/>
      <c r="LT11" s="153"/>
      <c r="LU11" s="153"/>
      <c r="LV11" s="153"/>
      <c r="LW11" s="153"/>
      <c r="LX11" s="153"/>
      <c r="LY11" s="153"/>
      <c r="LZ11" s="153"/>
      <c r="MA11" s="153"/>
      <c r="MB11" s="153"/>
      <c r="MC11" s="153"/>
      <c r="MD11" s="153"/>
      <c r="ME11" s="153"/>
      <c r="MF11" s="153"/>
      <c r="MG11" s="153"/>
      <c r="MH11" s="153"/>
      <c r="MI11" s="153"/>
      <c r="MJ11" s="153"/>
      <c r="MK11" s="153"/>
      <c r="ML11" s="153"/>
      <c r="MM11" s="153"/>
      <c r="MN11" s="153"/>
      <c r="MO11" s="153"/>
      <c r="MP11" s="153"/>
      <c r="MQ11" s="153"/>
      <c r="MR11" s="153"/>
      <c r="MS11" s="153"/>
      <c r="MT11" s="153"/>
      <c r="MU11" s="153"/>
      <c r="MV11" s="153"/>
      <c r="MW11" s="153"/>
      <c r="MX11" s="153"/>
      <c r="MY11" s="153"/>
      <c r="MZ11" s="153"/>
      <c r="NA11" s="153"/>
      <c r="NB11" s="153"/>
      <c r="NC11" s="153"/>
      <c r="ND11" s="153"/>
      <c r="NE11" s="153"/>
      <c r="NF11" s="153"/>
      <c r="NG11" s="153"/>
      <c r="NH11" s="153"/>
      <c r="NI11" s="153"/>
      <c r="NJ11" s="153"/>
      <c r="NK11" s="153"/>
      <c r="NL11" s="153"/>
      <c r="NM11" s="153"/>
      <c r="NN11" s="153"/>
      <c r="NO11" s="153"/>
      <c r="NP11" s="153"/>
      <c r="NQ11" s="153"/>
      <c r="NR11" s="153"/>
      <c r="NS11" s="153"/>
      <c r="NT11" s="153"/>
      <c r="NU11" s="153"/>
      <c r="NV11" s="153"/>
      <c r="NW11" s="153"/>
      <c r="NX11" s="153"/>
      <c r="NY11" s="153"/>
      <c r="NZ11" s="153"/>
      <c r="OA11" s="153"/>
      <c r="OB11" s="153"/>
      <c r="OC11" s="153"/>
      <c r="OD11" s="153"/>
      <c r="OE11" s="153"/>
      <c r="OF11" s="153"/>
      <c r="OG11" s="153"/>
      <c r="OH11" s="153"/>
      <c r="OI11" s="153"/>
      <c r="OJ11" s="153"/>
      <c r="OK11" s="153"/>
      <c r="OL11" s="153"/>
      <c r="OM11" s="153"/>
      <c r="ON11" s="153"/>
      <c r="OO11" s="153"/>
      <c r="OP11" s="153"/>
      <c r="OQ11" s="153"/>
      <c r="OR11" s="153"/>
      <c r="OS11" s="153"/>
      <c r="OT11" s="153"/>
      <c r="OU11" s="153"/>
      <c r="OV11" s="153"/>
      <c r="OW11" s="153"/>
      <c r="OX11" s="153"/>
      <c r="OY11" s="153"/>
      <c r="OZ11" s="153"/>
      <c r="PA11" s="153"/>
      <c r="PB11" s="153"/>
      <c r="PC11" s="153"/>
      <c r="PD11" s="153"/>
      <c r="PE11" s="153"/>
      <c r="PF11" s="153"/>
      <c r="PG11" s="153"/>
      <c r="PH11" s="153"/>
      <c r="PI11" s="153"/>
      <c r="PJ11" s="153"/>
      <c r="PK11" s="153"/>
      <c r="PL11" s="153"/>
      <c r="PM11" s="153"/>
      <c r="PN11" s="153"/>
      <c r="PO11" s="153"/>
      <c r="PP11" s="153"/>
      <c r="PQ11" s="153"/>
      <c r="PR11" s="153"/>
      <c r="PS11" s="153"/>
      <c r="PT11" s="153"/>
      <c r="PU11" s="153"/>
      <c r="PV11" s="153"/>
      <c r="PW11" s="153"/>
      <c r="PX11" s="153"/>
      <c r="PY11" s="153"/>
      <c r="PZ11" s="153"/>
      <c r="QA11" s="153"/>
      <c r="QB11" s="153"/>
      <c r="QC11" s="153"/>
      <c r="QD11" s="153"/>
      <c r="QE11" s="153"/>
      <c r="QF11" s="153"/>
      <c r="QG11" s="153"/>
      <c r="QH11" s="153"/>
      <c r="QI11" s="153"/>
      <c r="QJ11" s="153"/>
      <c r="QK11" s="153"/>
      <c r="QL11" s="153"/>
      <c r="QM11" s="153"/>
      <c r="QN11" s="153"/>
      <c r="QO11" s="153"/>
      <c r="QP11" s="153"/>
      <c r="QQ11" s="153"/>
      <c r="QR11" s="153"/>
      <c r="QS11" s="153"/>
      <c r="QT11" s="153"/>
      <c r="QU11" s="153"/>
      <c r="QV11" s="153"/>
      <c r="QW11" s="153"/>
      <c r="QX11" s="153"/>
      <c r="QY11" s="153"/>
      <c r="QZ11" s="153"/>
      <c r="RA11" s="153"/>
      <c r="RB11" s="153"/>
      <c r="RC11" s="153"/>
      <c r="RD11" s="153"/>
      <c r="RE11" s="153"/>
      <c r="RF11" s="153"/>
      <c r="RG11" s="153"/>
      <c r="RH11" s="153"/>
      <c r="RI11" s="153"/>
      <c r="RJ11" s="153"/>
      <c r="RK11" s="153"/>
      <c r="RL11" s="153"/>
      <c r="RM11" s="153"/>
      <c r="RN11" s="153"/>
      <c r="RO11" s="153"/>
      <c r="RP11" s="153"/>
      <c r="RQ11" s="153"/>
      <c r="RR11" s="153"/>
      <c r="RS11" s="153"/>
      <c r="RT11" s="153"/>
      <c r="RU11" s="153"/>
      <c r="RV11" s="153"/>
      <c r="RW11" s="153"/>
      <c r="RX11" s="153"/>
      <c r="RY11" s="153"/>
      <c r="RZ11" s="153"/>
      <c r="SA11" s="153"/>
      <c r="SB11" s="153"/>
      <c r="SC11" s="153"/>
      <c r="SD11" s="153"/>
      <c r="SE11" s="153"/>
      <c r="SF11" s="153"/>
      <c r="SG11" s="153"/>
      <c r="SH11" s="153"/>
      <c r="SI11" s="153"/>
      <c r="SJ11" s="153"/>
      <c r="SK11" s="153"/>
      <c r="SL11" s="153"/>
      <c r="SM11" s="153"/>
      <c r="SN11" s="153"/>
      <c r="SO11" s="153"/>
      <c r="SP11" s="153"/>
      <c r="SQ11" s="153"/>
      <c r="SR11" s="153"/>
      <c r="SS11" s="153"/>
      <c r="ST11" s="153"/>
      <c r="SU11" s="153"/>
      <c r="SV11" s="153"/>
      <c r="SW11" s="153"/>
      <c r="SX11" s="153"/>
      <c r="SY11" s="153"/>
      <c r="SZ11" s="153"/>
      <c r="TA11" s="153"/>
      <c r="TB11" s="153"/>
      <c r="TC11" s="153"/>
      <c r="TD11" s="153"/>
      <c r="TE11" s="153"/>
      <c r="TF11" s="153"/>
      <c r="TG11" s="153"/>
      <c r="TH11" s="153"/>
      <c r="TI11" s="153"/>
      <c r="TJ11" s="153"/>
      <c r="TK11" s="153"/>
      <c r="TL11" s="153"/>
      <c r="TM11" s="153"/>
      <c r="TN11" s="153"/>
      <c r="TO11" s="153"/>
      <c r="TP11" s="153"/>
      <c r="TQ11" s="153"/>
      <c r="TR11" s="153"/>
      <c r="TS11" s="153"/>
      <c r="TT11" s="153"/>
      <c r="TU11" s="153"/>
      <c r="TV11" s="153"/>
      <c r="TW11" s="153"/>
      <c r="TX11" s="153"/>
      <c r="TY11" s="153"/>
      <c r="TZ11" s="153"/>
      <c r="UA11" s="153"/>
      <c r="UB11" s="153"/>
      <c r="UC11" s="153"/>
      <c r="UD11" s="153"/>
      <c r="UE11" s="153"/>
      <c r="UF11" s="153"/>
      <c r="UG11" s="153"/>
      <c r="UH11" s="153"/>
      <c r="UI11" s="153"/>
      <c r="UJ11" s="153"/>
      <c r="UK11" s="153"/>
      <c r="UL11" s="153"/>
      <c r="UM11" s="153"/>
      <c r="UN11" s="153"/>
      <c r="UO11" s="153"/>
      <c r="UP11" s="153"/>
      <c r="UQ11" s="153"/>
      <c r="UR11" s="153"/>
      <c r="US11" s="153"/>
      <c r="UT11" s="153"/>
      <c r="UU11" s="153"/>
      <c r="UV11" s="153"/>
      <c r="UW11" s="153"/>
      <c r="UX11" s="153"/>
      <c r="UY11" s="153"/>
      <c r="UZ11" s="153"/>
      <c r="VA11" s="153"/>
      <c r="VB11" s="153"/>
      <c r="VC11" s="153"/>
      <c r="VD11" s="153"/>
      <c r="VE11" s="153"/>
      <c r="VF11" s="153"/>
      <c r="VG11" s="153"/>
      <c r="VH11" s="153"/>
      <c r="VI11" s="153"/>
      <c r="VJ11" s="153"/>
      <c r="VK11" s="153"/>
      <c r="VL11" s="153"/>
      <c r="VM11" s="153"/>
      <c r="VN11" s="153"/>
      <c r="VO11" s="153"/>
      <c r="VP11" s="153"/>
      <c r="VQ11" s="153"/>
      <c r="VR11" s="153"/>
      <c r="VS11" s="153"/>
      <c r="VT11" s="153"/>
      <c r="VU11" s="153"/>
      <c r="VV11" s="153"/>
      <c r="VW11" s="153"/>
      <c r="VX11" s="153"/>
      <c r="VY11" s="153"/>
      <c r="VZ11" s="153"/>
      <c r="WA11" s="153"/>
      <c r="WB11" s="153"/>
      <c r="WC11" s="153"/>
      <c r="WD11" s="153"/>
      <c r="WE11" s="153"/>
      <c r="WF11" s="153"/>
      <c r="WG11" s="153"/>
      <c r="WH11" s="153"/>
      <c r="WI11" s="153"/>
      <c r="WJ11" s="153"/>
      <c r="WK11" s="153"/>
      <c r="WL11" s="153"/>
      <c r="WM11" s="153"/>
      <c r="WN11" s="153"/>
      <c r="WO11" s="153"/>
      <c r="WP11" s="153"/>
      <c r="WQ11" s="153"/>
      <c r="WR11" s="153"/>
      <c r="WS11" s="153"/>
      <c r="WT11" s="153"/>
      <c r="WU11" s="153"/>
      <c r="WV11" s="153"/>
      <c r="WW11" s="153"/>
      <c r="WX11" s="153"/>
      <c r="WY11" s="153"/>
      <c r="WZ11" s="153"/>
      <c r="XA11" s="153"/>
      <c r="XB11" s="153"/>
      <c r="XC11" s="153"/>
      <c r="XD11" s="153"/>
      <c r="XE11" s="153"/>
      <c r="XF11" s="153"/>
      <c r="XG11" s="153"/>
      <c r="XH11" s="153"/>
      <c r="XI11" s="153"/>
      <c r="XJ11" s="153"/>
      <c r="XK11" s="153"/>
      <c r="XL11" s="153"/>
      <c r="XM11" s="153"/>
      <c r="XN11" s="153"/>
      <c r="XO11" s="153"/>
      <c r="XP11" s="153"/>
      <c r="XQ11" s="153"/>
      <c r="XR11" s="153"/>
      <c r="XS11" s="153"/>
      <c r="XT11" s="153"/>
      <c r="XU11" s="153"/>
      <c r="XV11" s="153"/>
      <c r="XW11" s="153"/>
      <c r="XX11" s="153"/>
      <c r="XY11" s="153"/>
      <c r="XZ11" s="153"/>
      <c r="YA11" s="153"/>
      <c r="YB11" s="153"/>
      <c r="YC11" s="153"/>
      <c r="YD11" s="153"/>
      <c r="YE11" s="153"/>
      <c r="YF11" s="153"/>
      <c r="YG11" s="153"/>
      <c r="YH11" s="153"/>
      <c r="YI11" s="153"/>
      <c r="YJ11" s="153"/>
      <c r="YK11" s="153"/>
      <c r="YL11" s="153"/>
      <c r="YM11" s="153"/>
      <c r="YN11" s="153"/>
      <c r="YO11" s="153"/>
      <c r="YP11" s="153"/>
      <c r="YQ11" s="153"/>
      <c r="YR11" s="153"/>
      <c r="YS11" s="153"/>
      <c r="YT11" s="153"/>
      <c r="YU11" s="153"/>
      <c r="YV11" s="153"/>
      <c r="YW11" s="153"/>
      <c r="YX11" s="153"/>
      <c r="YY11" s="153"/>
      <c r="YZ11" s="153"/>
      <c r="ZA11" s="153"/>
      <c r="ZB11" s="153"/>
      <c r="ZC11" s="153"/>
      <c r="ZD11" s="153"/>
      <c r="ZE11" s="153"/>
      <c r="ZF11" s="153"/>
      <c r="ZG11" s="153"/>
      <c r="ZH11" s="153"/>
      <c r="ZI11" s="153"/>
      <c r="ZJ11" s="153"/>
      <c r="ZK11" s="153"/>
      <c r="ZL11" s="153"/>
      <c r="ZM11" s="153"/>
      <c r="ZN11" s="153"/>
      <c r="ZO11" s="153"/>
      <c r="ZP11" s="153"/>
      <c r="ZQ11" s="153"/>
      <c r="ZR11" s="153"/>
      <c r="ZS11" s="153"/>
      <c r="ZT11" s="153"/>
      <c r="ZU11" s="153"/>
      <c r="ZV11" s="153"/>
      <c r="ZW11" s="153"/>
      <c r="ZX11" s="153"/>
      <c r="ZY11" s="153"/>
      <c r="ZZ11" s="153"/>
      <c r="AAA11" s="153"/>
      <c r="AAB11" s="153"/>
      <c r="AAC11" s="153"/>
      <c r="AAD11" s="153"/>
      <c r="AAE11" s="153"/>
      <c r="AAF11" s="153"/>
      <c r="AAG11" s="153"/>
      <c r="AAH11" s="153"/>
      <c r="AAI11" s="153"/>
      <c r="AAJ11" s="153"/>
      <c r="AAK11" s="153"/>
      <c r="AAL11" s="153"/>
      <c r="AAM11" s="153"/>
      <c r="AAN11" s="153"/>
      <c r="AAO11" s="153"/>
      <c r="AAP11" s="153"/>
      <c r="AAQ11" s="153"/>
      <c r="AAR11" s="153"/>
      <c r="AAS11" s="153"/>
      <c r="AAT11" s="153"/>
      <c r="AAU11" s="153"/>
      <c r="AAV11" s="153"/>
      <c r="AAW11" s="153"/>
      <c r="AAX11" s="153"/>
      <c r="AAY11" s="153"/>
      <c r="AAZ11" s="153"/>
      <c r="ABA11" s="153"/>
      <c r="ABB11" s="153"/>
      <c r="ABC11" s="153"/>
      <c r="ABD11" s="153"/>
      <c r="ABE11" s="153"/>
      <c r="ABF11" s="153"/>
      <c r="ABG11" s="153"/>
      <c r="ABH11" s="153"/>
      <c r="ABI11" s="153"/>
      <c r="ABJ11" s="153"/>
      <c r="ABK11" s="153"/>
      <c r="ABL11" s="153"/>
      <c r="ABM11" s="153"/>
      <c r="ABN11" s="153"/>
      <c r="ABO11" s="153"/>
      <c r="ABP11" s="153"/>
      <c r="ABQ11" s="153"/>
      <c r="ABR11" s="153"/>
      <c r="ABS11" s="153"/>
      <c r="ABT11" s="153"/>
      <c r="ABU11" s="153"/>
      <c r="ABV11" s="153"/>
      <c r="ABW11" s="153"/>
      <c r="ABX11" s="153"/>
      <c r="ABY11" s="153"/>
      <c r="ABZ11" s="153"/>
      <c r="ACA11" s="153"/>
      <c r="ACB11" s="153"/>
      <c r="ACC11" s="153"/>
      <c r="ACD11" s="153"/>
      <c r="ACE11" s="153"/>
      <c r="ACF11" s="153"/>
      <c r="ACG11" s="153"/>
      <c r="ACH11" s="153"/>
      <c r="ACI11" s="153"/>
      <c r="ACJ11" s="153"/>
      <c r="ACK11" s="153"/>
      <c r="ACL11" s="153"/>
      <c r="ACM11" s="153"/>
      <c r="ACN11" s="153"/>
      <c r="ACO11" s="153"/>
      <c r="ACP11" s="153"/>
      <c r="ACQ11" s="153"/>
      <c r="ACR11" s="153"/>
      <c r="ACS11" s="153"/>
      <c r="ACT11" s="153"/>
      <c r="ACU11" s="153"/>
      <c r="ACV11" s="153"/>
      <c r="ACW11" s="153"/>
      <c r="ACX11" s="153"/>
      <c r="ACY11" s="153"/>
      <c r="ACZ11" s="153"/>
      <c r="ADA11" s="153"/>
      <c r="ADB11" s="153"/>
      <c r="ADC11" s="153"/>
      <c r="ADD11" s="153"/>
      <c r="ADE11" s="153"/>
      <c r="ADF11" s="153"/>
      <c r="ADG11" s="153"/>
      <c r="ADH11" s="153"/>
      <c r="ADI11" s="153"/>
      <c r="ADJ11" s="153"/>
      <c r="ADK11" s="153"/>
      <c r="ADL11" s="153"/>
      <c r="ADM11" s="153"/>
      <c r="ADN11" s="153"/>
      <c r="ADO11" s="153"/>
      <c r="ADP11" s="153"/>
      <c r="ADQ11" s="153"/>
      <c r="ADR11" s="153"/>
      <c r="ADS11" s="153"/>
      <c r="ADT11" s="153"/>
      <c r="ADU11" s="153"/>
      <c r="ADV11" s="153"/>
      <c r="ADW11" s="153"/>
      <c r="ADX11" s="153"/>
      <c r="ADY11" s="153"/>
      <c r="ADZ11" s="153"/>
      <c r="AEA11" s="153"/>
      <c r="AEB11" s="153"/>
      <c r="AEC11" s="153"/>
      <c r="AED11" s="153"/>
      <c r="AEE11" s="153"/>
      <c r="AEF11" s="153"/>
      <c r="AEG11" s="153"/>
      <c r="AEH11" s="153"/>
      <c r="AEI11" s="153"/>
      <c r="AEJ11" s="153"/>
      <c r="AEK11" s="153"/>
      <c r="AEL11" s="153"/>
      <c r="AEM11" s="153"/>
      <c r="AEN11" s="153"/>
      <c r="AEO11" s="153"/>
      <c r="AEP11" s="153"/>
      <c r="AEQ11" s="153"/>
      <c r="AER11" s="153"/>
      <c r="AES11" s="153"/>
      <c r="AET11" s="153"/>
      <c r="AEU11" s="153"/>
      <c r="AEV11" s="153"/>
      <c r="AEW11" s="153"/>
      <c r="AEX11" s="153"/>
      <c r="AEY11" s="153"/>
      <c r="AEZ11" s="153"/>
      <c r="AFA11" s="153"/>
      <c r="AFB11" s="153"/>
      <c r="AFC11" s="153"/>
      <c r="AFD11" s="153"/>
      <c r="AFE11" s="153"/>
      <c r="AFF11" s="153"/>
      <c r="AFG11" s="153"/>
      <c r="AFH11" s="153"/>
      <c r="AFI11" s="153"/>
      <c r="AFJ11" s="153"/>
      <c r="AFK11" s="153"/>
      <c r="AFL11" s="153"/>
      <c r="AFM11" s="153"/>
      <c r="AFN11" s="153"/>
      <c r="AFO11" s="153"/>
      <c r="AFP11" s="153"/>
      <c r="AFQ11" s="153"/>
      <c r="AFR11" s="153"/>
      <c r="AFS11" s="153"/>
      <c r="AFT11" s="153"/>
      <c r="AFU11" s="153"/>
      <c r="AFV11" s="153"/>
      <c r="AFW11" s="153"/>
      <c r="AFX11" s="153"/>
      <c r="AFY11" s="153"/>
      <c r="AFZ11" s="153"/>
      <c r="AGA11" s="153"/>
      <c r="AGB11" s="153"/>
      <c r="AGC11" s="153"/>
      <c r="AGD11" s="153"/>
      <c r="AGE11" s="153"/>
      <c r="AGF11" s="153"/>
      <c r="AGG11" s="153"/>
      <c r="AGH11" s="153"/>
      <c r="AGI11" s="153"/>
      <c r="AGJ11" s="153"/>
      <c r="AGK11" s="153"/>
      <c r="AGL11" s="153"/>
      <c r="AGM11" s="153"/>
      <c r="AGN11" s="153"/>
      <c r="AGO11" s="153"/>
      <c r="AGP11" s="153"/>
      <c r="AGQ11" s="153"/>
      <c r="AGR11" s="153"/>
      <c r="AGS11" s="153"/>
      <c r="AGT11" s="153"/>
      <c r="AGU11" s="153"/>
      <c r="AGV11" s="153"/>
      <c r="AGW11" s="153"/>
      <c r="AGX11" s="153"/>
      <c r="AGY11" s="153"/>
      <c r="AGZ11" s="153"/>
      <c r="AHA11" s="153"/>
      <c r="AHB11" s="153"/>
      <c r="AHC11" s="153"/>
      <c r="AHD11" s="153"/>
      <c r="AHE11" s="153"/>
      <c r="AHF11" s="153"/>
      <c r="AHG11" s="153"/>
      <c r="AHH11" s="153"/>
      <c r="AHI11" s="153"/>
      <c r="AHJ11" s="153"/>
      <c r="AHK11" s="153"/>
      <c r="AHL11" s="153"/>
      <c r="AHM11" s="153"/>
      <c r="AHN11" s="153"/>
      <c r="AHO11" s="153"/>
      <c r="AHP11" s="153"/>
      <c r="AHQ11" s="153"/>
      <c r="AHR11" s="153"/>
      <c r="AHS11" s="153"/>
      <c r="AHT11" s="153"/>
      <c r="AHU11" s="153"/>
      <c r="AHV11" s="153"/>
      <c r="AHW11" s="153"/>
      <c r="AHX11" s="153"/>
      <c r="AHY11" s="153"/>
      <c r="AHZ11" s="153"/>
      <c r="AIA11" s="153"/>
      <c r="AIB11" s="153"/>
      <c r="AIC11" s="153"/>
      <c r="AID11" s="153"/>
      <c r="AIE11" s="153"/>
      <c r="AIF11" s="153"/>
      <c r="AIG11" s="153"/>
      <c r="AIH11" s="153"/>
      <c r="AII11" s="153"/>
      <c r="AIJ11" s="153"/>
      <c r="AIK11" s="153"/>
      <c r="AIL11" s="153"/>
      <c r="AIM11" s="153"/>
      <c r="AIN11" s="153"/>
      <c r="AIO11" s="153"/>
      <c r="AIP11" s="153"/>
      <c r="AIQ11" s="153"/>
      <c r="AIR11" s="153"/>
      <c r="AIS11" s="153"/>
      <c r="AIT11" s="153"/>
      <c r="AIU11" s="153"/>
      <c r="AIV11" s="153"/>
      <c r="AIW11" s="153"/>
      <c r="AIX11" s="153"/>
      <c r="AIY11" s="153"/>
      <c r="AIZ11" s="153"/>
      <c r="AJA11" s="153"/>
      <c r="AJB11" s="153"/>
      <c r="AJC11" s="153"/>
      <c r="AJD11" s="153"/>
      <c r="AJE11" s="153"/>
      <c r="AJF11" s="153"/>
      <c r="AJG11" s="153"/>
      <c r="AJH11" s="153"/>
      <c r="AJI11" s="153"/>
      <c r="AJJ11" s="153"/>
      <c r="AJK11" s="153"/>
      <c r="AJL11" s="153"/>
      <c r="AJM11" s="153"/>
      <c r="AJN11" s="153"/>
      <c r="AJO11" s="153"/>
      <c r="AJP11" s="153"/>
      <c r="AJQ11" s="153"/>
      <c r="AJR11" s="153"/>
      <c r="AJS11" s="153"/>
      <c r="AJT11" s="153"/>
      <c r="AJU11" s="153"/>
      <c r="AJV11" s="153"/>
      <c r="AJW11" s="153"/>
      <c r="AJX11" s="153"/>
      <c r="AJY11" s="153"/>
      <c r="AJZ11" s="153"/>
      <c r="AKA11" s="153"/>
      <c r="AKB11" s="153"/>
      <c r="AKC11" s="153"/>
      <c r="AKD11" s="153"/>
      <c r="AKE11" s="153"/>
      <c r="AKF11" s="153"/>
      <c r="AKG11" s="153"/>
      <c r="AKH11" s="153"/>
      <c r="AKI11" s="153"/>
      <c r="AKJ11" s="153"/>
      <c r="AKK11" s="153"/>
      <c r="AKL11" s="153"/>
      <c r="AKM11" s="153"/>
      <c r="AKN11" s="153"/>
      <c r="AKO11" s="153"/>
      <c r="AKP11" s="153"/>
      <c r="AKQ11" s="153"/>
      <c r="AKR11" s="153"/>
      <c r="AKS11" s="153"/>
      <c r="AKT11" s="153"/>
      <c r="AKU11" s="153"/>
      <c r="AKV11" s="153"/>
      <c r="AKW11" s="153"/>
      <c r="AKX11" s="153"/>
      <c r="AKY11" s="153"/>
      <c r="AKZ11" s="153"/>
      <c r="ALA11" s="153"/>
      <c r="ALB11" s="153"/>
      <c r="ALC11" s="153"/>
      <c r="ALD11" s="153"/>
      <c r="ALE11" s="153"/>
      <c r="ALF11" s="153"/>
      <c r="ALG11" s="153"/>
      <c r="ALH11" s="153"/>
      <c r="ALI11" s="153"/>
      <c r="ALJ11" s="153"/>
      <c r="ALK11" s="153"/>
      <c r="ALL11" s="153"/>
      <c r="ALM11" s="153"/>
      <c r="ALN11" s="153"/>
      <c r="ALO11" s="153"/>
      <c r="ALP11" s="153"/>
      <c r="ALQ11" s="153"/>
      <c r="ALR11" s="153"/>
      <c r="ALS11" s="153"/>
      <c r="ALT11" s="153"/>
      <c r="ALU11" s="153"/>
      <c r="ALV11" s="153"/>
      <c r="ALW11" s="153"/>
      <c r="ALX11" s="153"/>
      <c r="ALY11" s="153"/>
      <c r="ALZ11" s="153"/>
      <c r="AMA11" s="153"/>
      <c r="AMB11" s="153"/>
      <c r="AMC11" s="153"/>
      <c r="AMD11" s="153"/>
      <c r="AME11" s="153"/>
      <c r="AMF11" s="153"/>
      <c r="AMG11" s="153"/>
      <c r="AMH11" s="153"/>
      <c r="AMI11" s="153"/>
      <c r="AMJ11" s="153"/>
      <c r="AMK11" s="153"/>
    </row>
    <row r="12" spans="1:1025" s="417" customFormat="1" ht="11.25" x14ac:dyDescent="0.2">
      <c r="A12" s="69" t="s">
        <v>823</v>
      </c>
      <c r="B12" s="371" t="s">
        <v>824</v>
      </c>
      <c r="C12" s="376">
        <v>48540219.32</v>
      </c>
      <c r="D12" s="61">
        <f>19146684.71+1074.39+4785596.57</f>
        <v>23933355.670000002</v>
      </c>
      <c r="E12" s="372">
        <f t="shared" si="0"/>
        <v>14360013.402000001</v>
      </c>
      <c r="F12" s="316">
        <f t="shared" si="1"/>
        <v>202052.39399999939</v>
      </c>
      <c r="G12" s="375">
        <f>(D12*0.05)</f>
        <v>1196667.7835000001</v>
      </c>
      <c r="H12" s="370">
        <f t="shared" si="2"/>
        <v>4870859.6315000001</v>
      </c>
      <c r="I12" s="373">
        <f>-D12*0.2</f>
        <v>-4786671.1340000005</v>
      </c>
      <c r="J12" s="374">
        <f>(((C12*0.2)/12)*6)+I12</f>
        <v>67350.797999999486</v>
      </c>
      <c r="K12" s="257">
        <f t="shared" si="3"/>
        <v>3590003.3505000002</v>
      </c>
      <c r="L12" s="276">
        <f t="shared" si="4"/>
        <v>2477524.0644999999</v>
      </c>
      <c r="M12" s="336"/>
      <c r="N12" s="336"/>
      <c r="O12" s="337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153"/>
      <c r="EQ12" s="153"/>
      <c r="ER12" s="153"/>
      <c r="ES12" s="153"/>
      <c r="ET12" s="153"/>
      <c r="EU12" s="153"/>
      <c r="EV12" s="153"/>
      <c r="EW12" s="153"/>
      <c r="EX12" s="153"/>
      <c r="EY12" s="153"/>
      <c r="EZ12" s="153"/>
      <c r="FA12" s="153"/>
      <c r="FB12" s="153"/>
      <c r="FC12" s="153"/>
      <c r="FD12" s="153"/>
      <c r="FE12" s="153"/>
      <c r="FF12" s="153"/>
      <c r="FG12" s="153"/>
      <c r="FH12" s="153"/>
      <c r="FI12" s="153"/>
      <c r="FJ12" s="153"/>
      <c r="FK12" s="153"/>
      <c r="FL12" s="153"/>
      <c r="FM12" s="153"/>
      <c r="FN12" s="153"/>
      <c r="FO12" s="153"/>
      <c r="FP12" s="153"/>
      <c r="FQ12" s="153"/>
      <c r="FR12" s="153"/>
      <c r="FS12" s="153"/>
      <c r="FT12" s="153"/>
      <c r="FU12" s="153"/>
      <c r="FV12" s="153"/>
      <c r="FW12" s="153"/>
      <c r="FX12" s="153"/>
      <c r="FY12" s="153"/>
      <c r="FZ12" s="153"/>
      <c r="GA12" s="153"/>
      <c r="GB12" s="153"/>
      <c r="GC12" s="153"/>
      <c r="GD12" s="153"/>
      <c r="GE12" s="153"/>
      <c r="GF12" s="153"/>
      <c r="GG12" s="153"/>
      <c r="GH12" s="153"/>
      <c r="GI12" s="153"/>
      <c r="GJ12" s="153"/>
      <c r="GK12" s="153"/>
      <c r="GL12" s="153"/>
      <c r="GM12" s="153"/>
      <c r="GN12" s="153"/>
      <c r="GO12" s="153"/>
      <c r="GP12" s="153"/>
      <c r="GQ12" s="153"/>
      <c r="GR12" s="153"/>
      <c r="GS12" s="153"/>
      <c r="GT12" s="153"/>
      <c r="GU12" s="153"/>
      <c r="GV12" s="153"/>
      <c r="GW12" s="153"/>
      <c r="GX12" s="153"/>
      <c r="GY12" s="153"/>
      <c r="GZ12" s="153"/>
      <c r="HA12" s="153"/>
      <c r="HB12" s="153"/>
      <c r="HC12" s="153"/>
      <c r="HD12" s="153"/>
      <c r="HE12" s="153"/>
      <c r="HF12" s="153"/>
      <c r="HG12" s="153"/>
      <c r="HH12" s="153"/>
      <c r="HI12" s="153"/>
      <c r="HJ12" s="153"/>
      <c r="HK12" s="153"/>
      <c r="HL12" s="153"/>
      <c r="HM12" s="153"/>
      <c r="HN12" s="153"/>
      <c r="HO12" s="153"/>
      <c r="HP12" s="153"/>
      <c r="HQ12" s="153"/>
      <c r="HR12" s="153"/>
      <c r="HS12" s="153"/>
      <c r="HT12" s="153"/>
      <c r="HU12" s="153"/>
      <c r="HV12" s="153"/>
      <c r="HW12" s="153"/>
      <c r="HX12" s="153"/>
      <c r="HY12" s="153"/>
      <c r="HZ12" s="153"/>
      <c r="IA12" s="153"/>
      <c r="IB12" s="153"/>
      <c r="IC12" s="153"/>
      <c r="ID12" s="153"/>
      <c r="IE12" s="153"/>
      <c r="IF12" s="153"/>
      <c r="IG12" s="153"/>
      <c r="IH12" s="153"/>
      <c r="II12" s="153"/>
      <c r="IJ12" s="153"/>
      <c r="IK12" s="153"/>
      <c r="IL12" s="153"/>
      <c r="IM12" s="153"/>
      <c r="IN12" s="153"/>
      <c r="IO12" s="153"/>
      <c r="IP12" s="153"/>
      <c r="IQ12" s="153"/>
      <c r="IR12" s="153"/>
      <c r="IS12" s="153"/>
      <c r="IT12" s="153"/>
      <c r="IU12" s="153"/>
      <c r="IV12" s="153"/>
      <c r="IW12" s="153"/>
      <c r="IX12" s="153"/>
      <c r="IY12" s="153"/>
      <c r="IZ12" s="153"/>
      <c r="JA12" s="153"/>
      <c r="JB12" s="153"/>
      <c r="JC12" s="153"/>
      <c r="JD12" s="153"/>
      <c r="JE12" s="153"/>
      <c r="JF12" s="153"/>
      <c r="JG12" s="153"/>
      <c r="JH12" s="153"/>
      <c r="JI12" s="153"/>
      <c r="JJ12" s="153"/>
      <c r="JK12" s="153"/>
      <c r="JL12" s="153"/>
      <c r="JM12" s="153"/>
      <c r="JN12" s="153"/>
      <c r="JO12" s="153"/>
      <c r="JP12" s="153"/>
      <c r="JQ12" s="153"/>
      <c r="JR12" s="153"/>
      <c r="JS12" s="153"/>
      <c r="JT12" s="153"/>
      <c r="JU12" s="153"/>
      <c r="JV12" s="153"/>
      <c r="JW12" s="153"/>
      <c r="JX12" s="153"/>
      <c r="JY12" s="153"/>
      <c r="JZ12" s="153"/>
      <c r="KA12" s="153"/>
      <c r="KB12" s="153"/>
      <c r="KC12" s="153"/>
      <c r="KD12" s="153"/>
      <c r="KE12" s="153"/>
      <c r="KF12" s="153"/>
      <c r="KG12" s="153"/>
      <c r="KH12" s="153"/>
      <c r="KI12" s="153"/>
      <c r="KJ12" s="153"/>
      <c r="KK12" s="153"/>
      <c r="KL12" s="153"/>
      <c r="KM12" s="153"/>
      <c r="KN12" s="153"/>
      <c r="KO12" s="153"/>
      <c r="KP12" s="153"/>
      <c r="KQ12" s="153"/>
      <c r="KR12" s="153"/>
      <c r="KS12" s="153"/>
      <c r="KT12" s="153"/>
      <c r="KU12" s="153"/>
      <c r="KV12" s="153"/>
      <c r="KW12" s="153"/>
      <c r="KX12" s="153"/>
      <c r="KY12" s="153"/>
      <c r="KZ12" s="153"/>
      <c r="LA12" s="153"/>
      <c r="LB12" s="153"/>
      <c r="LC12" s="153"/>
      <c r="LD12" s="153"/>
      <c r="LE12" s="153"/>
      <c r="LF12" s="153"/>
      <c r="LG12" s="153"/>
      <c r="LH12" s="153"/>
      <c r="LI12" s="153"/>
      <c r="LJ12" s="153"/>
      <c r="LK12" s="153"/>
      <c r="LL12" s="153"/>
      <c r="LM12" s="153"/>
      <c r="LN12" s="153"/>
      <c r="LO12" s="153"/>
      <c r="LP12" s="153"/>
      <c r="LQ12" s="153"/>
      <c r="LR12" s="153"/>
      <c r="LS12" s="153"/>
      <c r="LT12" s="153"/>
      <c r="LU12" s="153"/>
      <c r="LV12" s="153"/>
      <c r="LW12" s="153"/>
      <c r="LX12" s="153"/>
      <c r="LY12" s="153"/>
      <c r="LZ12" s="153"/>
      <c r="MA12" s="153"/>
      <c r="MB12" s="153"/>
      <c r="MC12" s="153"/>
      <c r="MD12" s="153"/>
      <c r="ME12" s="153"/>
      <c r="MF12" s="153"/>
      <c r="MG12" s="153"/>
      <c r="MH12" s="153"/>
      <c r="MI12" s="153"/>
      <c r="MJ12" s="153"/>
      <c r="MK12" s="153"/>
      <c r="ML12" s="153"/>
      <c r="MM12" s="153"/>
      <c r="MN12" s="153"/>
      <c r="MO12" s="153"/>
      <c r="MP12" s="153"/>
      <c r="MQ12" s="153"/>
      <c r="MR12" s="153"/>
      <c r="MS12" s="153"/>
      <c r="MT12" s="153"/>
      <c r="MU12" s="153"/>
      <c r="MV12" s="153"/>
      <c r="MW12" s="153"/>
      <c r="MX12" s="153"/>
      <c r="MY12" s="153"/>
      <c r="MZ12" s="153"/>
      <c r="NA12" s="153"/>
      <c r="NB12" s="153"/>
      <c r="NC12" s="153"/>
      <c r="ND12" s="153"/>
      <c r="NE12" s="153"/>
      <c r="NF12" s="153"/>
      <c r="NG12" s="153"/>
      <c r="NH12" s="153"/>
      <c r="NI12" s="153"/>
      <c r="NJ12" s="153"/>
      <c r="NK12" s="153"/>
      <c r="NL12" s="153"/>
      <c r="NM12" s="153"/>
      <c r="NN12" s="153"/>
      <c r="NO12" s="153"/>
      <c r="NP12" s="153"/>
      <c r="NQ12" s="153"/>
      <c r="NR12" s="153"/>
      <c r="NS12" s="153"/>
      <c r="NT12" s="153"/>
      <c r="NU12" s="153"/>
      <c r="NV12" s="153"/>
      <c r="NW12" s="153"/>
      <c r="NX12" s="153"/>
      <c r="NY12" s="153"/>
      <c r="NZ12" s="153"/>
      <c r="OA12" s="153"/>
      <c r="OB12" s="153"/>
      <c r="OC12" s="153"/>
      <c r="OD12" s="153"/>
      <c r="OE12" s="153"/>
      <c r="OF12" s="153"/>
      <c r="OG12" s="153"/>
      <c r="OH12" s="153"/>
      <c r="OI12" s="153"/>
      <c r="OJ12" s="153"/>
      <c r="OK12" s="153"/>
      <c r="OL12" s="153"/>
      <c r="OM12" s="153"/>
      <c r="ON12" s="153"/>
      <c r="OO12" s="153"/>
      <c r="OP12" s="153"/>
      <c r="OQ12" s="153"/>
      <c r="OR12" s="153"/>
      <c r="OS12" s="153"/>
      <c r="OT12" s="153"/>
      <c r="OU12" s="153"/>
      <c r="OV12" s="153"/>
      <c r="OW12" s="153"/>
      <c r="OX12" s="153"/>
      <c r="OY12" s="153"/>
      <c r="OZ12" s="153"/>
      <c r="PA12" s="153"/>
      <c r="PB12" s="153"/>
      <c r="PC12" s="153"/>
      <c r="PD12" s="153"/>
      <c r="PE12" s="153"/>
      <c r="PF12" s="153"/>
      <c r="PG12" s="153"/>
      <c r="PH12" s="153"/>
      <c r="PI12" s="153"/>
      <c r="PJ12" s="153"/>
      <c r="PK12" s="153"/>
      <c r="PL12" s="153"/>
      <c r="PM12" s="153"/>
      <c r="PN12" s="153"/>
      <c r="PO12" s="153"/>
      <c r="PP12" s="153"/>
      <c r="PQ12" s="153"/>
      <c r="PR12" s="153"/>
      <c r="PS12" s="153"/>
      <c r="PT12" s="153"/>
      <c r="PU12" s="153"/>
      <c r="PV12" s="153"/>
      <c r="PW12" s="153"/>
      <c r="PX12" s="153"/>
      <c r="PY12" s="153"/>
      <c r="PZ12" s="153"/>
      <c r="QA12" s="153"/>
      <c r="QB12" s="153"/>
      <c r="QC12" s="153"/>
      <c r="QD12" s="153"/>
      <c r="QE12" s="153"/>
      <c r="QF12" s="153"/>
      <c r="QG12" s="153"/>
      <c r="QH12" s="153"/>
      <c r="QI12" s="153"/>
      <c r="QJ12" s="153"/>
      <c r="QK12" s="153"/>
      <c r="QL12" s="153"/>
      <c r="QM12" s="153"/>
      <c r="QN12" s="153"/>
      <c r="QO12" s="153"/>
      <c r="QP12" s="153"/>
      <c r="QQ12" s="153"/>
      <c r="QR12" s="153"/>
      <c r="QS12" s="153"/>
      <c r="QT12" s="153"/>
      <c r="QU12" s="153"/>
      <c r="QV12" s="153"/>
      <c r="QW12" s="153"/>
      <c r="QX12" s="153"/>
      <c r="QY12" s="153"/>
      <c r="QZ12" s="153"/>
      <c r="RA12" s="153"/>
      <c r="RB12" s="153"/>
      <c r="RC12" s="153"/>
      <c r="RD12" s="153"/>
      <c r="RE12" s="153"/>
      <c r="RF12" s="153"/>
      <c r="RG12" s="153"/>
      <c r="RH12" s="153"/>
      <c r="RI12" s="153"/>
      <c r="RJ12" s="153"/>
      <c r="RK12" s="153"/>
      <c r="RL12" s="153"/>
      <c r="RM12" s="153"/>
      <c r="RN12" s="153"/>
      <c r="RO12" s="153"/>
      <c r="RP12" s="153"/>
      <c r="RQ12" s="153"/>
      <c r="RR12" s="153"/>
      <c r="RS12" s="153"/>
      <c r="RT12" s="153"/>
      <c r="RU12" s="153"/>
      <c r="RV12" s="153"/>
      <c r="RW12" s="153"/>
      <c r="RX12" s="153"/>
      <c r="RY12" s="153"/>
      <c r="RZ12" s="153"/>
      <c r="SA12" s="153"/>
      <c r="SB12" s="153"/>
      <c r="SC12" s="153"/>
      <c r="SD12" s="153"/>
      <c r="SE12" s="153"/>
      <c r="SF12" s="153"/>
      <c r="SG12" s="153"/>
      <c r="SH12" s="153"/>
      <c r="SI12" s="153"/>
      <c r="SJ12" s="153"/>
      <c r="SK12" s="153"/>
      <c r="SL12" s="153"/>
      <c r="SM12" s="153"/>
      <c r="SN12" s="153"/>
      <c r="SO12" s="153"/>
      <c r="SP12" s="153"/>
      <c r="SQ12" s="153"/>
      <c r="SR12" s="153"/>
      <c r="SS12" s="153"/>
      <c r="ST12" s="153"/>
      <c r="SU12" s="153"/>
      <c r="SV12" s="153"/>
      <c r="SW12" s="153"/>
      <c r="SX12" s="153"/>
      <c r="SY12" s="153"/>
      <c r="SZ12" s="153"/>
      <c r="TA12" s="153"/>
      <c r="TB12" s="153"/>
      <c r="TC12" s="153"/>
      <c r="TD12" s="153"/>
      <c r="TE12" s="153"/>
      <c r="TF12" s="153"/>
      <c r="TG12" s="153"/>
      <c r="TH12" s="153"/>
      <c r="TI12" s="153"/>
      <c r="TJ12" s="153"/>
      <c r="TK12" s="153"/>
      <c r="TL12" s="153"/>
      <c r="TM12" s="153"/>
      <c r="TN12" s="153"/>
      <c r="TO12" s="153"/>
      <c r="TP12" s="153"/>
      <c r="TQ12" s="153"/>
      <c r="TR12" s="153"/>
      <c r="TS12" s="153"/>
      <c r="TT12" s="153"/>
      <c r="TU12" s="153"/>
      <c r="TV12" s="153"/>
      <c r="TW12" s="153"/>
      <c r="TX12" s="153"/>
      <c r="TY12" s="153"/>
      <c r="TZ12" s="153"/>
      <c r="UA12" s="153"/>
      <c r="UB12" s="153"/>
      <c r="UC12" s="153"/>
      <c r="UD12" s="153"/>
      <c r="UE12" s="153"/>
      <c r="UF12" s="153"/>
      <c r="UG12" s="153"/>
      <c r="UH12" s="153"/>
      <c r="UI12" s="153"/>
      <c r="UJ12" s="153"/>
      <c r="UK12" s="153"/>
      <c r="UL12" s="153"/>
      <c r="UM12" s="153"/>
      <c r="UN12" s="153"/>
      <c r="UO12" s="153"/>
      <c r="UP12" s="153"/>
      <c r="UQ12" s="153"/>
      <c r="UR12" s="153"/>
      <c r="US12" s="153"/>
      <c r="UT12" s="153"/>
      <c r="UU12" s="153"/>
      <c r="UV12" s="153"/>
      <c r="UW12" s="153"/>
      <c r="UX12" s="153"/>
      <c r="UY12" s="153"/>
      <c r="UZ12" s="153"/>
      <c r="VA12" s="153"/>
      <c r="VB12" s="153"/>
      <c r="VC12" s="153"/>
      <c r="VD12" s="153"/>
      <c r="VE12" s="153"/>
      <c r="VF12" s="153"/>
      <c r="VG12" s="153"/>
      <c r="VH12" s="153"/>
      <c r="VI12" s="153"/>
      <c r="VJ12" s="153"/>
      <c r="VK12" s="153"/>
      <c r="VL12" s="153"/>
      <c r="VM12" s="153"/>
      <c r="VN12" s="153"/>
      <c r="VO12" s="153"/>
      <c r="VP12" s="153"/>
      <c r="VQ12" s="153"/>
      <c r="VR12" s="153"/>
      <c r="VS12" s="153"/>
      <c r="VT12" s="153"/>
      <c r="VU12" s="153"/>
      <c r="VV12" s="153"/>
      <c r="VW12" s="153"/>
      <c r="VX12" s="153"/>
      <c r="VY12" s="153"/>
      <c r="VZ12" s="153"/>
      <c r="WA12" s="153"/>
      <c r="WB12" s="153"/>
      <c r="WC12" s="153"/>
      <c r="WD12" s="153"/>
      <c r="WE12" s="153"/>
      <c r="WF12" s="153"/>
      <c r="WG12" s="153"/>
      <c r="WH12" s="153"/>
      <c r="WI12" s="153"/>
      <c r="WJ12" s="153"/>
      <c r="WK12" s="153"/>
      <c r="WL12" s="153"/>
      <c r="WM12" s="153"/>
      <c r="WN12" s="153"/>
      <c r="WO12" s="153"/>
      <c r="WP12" s="153"/>
      <c r="WQ12" s="153"/>
      <c r="WR12" s="153"/>
      <c r="WS12" s="153"/>
      <c r="WT12" s="153"/>
      <c r="WU12" s="153"/>
      <c r="WV12" s="153"/>
      <c r="WW12" s="153"/>
      <c r="WX12" s="153"/>
      <c r="WY12" s="153"/>
      <c r="WZ12" s="153"/>
      <c r="XA12" s="153"/>
      <c r="XB12" s="153"/>
      <c r="XC12" s="153"/>
      <c r="XD12" s="153"/>
      <c r="XE12" s="153"/>
      <c r="XF12" s="153"/>
      <c r="XG12" s="153"/>
      <c r="XH12" s="153"/>
      <c r="XI12" s="153"/>
      <c r="XJ12" s="153"/>
      <c r="XK12" s="153"/>
      <c r="XL12" s="153"/>
      <c r="XM12" s="153"/>
      <c r="XN12" s="153"/>
      <c r="XO12" s="153"/>
      <c r="XP12" s="153"/>
      <c r="XQ12" s="153"/>
      <c r="XR12" s="153"/>
      <c r="XS12" s="153"/>
      <c r="XT12" s="153"/>
      <c r="XU12" s="153"/>
      <c r="XV12" s="153"/>
      <c r="XW12" s="153"/>
      <c r="XX12" s="153"/>
      <c r="XY12" s="153"/>
      <c r="XZ12" s="153"/>
      <c r="YA12" s="153"/>
      <c r="YB12" s="153"/>
      <c r="YC12" s="153"/>
      <c r="YD12" s="153"/>
      <c r="YE12" s="153"/>
      <c r="YF12" s="153"/>
      <c r="YG12" s="153"/>
      <c r="YH12" s="153"/>
      <c r="YI12" s="153"/>
      <c r="YJ12" s="153"/>
      <c r="YK12" s="153"/>
      <c r="YL12" s="153"/>
      <c r="YM12" s="153"/>
      <c r="YN12" s="153"/>
      <c r="YO12" s="153"/>
      <c r="YP12" s="153"/>
      <c r="YQ12" s="153"/>
      <c r="YR12" s="153"/>
      <c r="YS12" s="153"/>
      <c r="YT12" s="153"/>
      <c r="YU12" s="153"/>
      <c r="YV12" s="153"/>
      <c r="YW12" s="153"/>
      <c r="YX12" s="153"/>
      <c r="YY12" s="153"/>
      <c r="YZ12" s="153"/>
      <c r="ZA12" s="153"/>
      <c r="ZB12" s="153"/>
      <c r="ZC12" s="153"/>
      <c r="ZD12" s="153"/>
      <c r="ZE12" s="153"/>
      <c r="ZF12" s="153"/>
      <c r="ZG12" s="153"/>
      <c r="ZH12" s="153"/>
      <c r="ZI12" s="153"/>
      <c r="ZJ12" s="153"/>
      <c r="ZK12" s="153"/>
      <c r="ZL12" s="153"/>
      <c r="ZM12" s="153"/>
      <c r="ZN12" s="153"/>
      <c r="ZO12" s="153"/>
      <c r="ZP12" s="153"/>
      <c r="ZQ12" s="153"/>
      <c r="ZR12" s="153"/>
      <c r="ZS12" s="153"/>
      <c r="ZT12" s="153"/>
      <c r="ZU12" s="153"/>
      <c r="ZV12" s="153"/>
      <c r="ZW12" s="153"/>
      <c r="ZX12" s="153"/>
      <c r="ZY12" s="153"/>
      <c r="ZZ12" s="153"/>
      <c r="AAA12" s="153"/>
      <c r="AAB12" s="153"/>
      <c r="AAC12" s="153"/>
      <c r="AAD12" s="153"/>
      <c r="AAE12" s="153"/>
      <c r="AAF12" s="153"/>
      <c r="AAG12" s="153"/>
      <c r="AAH12" s="153"/>
      <c r="AAI12" s="153"/>
      <c r="AAJ12" s="153"/>
      <c r="AAK12" s="153"/>
      <c r="AAL12" s="153"/>
      <c r="AAM12" s="153"/>
      <c r="AAN12" s="153"/>
      <c r="AAO12" s="153"/>
      <c r="AAP12" s="153"/>
      <c r="AAQ12" s="153"/>
      <c r="AAR12" s="153"/>
      <c r="AAS12" s="153"/>
      <c r="AAT12" s="153"/>
      <c r="AAU12" s="153"/>
      <c r="AAV12" s="153"/>
      <c r="AAW12" s="153"/>
      <c r="AAX12" s="153"/>
      <c r="AAY12" s="153"/>
      <c r="AAZ12" s="153"/>
      <c r="ABA12" s="153"/>
      <c r="ABB12" s="153"/>
      <c r="ABC12" s="153"/>
      <c r="ABD12" s="153"/>
      <c r="ABE12" s="153"/>
      <c r="ABF12" s="153"/>
      <c r="ABG12" s="153"/>
      <c r="ABH12" s="153"/>
      <c r="ABI12" s="153"/>
      <c r="ABJ12" s="153"/>
      <c r="ABK12" s="153"/>
      <c r="ABL12" s="153"/>
      <c r="ABM12" s="153"/>
      <c r="ABN12" s="153"/>
      <c r="ABO12" s="153"/>
      <c r="ABP12" s="153"/>
      <c r="ABQ12" s="153"/>
      <c r="ABR12" s="153"/>
      <c r="ABS12" s="153"/>
      <c r="ABT12" s="153"/>
      <c r="ABU12" s="153"/>
      <c r="ABV12" s="153"/>
      <c r="ABW12" s="153"/>
      <c r="ABX12" s="153"/>
      <c r="ABY12" s="153"/>
      <c r="ABZ12" s="153"/>
      <c r="ACA12" s="153"/>
      <c r="ACB12" s="153"/>
      <c r="ACC12" s="153"/>
      <c r="ACD12" s="153"/>
      <c r="ACE12" s="153"/>
      <c r="ACF12" s="153"/>
      <c r="ACG12" s="153"/>
      <c r="ACH12" s="153"/>
      <c r="ACI12" s="153"/>
      <c r="ACJ12" s="153"/>
      <c r="ACK12" s="153"/>
      <c r="ACL12" s="153"/>
      <c r="ACM12" s="153"/>
      <c r="ACN12" s="153"/>
      <c r="ACO12" s="153"/>
      <c r="ACP12" s="153"/>
      <c r="ACQ12" s="153"/>
      <c r="ACR12" s="153"/>
      <c r="ACS12" s="153"/>
      <c r="ACT12" s="153"/>
      <c r="ACU12" s="153"/>
      <c r="ACV12" s="153"/>
      <c r="ACW12" s="153"/>
      <c r="ACX12" s="153"/>
      <c r="ACY12" s="153"/>
      <c r="ACZ12" s="153"/>
      <c r="ADA12" s="153"/>
      <c r="ADB12" s="153"/>
      <c r="ADC12" s="153"/>
      <c r="ADD12" s="153"/>
      <c r="ADE12" s="153"/>
      <c r="ADF12" s="153"/>
      <c r="ADG12" s="153"/>
      <c r="ADH12" s="153"/>
      <c r="ADI12" s="153"/>
      <c r="ADJ12" s="153"/>
      <c r="ADK12" s="153"/>
      <c r="ADL12" s="153"/>
      <c r="ADM12" s="153"/>
      <c r="ADN12" s="153"/>
      <c r="ADO12" s="153"/>
      <c r="ADP12" s="153"/>
      <c r="ADQ12" s="153"/>
      <c r="ADR12" s="153"/>
      <c r="ADS12" s="153"/>
      <c r="ADT12" s="153"/>
      <c r="ADU12" s="153"/>
      <c r="ADV12" s="153"/>
      <c r="ADW12" s="153"/>
      <c r="ADX12" s="153"/>
      <c r="ADY12" s="153"/>
      <c r="ADZ12" s="153"/>
      <c r="AEA12" s="153"/>
      <c r="AEB12" s="153"/>
      <c r="AEC12" s="153"/>
      <c r="AED12" s="153"/>
      <c r="AEE12" s="153"/>
      <c r="AEF12" s="153"/>
      <c r="AEG12" s="153"/>
      <c r="AEH12" s="153"/>
      <c r="AEI12" s="153"/>
      <c r="AEJ12" s="153"/>
      <c r="AEK12" s="153"/>
      <c r="AEL12" s="153"/>
      <c r="AEM12" s="153"/>
      <c r="AEN12" s="153"/>
      <c r="AEO12" s="153"/>
      <c r="AEP12" s="153"/>
      <c r="AEQ12" s="153"/>
      <c r="AER12" s="153"/>
      <c r="AES12" s="153"/>
      <c r="AET12" s="153"/>
      <c r="AEU12" s="153"/>
      <c r="AEV12" s="153"/>
      <c r="AEW12" s="153"/>
      <c r="AEX12" s="153"/>
      <c r="AEY12" s="153"/>
      <c r="AEZ12" s="153"/>
      <c r="AFA12" s="153"/>
      <c r="AFB12" s="153"/>
      <c r="AFC12" s="153"/>
      <c r="AFD12" s="153"/>
      <c r="AFE12" s="153"/>
      <c r="AFF12" s="153"/>
      <c r="AFG12" s="153"/>
      <c r="AFH12" s="153"/>
      <c r="AFI12" s="153"/>
      <c r="AFJ12" s="153"/>
      <c r="AFK12" s="153"/>
      <c r="AFL12" s="153"/>
      <c r="AFM12" s="153"/>
      <c r="AFN12" s="153"/>
      <c r="AFO12" s="153"/>
      <c r="AFP12" s="153"/>
      <c r="AFQ12" s="153"/>
      <c r="AFR12" s="153"/>
      <c r="AFS12" s="153"/>
      <c r="AFT12" s="153"/>
      <c r="AFU12" s="153"/>
      <c r="AFV12" s="153"/>
      <c r="AFW12" s="153"/>
      <c r="AFX12" s="153"/>
      <c r="AFY12" s="153"/>
      <c r="AFZ12" s="153"/>
      <c r="AGA12" s="153"/>
      <c r="AGB12" s="153"/>
      <c r="AGC12" s="153"/>
      <c r="AGD12" s="153"/>
      <c r="AGE12" s="153"/>
      <c r="AGF12" s="153"/>
      <c r="AGG12" s="153"/>
      <c r="AGH12" s="153"/>
      <c r="AGI12" s="153"/>
      <c r="AGJ12" s="153"/>
      <c r="AGK12" s="153"/>
      <c r="AGL12" s="153"/>
      <c r="AGM12" s="153"/>
      <c r="AGN12" s="153"/>
      <c r="AGO12" s="153"/>
      <c r="AGP12" s="153"/>
      <c r="AGQ12" s="153"/>
      <c r="AGR12" s="153"/>
      <c r="AGS12" s="153"/>
      <c r="AGT12" s="153"/>
      <c r="AGU12" s="153"/>
      <c r="AGV12" s="153"/>
      <c r="AGW12" s="153"/>
      <c r="AGX12" s="153"/>
      <c r="AGY12" s="153"/>
      <c r="AGZ12" s="153"/>
      <c r="AHA12" s="153"/>
      <c r="AHB12" s="153"/>
      <c r="AHC12" s="153"/>
      <c r="AHD12" s="153"/>
      <c r="AHE12" s="153"/>
      <c r="AHF12" s="153"/>
      <c r="AHG12" s="153"/>
      <c r="AHH12" s="153"/>
      <c r="AHI12" s="153"/>
      <c r="AHJ12" s="153"/>
      <c r="AHK12" s="153"/>
      <c r="AHL12" s="153"/>
      <c r="AHM12" s="153"/>
      <c r="AHN12" s="153"/>
      <c r="AHO12" s="153"/>
      <c r="AHP12" s="153"/>
      <c r="AHQ12" s="153"/>
      <c r="AHR12" s="153"/>
      <c r="AHS12" s="153"/>
      <c r="AHT12" s="153"/>
      <c r="AHU12" s="153"/>
      <c r="AHV12" s="153"/>
      <c r="AHW12" s="153"/>
      <c r="AHX12" s="153"/>
      <c r="AHY12" s="153"/>
      <c r="AHZ12" s="153"/>
      <c r="AIA12" s="153"/>
      <c r="AIB12" s="153"/>
      <c r="AIC12" s="153"/>
      <c r="AID12" s="153"/>
      <c r="AIE12" s="153"/>
      <c r="AIF12" s="153"/>
      <c r="AIG12" s="153"/>
      <c r="AIH12" s="153"/>
      <c r="AII12" s="153"/>
      <c r="AIJ12" s="153"/>
      <c r="AIK12" s="153"/>
      <c r="AIL12" s="153"/>
      <c r="AIM12" s="153"/>
      <c r="AIN12" s="153"/>
      <c r="AIO12" s="153"/>
      <c r="AIP12" s="153"/>
      <c r="AIQ12" s="153"/>
      <c r="AIR12" s="153"/>
      <c r="AIS12" s="153"/>
      <c r="AIT12" s="153"/>
      <c r="AIU12" s="153"/>
      <c r="AIV12" s="153"/>
      <c r="AIW12" s="153"/>
      <c r="AIX12" s="153"/>
      <c r="AIY12" s="153"/>
      <c r="AIZ12" s="153"/>
      <c r="AJA12" s="153"/>
      <c r="AJB12" s="153"/>
      <c r="AJC12" s="153"/>
      <c r="AJD12" s="153"/>
      <c r="AJE12" s="153"/>
      <c r="AJF12" s="153"/>
      <c r="AJG12" s="153"/>
      <c r="AJH12" s="153"/>
      <c r="AJI12" s="153"/>
      <c r="AJJ12" s="153"/>
      <c r="AJK12" s="153"/>
      <c r="AJL12" s="153"/>
      <c r="AJM12" s="153"/>
      <c r="AJN12" s="153"/>
      <c r="AJO12" s="153"/>
      <c r="AJP12" s="153"/>
      <c r="AJQ12" s="153"/>
      <c r="AJR12" s="153"/>
      <c r="AJS12" s="153"/>
      <c r="AJT12" s="153"/>
      <c r="AJU12" s="153"/>
      <c r="AJV12" s="153"/>
      <c r="AJW12" s="153"/>
      <c r="AJX12" s="153"/>
      <c r="AJY12" s="153"/>
      <c r="AJZ12" s="153"/>
      <c r="AKA12" s="153"/>
      <c r="AKB12" s="153"/>
      <c r="AKC12" s="153"/>
      <c r="AKD12" s="153"/>
      <c r="AKE12" s="153"/>
      <c r="AKF12" s="153"/>
      <c r="AKG12" s="153"/>
      <c r="AKH12" s="153"/>
      <c r="AKI12" s="153"/>
      <c r="AKJ12" s="153"/>
      <c r="AKK12" s="153"/>
      <c r="AKL12" s="153"/>
      <c r="AKM12" s="153"/>
      <c r="AKN12" s="153"/>
      <c r="AKO12" s="153"/>
      <c r="AKP12" s="153"/>
      <c r="AKQ12" s="153"/>
      <c r="AKR12" s="153"/>
      <c r="AKS12" s="153"/>
      <c r="AKT12" s="153"/>
      <c r="AKU12" s="153"/>
      <c r="AKV12" s="153"/>
      <c r="AKW12" s="153"/>
      <c r="AKX12" s="153"/>
      <c r="AKY12" s="153"/>
      <c r="AKZ12" s="153"/>
      <c r="ALA12" s="153"/>
      <c r="ALB12" s="153"/>
      <c r="ALC12" s="153"/>
      <c r="ALD12" s="153"/>
      <c r="ALE12" s="153"/>
      <c r="ALF12" s="153"/>
      <c r="ALG12" s="153"/>
      <c r="ALH12" s="153"/>
      <c r="ALI12" s="153"/>
      <c r="ALJ12" s="153"/>
      <c r="ALK12" s="153"/>
      <c r="ALL12" s="153"/>
      <c r="ALM12" s="153"/>
      <c r="ALN12" s="153"/>
      <c r="ALO12" s="153"/>
      <c r="ALP12" s="153"/>
      <c r="ALQ12" s="153"/>
      <c r="ALR12" s="153"/>
      <c r="ALS12" s="153"/>
      <c r="ALT12" s="153"/>
      <c r="ALU12" s="153"/>
      <c r="ALV12" s="153"/>
      <c r="ALW12" s="153"/>
      <c r="ALX12" s="153"/>
      <c r="ALY12" s="153"/>
      <c r="ALZ12" s="153"/>
      <c r="AMA12" s="153"/>
      <c r="AMB12" s="153"/>
      <c r="AMC12" s="153"/>
      <c r="AMD12" s="153"/>
      <c r="AME12" s="153"/>
      <c r="AMF12" s="153"/>
      <c r="AMG12" s="153"/>
      <c r="AMH12" s="153"/>
      <c r="AMI12" s="153"/>
      <c r="AMJ12" s="153"/>
      <c r="AMK12" s="153"/>
    </row>
    <row r="13" spans="1:1025" s="417" customFormat="1" ht="11.25" x14ac:dyDescent="0.2">
      <c r="A13" s="69" t="s">
        <v>825</v>
      </c>
      <c r="B13" s="335" t="s">
        <v>826</v>
      </c>
      <c r="C13" s="376">
        <v>1687717.42</v>
      </c>
      <c r="D13" s="376"/>
      <c r="E13" s="369">
        <f t="shared" si="0"/>
        <v>0</v>
      </c>
      <c r="F13" s="316">
        <f t="shared" si="1"/>
        <v>506315.22600000002</v>
      </c>
      <c r="G13" s="316">
        <f>D13*0.25</f>
        <v>0</v>
      </c>
      <c r="H13" s="316">
        <f t="shared" si="2"/>
        <v>210964.67749999999</v>
      </c>
      <c r="I13" s="373"/>
      <c r="J13" s="366"/>
      <c r="K13" s="257">
        <f t="shared" si="3"/>
        <v>0</v>
      </c>
      <c r="L13" s="316">
        <f t="shared" si="4"/>
        <v>210964.67749999999</v>
      </c>
      <c r="M13" s="336"/>
      <c r="N13" s="337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  <c r="DO13" s="153"/>
      <c r="DP13" s="153"/>
      <c r="DQ13" s="153"/>
      <c r="DR13" s="153"/>
      <c r="DS13" s="153"/>
      <c r="DT13" s="153"/>
      <c r="DU13" s="153"/>
      <c r="DV13" s="153"/>
      <c r="DW13" s="153"/>
      <c r="DX13" s="153"/>
      <c r="DY13" s="153"/>
      <c r="DZ13" s="153"/>
      <c r="EA13" s="153"/>
      <c r="EB13" s="153"/>
      <c r="EC13" s="153"/>
      <c r="ED13" s="153"/>
      <c r="EE13" s="153"/>
      <c r="EF13" s="153"/>
      <c r="EG13" s="153"/>
      <c r="EH13" s="153"/>
      <c r="EI13" s="153"/>
      <c r="EJ13" s="153"/>
      <c r="EK13" s="153"/>
      <c r="EL13" s="153"/>
      <c r="EM13" s="153"/>
      <c r="EN13" s="153"/>
      <c r="EO13" s="153"/>
      <c r="EP13" s="153"/>
      <c r="EQ13" s="153"/>
      <c r="ER13" s="153"/>
      <c r="ES13" s="153"/>
      <c r="ET13" s="153"/>
      <c r="EU13" s="153"/>
      <c r="EV13" s="153"/>
      <c r="EW13" s="153"/>
      <c r="EX13" s="153"/>
      <c r="EY13" s="153"/>
      <c r="EZ13" s="153"/>
      <c r="FA13" s="153"/>
      <c r="FB13" s="153"/>
      <c r="FC13" s="153"/>
      <c r="FD13" s="153"/>
      <c r="FE13" s="153"/>
      <c r="FF13" s="153"/>
      <c r="FG13" s="153"/>
      <c r="FH13" s="153"/>
      <c r="FI13" s="153"/>
      <c r="FJ13" s="153"/>
      <c r="FK13" s="153"/>
      <c r="FL13" s="153"/>
      <c r="FM13" s="153"/>
      <c r="FN13" s="153"/>
      <c r="FO13" s="153"/>
      <c r="FP13" s="153"/>
      <c r="FQ13" s="153"/>
      <c r="FR13" s="153"/>
      <c r="FS13" s="153"/>
      <c r="FT13" s="153"/>
      <c r="FU13" s="153"/>
      <c r="FV13" s="153"/>
      <c r="FW13" s="153"/>
      <c r="FX13" s="153"/>
      <c r="FY13" s="153"/>
      <c r="FZ13" s="153"/>
      <c r="GA13" s="153"/>
      <c r="GB13" s="153"/>
      <c r="GC13" s="153"/>
      <c r="GD13" s="153"/>
      <c r="GE13" s="153"/>
      <c r="GF13" s="153"/>
      <c r="GG13" s="153"/>
      <c r="GH13" s="153"/>
      <c r="GI13" s="153"/>
      <c r="GJ13" s="153"/>
      <c r="GK13" s="153"/>
      <c r="GL13" s="153"/>
      <c r="GM13" s="153"/>
      <c r="GN13" s="153"/>
      <c r="GO13" s="153"/>
      <c r="GP13" s="153"/>
      <c r="GQ13" s="153"/>
      <c r="GR13" s="153"/>
      <c r="GS13" s="153"/>
      <c r="GT13" s="153"/>
      <c r="GU13" s="153"/>
      <c r="GV13" s="153"/>
      <c r="GW13" s="153"/>
      <c r="GX13" s="153"/>
      <c r="GY13" s="153"/>
      <c r="GZ13" s="153"/>
      <c r="HA13" s="153"/>
      <c r="HB13" s="153"/>
      <c r="HC13" s="153"/>
      <c r="HD13" s="153"/>
      <c r="HE13" s="153"/>
      <c r="HF13" s="153"/>
      <c r="HG13" s="153"/>
      <c r="HH13" s="153"/>
      <c r="HI13" s="153"/>
      <c r="HJ13" s="153"/>
      <c r="HK13" s="153"/>
      <c r="HL13" s="153"/>
      <c r="HM13" s="153"/>
      <c r="HN13" s="153"/>
      <c r="HO13" s="153"/>
      <c r="HP13" s="153"/>
      <c r="HQ13" s="153"/>
      <c r="HR13" s="153"/>
      <c r="HS13" s="153"/>
      <c r="HT13" s="153"/>
      <c r="HU13" s="153"/>
      <c r="HV13" s="153"/>
      <c r="HW13" s="153"/>
      <c r="HX13" s="153"/>
      <c r="HY13" s="153"/>
      <c r="HZ13" s="153"/>
      <c r="IA13" s="153"/>
      <c r="IB13" s="153"/>
      <c r="IC13" s="153"/>
      <c r="ID13" s="153"/>
      <c r="IE13" s="153"/>
      <c r="IF13" s="153"/>
      <c r="IG13" s="153"/>
      <c r="IH13" s="153"/>
      <c r="II13" s="153"/>
      <c r="IJ13" s="153"/>
      <c r="IK13" s="153"/>
      <c r="IL13" s="153"/>
      <c r="IM13" s="153"/>
      <c r="IN13" s="153"/>
      <c r="IO13" s="153"/>
      <c r="IP13" s="153"/>
      <c r="IQ13" s="153"/>
      <c r="IR13" s="153"/>
      <c r="IS13" s="153"/>
      <c r="IT13" s="153"/>
      <c r="IU13" s="153"/>
      <c r="IV13" s="153"/>
      <c r="IW13" s="153"/>
      <c r="IX13" s="153"/>
      <c r="IY13" s="153"/>
      <c r="IZ13" s="153"/>
      <c r="JA13" s="153"/>
      <c r="JB13" s="153"/>
      <c r="JC13" s="153"/>
      <c r="JD13" s="153"/>
      <c r="JE13" s="153"/>
      <c r="JF13" s="153"/>
      <c r="JG13" s="153"/>
      <c r="JH13" s="153"/>
      <c r="JI13" s="153"/>
      <c r="JJ13" s="153"/>
      <c r="JK13" s="153"/>
      <c r="JL13" s="153"/>
      <c r="JM13" s="153"/>
      <c r="JN13" s="153"/>
      <c r="JO13" s="153"/>
      <c r="JP13" s="153"/>
      <c r="JQ13" s="153"/>
      <c r="JR13" s="153"/>
      <c r="JS13" s="153"/>
      <c r="JT13" s="153"/>
      <c r="JU13" s="153"/>
      <c r="JV13" s="153"/>
      <c r="JW13" s="153"/>
      <c r="JX13" s="153"/>
      <c r="JY13" s="153"/>
      <c r="JZ13" s="153"/>
      <c r="KA13" s="153"/>
      <c r="KB13" s="153"/>
      <c r="KC13" s="153"/>
      <c r="KD13" s="153"/>
      <c r="KE13" s="153"/>
      <c r="KF13" s="153"/>
      <c r="KG13" s="153"/>
      <c r="KH13" s="153"/>
      <c r="KI13" s="153"/>
      <c r="KJ13" s="153"/>
      <c r="KK13" s="153"/>
      <c r="KL13" s="153"/>
      <c r="KM13" s="153"/>
      <c r="KN13" s="153"/>
      <c r="KO13" s="153"/>
      <c r="KP13" s="153"/>
      <c r="KQ13" s="153"/>
      <c r="KR13" s="153"/>
      <c r="KS13" s="153"/>
      <c r="KT13" s="153"/>
      <c r="KU13" s="153"/>
      <c r="KV13" s="153"/>
      <c r="KW13" s="153"/>
      <c r="KX13" s="153"/>
      <c r="KY13" s="153"/>
      <c r="KZ13" s="153"/>
      <c r="LA13" s="153"/>
      <c r="LB13" s="153"/>
      <c r="LC13" s="153"/>
      <c r="LD13" s="153"/>
      <c r="LE13" s="153"/>
      <c r="LF13" s="153"/>
      <c r="LG13" s="153"/>
      <c r="LH13" s="153"/>
      <c r="LI13" s="153"/>
      <c r="LJ13" s="153"/>
      <c r="LK13" s="153"/>
      <c r="LL13" s="153"/>
      <c r="LM13" s="153"/>
      <c r="LN13" s="153"/>
      <c r="LO13" s="153"/>
      <c r="LP13" s="153"/>
      <c r="LQ13" s="153"/>
      <c r="LR13" s="153"/>
      <c r="LS13" s="153"/>
      <c r="LT13" s="153"/>
      <c r="LU13" s="153"/>
      <c r="LV13" s="153"/>
      <c r="LW13" s="153"/>
      <c r="LX13" s="153"/>
      <c r="LY13" s="153"/>
      <c r="LZ13" s="153"/>
      <c r="MA13" s="153"/>
      <c r="MB13" s="153"/>
      <c r="MC13" s="153"/>
      <c r="MD13" s="153"/>
      <c r="ME13" s="153"/>
      <c r="MF13" s="153"/>
      <c r="MG13" s="153"/>
      <c r="MH13" s="153"/>
      <c r="MI13" s="153"/>
      <c r="MJ13" s="153"/>
      <c r="MK13" s="153"/>
      <c r="ML13" s="153"/>
      <c r="MM13" s="153"/>
      <c r="MN13" s="153"/>
      <c r="MO13" s="153"/>
      <c r="MP13" s="153"/>
      <c r="MQ13" s="153"/>
      <c r="MR13" s="153"/>
      <c r="MS13" s="153"/>
      <c r="MT13" s="153"/>
      <c r="MU13" s="153"/>
      <c r="MV13" s="153"/>
      <c r="MW13" s="153"/>
      <c r="MX13" s="153"/>
      <c r="MY13" s="153"/>
      <c r="MZ13" s="153"/>
      <c r="NA13" s="153"/>
      <c r="NB13" s="153"/>
      <c r="NC13" s="153"/>
      <c r="ND13" s="153"/>
      <c r="NE13" s="153"/>
      <c r="NF13" s="153"/>
      <c r="NG13" s="153"/>
      <c r="NH13" s="153"/>
      <c r="NI13" s="153"/>
      <c r="NJ13" s="153"/>
      <c r="NK13" s="153"/>
      <c r="NL13" s="153"/>
      <c r="NM13" s="153"/>
      <c r="NN13" s="153"/>
      <c r="NO13" s="153"/>
      <c r="NP13" s="153"/>
      <c r="NQ13" s="153"/>
      <c r="NR13" s="153"/>
      <c r="NS13" s="153"/>
      <c r="NT13" s="153"/>
      <c r="NU13" s="153"/>
      <c r="NV13" s="153"/>
      <c r="NW13" s="153"/>
      <c r="NX13" s="153"/>
      <c r="NY13" s="153"/>
      <c r="NZ13" s="153"/>
      <c r="OA13" s="153"/>
      <c r="OB13" s="153"/>
      <c r="OC13" s="153"/>
      <c r="OD13" s="153"/>
      <c r="OE13" s="153"/>
      <c r="OF13" s="153"/>
      <c r="OG13" s="153"/>
      <c r="OH13" s="153"/>
      <c r="OI13" s="153"/>
      <c r="OJ13" s="153"/>
      <c r="OK13" s="153"/>
      <c r="OL13" s="153"/>
      <c r="OM13" s="153"/>
      <c r="ON13" s="153"/>
      <c r="OO13" s="153"/>
      <c r="OP13" s="153"/>
      <c r="OQ13" s="153"/>
      <c r="OR13" s="153"/>
      <c r="OS13" s="153"/>
      <c r="OT13" s="153"/>
      <c r="OU13" s="153"/>
      <c r="OV13" s="153"/>
      <c r="OW13" s="153"/>
      <c r="OX13" s="153"/>
      <c r="OY13" s="153"/>
      <c r="OZ13" s="153"/>
      <c r="PA13" s="153"/>
      <c r="PB13" s="153"/>
      <c r="PC13" s="153"/>
      <c r="PD13" s="153"/>
      <c r="PE13" s="153"/>
      <c r="PF13" s="153"/>
      <c r="PG13" s="153"/>
      <c r="PH13" s="153"/>
      <c r="PI13" s="153"/>
      <c r="PJ13" s="153"/>
      <c r="PK13" s="153"/>
      <c r="PL13" s="153"/>
      <c r="PM13" s="153"/>
      <c r="PN13" s="153"/>
      <c r="PO13" s="153"/>
      <c r="PP13" s="153"/>
      <c r="PQ13" s="153"/>
      <c r="PR13" s="153"/>
      <c r="PS13" s="153"/>
      <c r="PT13" s="153"/>
      <c r="PU13" s="153"/>
      <c r="PV13" s="153"/>
      <c r="PW13" s="153"/>
      <c r="PX13" s="153"/>
      <c r="PY13" s="153"/>
      <c r="PZ13" s="153"/>
      <c r="QA13" s="153"/>
      <c r="QB13" s="153"/>
      <c r="QC13" s="153"/>
      <c r="QD13" s="153"/>
      <c r="QE13" s="153"/>
      <c r="QF13" s="153"/>
      <c r="QG13" s="153"/>
      <c r="QH13" s="153"/>
      <c r="QI13" s="153"/>
      <c r="QJ13" s="153"/>
      <c r="QK13" s="153"/>
      <c r="QL13" s="153"/>
      <c r="QM13" s="153"/>
      <c r="QN13" s="153"/>
      <c r="QO13" s="153"/>
      <c r="QP13" s="153"/>
      <c r="QQ13" s="153"/>
      <c r="QR13" s="153"/>
      <c r="QS13" s="153"/>
      <c r="QT13" s="153"/>
      <c r="QU13" s="153"/>
      <c r="QV13" s="153"/>
      <c r="QW13" s="153"/>
      <c r="QX13" s="153"/>
      <c r="QY13" s="153"/>
      <c r="QZ13" s="153"/>
      <c r="RA13" s="153"/>
      <c r="RB13" s="153"/>
      <c r="RC13" s="153"/>
      <c r="RD13" s="153"/>
      <c r="RE13" s="153"/>
      <c r="RF13" s="153"/>
      <c r="RG13" s="153"/>
      <c r="RH13" s="153"/>
      <c r="RI13" s="153"/>
      <c r="RJ13" s="153"/>
      <c r="RK13" s="153"/>
      <c r="RL13" s="153"/>
      <c r="RM13" s="153"/>
      <c r="RN13" s="153"/>
      <c r="RO13" s="153"/>
      <c r="RP13" s="153"/>
      <c r="RQ13" s="153"/>
      <c r="RR13" s="153"/>
      <c r="RS13" s="153"/>
      <c r="RT13" s="153"/>
      <c r="RU13" s="153"/>
      <c r="RV13" s="153"/>
      <c r="RW13" s="153"/>
      <c r="RX13" s="153"/>
      <c r="RY13" s="153"/>
      <c r="RZ13" s="153"/>
      <c r="SA13" s="153"/>
      <c r="SB13" s="153"/>
      <c r="SC13" s="153"/>
      <c r="SD13" s="153"/>
      <c r="SE13" s="153"/>
      <c r="SF13" s="153"/>
      <c r="SG13" s="153"/>
      <c r="SH13" s="153"/>
      <c r="SI13" s="153"/>
      <c r="SJ13" s="153"/>
      <c r="SK13" s="153"/>
      <c r="SL13" s="153"/>
      <c r="SM13" s="153"/>
      <c r="SN13" s="153"/>
      <c r="SO13" s="153"/>
      <c r="SP13" s="153"/>
      <c r="SQ13" s="153"/>
      <c r="SR13" s="153"/>
      <c r="SS13" s="153"/>
      <c r="ST13" s="153"/>
      <c r="SU13" s="153"/>
      <c r="SV13" s="153"/>
      <c r="SW13" s="153"/>
      <c r="SX13" s="153"/>
      <c r="SY13" s="153"/>
      <c r="SZ13" s="153"/>
      <c r="TA13" s="153"/>
      <c r="TB13" s="153"/>
      <c r="TC13" s="153"/>
      <c r="TD13" s="153"/>
      <c r="TE13" s="153"/>
      <c r="TF13" s="153"/>
      <c r="TG13" s="153"/>
      <c r="TH13" s="153"/>
      <c r="TI13" s="153"/>
      <c r="TJ13" s="153"/>
      <c r="TK13" s="153"/>
      <c r="TL13" s="153"/>
      <c r="TM13" s="153"/>
      <c r="TN13" s="153"/>
      <c r="TO13" s="153"/>
      <c r="TP13" s="153"/>
      <c r="TQ13" s="153"/>
      <c r="TR13" s="153"/>
      <c r="TS13" s="153"/>
      <c r="TT13" s="153"/>
      <c r="TU13" s="153"/>
      <c r="TV13" s="153"/>
      <c r="TW13" s="153"/>
      <c r="TX13" s="153"/>
      <c r="TY13" s="153"/>
      <c r="TZ13" s="153"/>
      <c r="UA13" s="153"/>
      <c r="UB13" s="153"/>
      <c r="UC13" s="153"/>
      <c r="UD13" s="153"/>
      <c r="UE13" s="153"/>
      <c r="UF13" s="153"/>
      <c r="UG13" s="153"/>
      <c r="UH13" s="153"/>
      <c r="UI13" s="153"/>
      <c r="UJ13" s="153"/>
      <c r="UK13" s="153"/>
      <c r="UL13" s="153"/>
      <c r="UM13" s="153"/>
      <c r="UN13" s="153"/>
      <c r="UO13" s="153"/>
      <c r="UP13" s="153"/>
      <c r="UQ13" s="153"/>
      <c r="UR13" s="153"/>
      <c r="US13" s="153"/>
      <c r="UT13" s="153"/>
      <c r="UU13" s="153"/>
      <c r="UV13" s="153"/>
      <c r="UW13" s="153"/>
      <c r="UX13" s="153"/>
      <c r="UY13" s="153"/>
      <c r="UZ13" s="153"/>
      <c r="VA13" s="153"/>
      <c r="VB13" s="153"/>
      <c r="VC13" s="153"/>
      <c r="VD13" s="153"/>
      <c r="VE13" s="153"/>
      <c r="VF13" s="153"/>
      <c r="VG13" s="153"/>
      <c r="VH13" s="153"/>
      <c r="VI13" s="153"/>
      <c r="VJ13" s="153"/>
      <c r="VK13" s="153"/>
      <c r="VL13" s="153"/>
      <c r="VM13" s="153"/>
      <c r="VN13" s="153"/>
      <c r="VO13" s="153"/>
      <c r="VP13" s="153"/>
      <c r="VQ13" s="153"/>
      <c r="VR13" s="153"/>
      <c r="VS13" s="153"/>
      <c r="VT13" s="153"/>
      <c r="VU13" s="153"/>
      <c r="VV13" s="153"/>
      <c r="VW13" s="153"/>
      <c r="VX13" s="153"/>
      <c r="VY13" s="153"/>
      <c r="VZ13" s="153"/>
      <c r="WA13" s="153"/>
      <c r="WB13" s="153"/>
      <c r="WC13" s="153"/>
      <c r="WD13" s="153"/>
      <c r="WE13" s="153"/>
      <c r="WF13" s="153"/>
      <c r="WG13" s="153"/>
      <c r="WH13" s="153"/>
      <c r="WI13" s="153"/>
      <c r="WJ13" s="153"/>
      <c r="WK13" s="153"/>
      <c r="WL13" s="153"/>
      <c r="WM13" s="153"/>
      <c r="WN13" s="153"/>
      <c r="WO13" s="153"/>
      <c r="WP13" s="153"/>
      <c r="WQ13" s="153"/>
      <c r="WR13" s="153"/>
      <c r="WS13" s="153"/>
      <c r="WT13" s="153"/>
      <c r="WU13" s="153"/>
      <c r="WV13" s="153"/>
      <c r="WW13" s="153"/>
      <c r="WX13" s="153"/>
      <c r="WY13" s="153"/>
      <c r="WZ13" s="153"/>
      <c r="XA13" s="153"/>
      <c r="XB13" s="153"/>
      <c r="XC13" s="153"/>
      <c r="XD13" s="153"/>
      <c r="XE13" s="153"/>
      <c r="XF13" s="153"/>
      <c r="XG13" s="153"/>
      <c r="XH13" s="153"/>
      <c r="XI13" s="153"/>
      <c r="XJ13" s="153"/>
      <c r="XK13" s="153"/>
      <c r="XL13" s="153"/>
      <c r="XM13" s="153"/>
      <c r="XN13" s="153"/>
      <c r="XO13" s="153"/>
      <c r="XP13" s="153"/>
      <c r="XQ13" s="153"/>
      <c r="XR13" s="153"/>
      <c r="XS13" s="153"/>
      <c r="XT13" s="153"/>
      <c r="XU13" s="153"/>
      <c r="XV13" s="153"/>
      <c r="XW13" s="153"/>
      <c r="XX13" s="153"/>
      <c r="XY13" s="153"/>
      <c r="XZ13" s="153"/>
      <c r="YA13" s="153"/>
      <c r="YB13" s="153"/>
      <c r="YC13" s="153"/>
      <c r="YD13" s="153"/>
      <c r="YE13" s="153"/>
      <c r="YF13" s="153"/>
      <c r="YG13" s="153"/>
      <c r="YH13" s="153"/>
      <c r="YI13" s="153"/>
      <c r="YJ13" s="153"/>
      <c r="YK13" s="153"/>
      <c r="YL13" s="153"/>
      <c r="YM13" s="153"/>
      <c r="YN13" s="153"/>
      <c r="YO13" s="153"/>
      <c r="YP13" s="153"/>
      <c r="YQ13" s="153"/>
      <c r="YR13" s="153"/>
      <c r="YS13" s="153"/>
      <c r="YT13" s="153"/>
      <c r="YU13" s="153"/>
      <c r="YV13" s="153"/>
      <c r="YW13" s="153"/>
      <c r="YX13" s="153"/>
      <c r="YY13" s="153"/>
      <c r="YZ13" s="153"/>
      <c r="ZA13" s="153"/>
      <c r="ZB13" s="153"/>
      <c r="ZC13" s="153"/>
      <c r="ZD13" s="153"/>
      <c r="ZE13" s="153"/>
      <c r="ZF13" s="153"/>
      <c r="ZG13" s="153"/>
      <c r="ZH13" s="153"/>
      <c r="ZI13" s="153"/>
      <c r="ZJ13" s="153"/>
      <c r="ZK13" s="153"/>
      <c r="ZL13" s="153"/>
      <c r="ZM13" s="153"/>
      <c r="ZN13" s="153"/>
      <c r="ZO13" s="153"/>
      <c r="ZP13" s="153"/>
      <c r="ZQ13" s="153"/>
      <c r="ZR13" s="153"/>
      <c r="ZS13" s="153"/>
      <c r="ZT13" s="153"/>
      <c r="ZU13" s="153"/>
      <c r="ZV13" s="153"/>
      <c r="ZW13" s="153"/>
      <c r="ZX13" s="153"/>
      <c r="ZY13" s="153"/>
      <c r="ZZ13" s="153"/>
      <c r="AAA13" s="153"/>
      <c r="AAB13" s="153"/>
      <c r="AAC13" s="153"/>
      <c r="AAD13" s="153"/>
      <c r="AAE13" s="153"/>
      <c r="AAF13" s="153"/>
      <c r="AAG13" s="153"/>
      <c r="AAH13" s="153"/>
      <c r="AAI13" s="153"/>
      <c r="AAJ13" s="153"/>
      <c r="AAK13" s="153"/>
      <c r="AAL13" s="153"/>
      <c r="AAM13" s="153"/>
      <c r="AAN13" s="153"/>
      <c r="AAO13" s="153"/>
      <c r="AAP13" s="153"/>
      <c r="AAQ13" s="153"/>
      <c r="AAR13" s="153"/>
      <c r="AAS13" s="153"/>
      <c r="AAT13" s="153"/>
      <c r="AAU13" s="153"/>
      <c r="AAV13" s="153"/>
      <c r="AAW13" s="153"/>
      <c r="AAX13" s="153"/>
      <c r="AAY13" s="153"/>
      <c r="AAZ13" s="153"/>
      <c r="ABA13" s="153"/>
      <c r="ABB13" s="153"/>
      <c r="ABC13" s="153"/>
      <c r="ABD13" s="153"/>
      <c r="ABE13" s="153"/>
      <c r="ABF13" s="153"/>
      <c r="ABG13" s="153"/>
      <c r="ABH13" s="153"/>
      <c r="ABI13" s="153"/>
      <c r="ABJ13" s="153"/>
      <c r="ABK13" s="153"/>
      <c r="ABL13" s="153"/>
      <c r="ABM13" s="153"/>
      <c r="ABN13" s="153"/>
      <c r="ABO13" s="153"/>
      <c r="ABP13" s="153"/>
      <c r="ABQ13" s="153"/>
      <c r="ABR13" s="153"/>
      <c r="ABS13" s="153"/>
      <c r="ABT13" s="153"/>
      <c r="ABU13" s="153"/>
      <c r="ABV13" s="153"/>
      <c r="ABW13" s="153"/>
      <c r="ABX13" s="153"/>
      <c r="ABY13" s="153"/>
      <c r="ABZ13" s="153"/>
      <c r="ACA13" s="153"/>
      <c r="ACB13" s="153"/>
      <c r="ACC13" s="153"/>
      <c r="ACD13" s="153"/>
      <c r="ACE13" s="153"/>
      <c r="ACF13" s="153"/>
      <c r="ACG13" s="153"/>
      <c r="ACH13" s="153"/>
      <c r="ACI13" s="153"/>
      <c r="ACJ13" s="153"/>
      <c r="ACK13" s="153"/>
      <c r="ACL13" s="153"/>
      <c r="ACM13" s="153"/>
      <c r="ACN13" s="153"/>
      <c r="ACO13" s="153"/>
      <c r="ACP13" s="153"/>
      <c r="ACQ13" s="153"/>
      <c r="ACR13" s="153"/>
      <c r="ACS13" s="153"/>
      <c r="ACT13" s="153"/>
      <c r="ACU13" s="153"/>
      <c r="ACV13" s="153"/>
      <c r="ACW13" s="153"/>
      <c r="ACX13" s="153"/>
      <c r="ACY13" s="153"/>
      <c r="ACZ13" s="153"/>
      <c r="ADA13" s="153"/>
      <c r="ADB13" s="153"/>
      <c r="ADC13" s="153"/>
      <c r="ADD13" s="153"/>
      <c r="ADE13" s="153"/>
      <c r="ADF13" s="153"/>
      <c r="ADG13" s="153"/>
      <c r="ADH13" s="153"/>
      <c r="ADI13" s="153"/>
      <c r="ADJ13" s="153"/>
      <c r="ADK13" s="153"/>
      <c r="ADL13" s="153"/>
      <c r="ADM13" s="153"/>
      <c r="ADN13" s="153"/>
      <c r="ADO13" s="153"/>
      <c r="ADP13" s="153"/>
      <c r="ADQ13" s="153"/>
      <c r="ADR13" s="153"/>
      <c r="ADS13" s="153"/>
      <c r="ADT13" s="153"/>
      <c r="ADU13" s="153"/>
      <c r="ADV13" s="153"/>
      <c r="ADW13" s="153"/>
      <c r="ADX13" s="153"/>
      <c r="ADY13" s="153"/>
      <c r="ADZ13" s="153"/>
      <c r="AEA13" s="153"/>
      <c r="AEB13" s="153"/>
      <c r="AEC13" s="153"/>
      <c r="AED13" s="153"/>
      <c r="AEE13" s="153"/>
      <c r="AEF13" s="153"/>
      <c r="AEG13" s="153"/>
      <c r="AEH13" s="153"/>
      <c r="AEI13" s="153"/>
      <c r="AEJ13" s="153"/>
      <c r="AEK13" s="153"/>
      <c r="AEL13" s="153"/>
      <c r="AEM13" s="153"/>
      <c r="AEN13" s="153"/>
      <c r="AEO13" s="153"/>
      <c r="AEP13" s="153"/>
      <c r="AEQ13" s="153"/>
      <c r="AER13" s="153"/>
      <c r="AES13" s="153"/>
      <c r="AET13" s="153"/>
      <c r="AEU13" s="153"/>
      <c r="AEV13" s="153"/>
      <c r="AEW13" s="153"/>
      <c r="AEX13" s="153"/>
      <c r="AEY13" s="153"/>
      <c r="AEZ13" s="153"/>
      <c r="AFA13" s="153"/>
      <c r="AFB13" s="153"/>
      <c r="AFC13" s="153"/>
      <c r="AFD13" s="153"/>
      <c r="AFE13" s="153"/>
      <c r="AFF13" s="153"/>
      <c r="AFG13" s="153"/>
      <c r="AFH13" s="153"/>
      <c r="AFI13" s="153"/>
      <c r="AFJ13" s="153"/>
      <c r="AFK13" s="153"/>
      <c r="AFL13" s="153"/>
      <c r="AFM13" s="153"/>
      <c r="AFN13" s="153"/>
      <c r="AFO13" s="153"/>
      <c r="AFP13" s="153"/>
      <c r="AFQ13" s="153"/>
      <c r="AFR13" s="153"/>
      <c r="AFS13" s="153"/>
      <c r="AFT13" s="153"/>
      <c r="AFU13" s="153"/>
      <c r="AFV13" s="153"/>
      <c r="AFW13" s="153"/>
      <c r="AFX13" s="153"/>
      <c r="AFY13" s="153"/>
      <c r="AFZ13" s="153"/>
      <c r="AGA13" s="153"/>
      <c r="AGB13" s="153"/>
      <c r="AGC13" s="153"/>
      <c r="AGD13" s="153"/>
      <c r="AGE13" s="153"/>
      <c r="AGF13" s="153"/>
      <c r="AGG13" s="153"/>
      <c r="AGH13" s="153"/>
      <c r="AGI13" s="153"/>
      <c r="AGJ13" s="153"/>
      <c r="AGK13" s="153"/>
      <c r="AGL13" s="153"/>
      <c r="AGM13" s="153"/>
      <c r="AGN13" s="153"/>
      <c r="AGO13" s="153"/>
      <c r="AGP13" s="153"/>
      <c r="AGQ13" s="153"/>
      <c r="AGR13" s="153"/>
      <c r="AGS13" s="153"/>
      <c r="AGT13" s="153"/>
      <c r="AGU13" s="153"/>
      <c r="AGV13" s="153"/>
      <c r="AGW13" s="153"/>
      <c r="AGX13" s="153"/>
      <c r="AGY13" s="153"/>
      <c r="AGZ13" s="153"/>
      <c r="AHA13" s="153"/>
      <c r="AHB13" s="153"/>
      <c r="AHC13" s="153"/>
      <c r="AHD13" s="153"/>
      <c r="AHE13" s="153"/>
      <c r="AHF13" s="153"/>
      <c r="AHG13" s="153"/>
      <c r="AHH13" s="153"/>
      <c r="AHI13" s="153"/>
      <c r="AHJ13" s="153"/>
      <c r="AHK13" s="153"/>
      <c r="AHL13" s="153"/>
      <c r="AHM13" s="153"/>
      <c r="AHN13" s="153"/>
      <c r="AHO13" s="153"/>
      <c r="AHP13" s="153"/>
      <c r="AHQ13" s="153"/>
      <c r="AHR13" s="153"/>
      <c r="AHS13" s="153"/>
      <c r="AHT13" s="153"/>
      <c r="AHU13" s="153"/>
      <c r="AHV13" s="153"/>
      <c r="AHW13" s="153"/>
      <c r="AHX13" s="153"/>
      <c r="AHY13" s="153"/>
      <c r="AHZ13" s="153"/>
      <c r="AIA13" s="153"/>
      <c r="AIB13" s="153"/>
      <c r="AIC13" s="153"/>
      <c r="AID13" s="153"/>
      <c r="AIE13" s="153"/>
      <c r="AIF13" s="153"/>
      <c r="AIG13" s="153"/>
      <c r="AIH13" s="153"/>
      <c r="AII13" s="153"/>
      <c r="AIJ13" s="153"/>
      <c r="AIK13" s="153"/>
      <c r="AIL13" s="153"/>
      <c r="AIM13" s="153"/>
      <c r="AIN13" s="153"/>
      <c r="AIO13" s="153"/>
      <c r="AIP13" s="153"/>
      <c r="AIQ13" s="153"/>
      <c r="AIR13" s="153"/>
      <c r="AIS13" s="153"/>
      <c r="AIT13" s="153"/>
      <c r="AIU13" s="153"/>
      <c r="AIV13" s="153"/>
      <c r="AIW13" s="153"/>
      <c r="AIX13" s="153"/>
      <c r="AIY13" s="153"/>
      <c r="AIZ13" s="153"/>
      <c r="AJA13" s="153"/>
      <c r="AJB13" s="153"/>
      <c r="AJC13" s="153"/>
      <c r="AJD13" s="153"/>
      <c r="AJE13" s="153"/>
      <c r="AJF13" s="153"/>
      <c r="AJG13" s="153"/>
      <c r="AJH13" s="153"/>
      <c r="AJI13" s="153"/>
      <c r="AJJ13" s="153"/>
      <c r="AJK13" s="153"/>
      <c r="AJL13" s="153"/>
      <c r="AJM13" s="153"/>
      <c r="AJN13" s="153"/>
      <c r="AJO13" s="153"/>
      <c r="AJP13" s="153"/>
      <c r="AJQ13" s="153"/>
      <c r="AJR13" s="153"/>
      <c r="AJS13" s="153"/>
      <c r="AJT13" s="153"/>
      <c r="AJU13" s="153"/>
      <c r="AJV13" s="153"/>
      <c r="AJW13" s="153"/>
      <c r="AJX13" s="153"/>
      <c r="AJY13" s="153"/>
      <c r="AJZ13" s="153"/>
      <c r="AKA13" s="153"/>
      <c r="AKB13" s="153"/>
      <c r="AKC13" s="153"/>
      <c r="AKD13" s="153"/>
      <c r="AKE13" s="153"/>
      <c r="AKF13" s="153"/>
      <c r="AKG13" s="153"/>
      <c r="AKH13" s="153"/>
      <c r="AKI13" s="153"/>
      <c r="AKJ13" s="153"/>
      <c r="AKK13" s="153"/>
      <c r="AKL13" s="153"/>
      <c r="AKM13" s="153"/>
      <c r="AKN13" s="153"/>
      <c r="AKO13" s="153"/>
      <c r="AKP13" s="153"/>
      <c r="AKQ13" s="153"/>
      <c r="AKR13" s="153"/>
      <c r="AKS13" s="153"/>
      <c r="AKT13" s="153"/>
      <c r="AKU13" s="153"/>
      <c r="AKV13" s="153"/>
      <c r="AKW13" s="153"/>
      <c r="AKX13" s="153"/>
      <c r="AKY13" s="153"/>
      <c r="AKZ13" s="153"/>
      <c r="ALA13" s="153"/>
      <c r="ALB13" s="153"/>
      <c r="ALC13" s="153"/>
      <c r="ALD13" s="153"/>
      <c r="ALE13" s="153"/>
      <c r="ALF13" s="153"/>
      <c r="ALG13" s="153"/>
      <c r="ALH13" s="153"/>
      <c r="ALI13" s="153"/>
      <c r="ALJ13" s="153"/>
      <c r="ALK13" s="153"/>
      <c r="ALL13" s="153"/>
      <c r="ALM13" s="153"/>
      <c r="ALN13" s="153"/>
      <c r="ALO13" s="153"/>
      <c r="ALP13" s="153"/>
      <c r="ALQ13" s="153"/>
      <c r="ALR13" s="153"/>
      <c r="ALS13" s="153"/>
      <c r="ALT13" s="153"/>
      <c r="ALU13" s="153"/>
      <c r="ALV13" s="153"/>
      <c r="ALW13" s="153"/>
      <c r="ALX13" s="153"/>
      <c r="ALY13" s="153"/>
      <c r="ALZ13" s="153"/>
      <c r="AMA13" s="153"/>
      <c r="AMB13" s="153"/>
      <c r="AMC13" s="153"/>
      <c r="AMD13" s="153"/>
      <c r="AME13" s="153"/>
      <c r="AMF13" s="153"/>
      <c r="AMG13" s="153"/>
      <c r="AMH13" s="153"/>
      <c r="AMI13" s="153"/>
      <c r="AMJ13" s="153"/>
      <c r="AMK13" s="153"/>
    </row>
    <row r="14" spans="1:1025" s="417" customFormat="1" ht="11.25" x14ac:dyDescent="0.2">
      <c r="A14" s="69" t="s">
        <v>872</v>
      </c>
      <c r="B14" s="335" t="s">
        <v>873</v>
      </c>
      <c r="C14" s="376">
        <v>5266005.58</v>
      </c>
      <c r="D14" s="376"/>
      <c r="E14" s="369">
        <f t="shared" si="0"/>
        <v>0</v>
      </c>
      <c r="F14" s="316">
        <f t="shared" si="1"/>
        <v>1579801.6739999999</v>
      </c>
      <c r="G14" s="316">
        <f>D14*0.25</f>
        <v>0</v>
      </c>
      <c r="H14" s="316">
        <f t="shared" si="2"/>
        <v>658250.69750000001</v>
      </c>
      <c r="I14" s="373">
        <f>-D14*0.2</f>
        <v>0</v>
      </c>
      <c r="J14" s="374">
        <f>(((C14*0.2)/12)*6)+I14</f>
        <v>526600.55800000008</v>
      </c>
      <c r="K14" s="257">
        <f>D14*0.15</f>
        <v>0</v>
      </c>
      <c r="L14" s="316">
        <f t="shared" si="4"/>
        <v>658250.69750000001</v>
      </c>
      <c r="M14" s="336"/>
      <c r="N14" s="337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3"/>
      <c r="DX14" s="153"/>
      <c r="DY14" s="153"/>
      <c r="DZ14" s="153"/>
      <c r="EA14" s="153"/>
      <c r="EB14" s="153"/>
      <c r="EC14" s="153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53"/>
      <c r="EQ14" s="153"/>
      <c r="ER14" s="153"/>
      <c r="ES14" s="153"/>
      <c r="ET14" s="153"/>
      <c r="EU14" s="153"/>
      <c r="EV14" s="153"/>
      <c r="EW14" s="153"/>
      <c r="EX14" s="153"/>
      <c r="EY14" s="153"/>
      <c r="EZ14" s="153"/>
      <c r="FA14" s="153"/>
      <c r="FB14" s="153"/>
      <c r="FC14" s="153"/>
      <c r="FD14" s="153"/>
      <c r="FE14" s="153"/>
      <c r="FF14" s="153"/>
      <c r="FG14" s="153"/>
      <c r="FH14" s="153"/>
      <c r="FI14" s="153"/>
      <c r="FJ14" s="153"/>
      <c r="FK14" s="153"/>
      <c r="FL14" s="153"/>
      <c r="FM14" s="153"/>
      <c r="FN14" s="153"/>
      <c r="FO14" s="153"/>
      <c r="FP14" s="153"/>
      <c r="FQ14" s="153"/>
      <c r="FR14" s="153"/>
      <c r="FS14" s="153"/>
      <c r="FT14" s="153"/>
      <c r="FU14" s="153"/>
      <c r="FV14" s="153"/>
      <c r="FW14" s="153"/>
      <c r="FX14" s="153"/>
      <c r="FY14" s="153"/>
      <c r="FZ14" s="153"/>
      <c r="GA14" s="153"/>
      <c r="GB14" s="153"/>
      <c r="GC14" s="153"/>
      <c r="GD14" s="153"/>
      <c r="GE14" s="153"/>
      <c r="GF14" s="153"/>
      <c r="GG14" s="153"/>
      <c r="GH14" s="153"/>
      <c r="GI14" s="153"/>
      <c r="GJ14" s="153"/>
      <c r="GK14" s="153"/>
      <c r="GL14" s="153"/>
      <c r="GM14" s="153"/>
      <c r="GN14" s="153"/>
      <c r="GO14" s="153"/>
      <c r="GP14" s="153"/>
      <c r="GQ14" s="153"/>
      <c r="GR14" s="153"/>
      <c r="GS14" s="153"/>
      <c r="GT14" s="153"/>
      <c r="GU14" s="153"/>
      <c r="GV14" s="153"/>
      <c r="GW14" s="153"/>
      <c r="GX14" s="153"/>
      <c r="GY14" s="153"/>
      <c r="GZ14" s="153"/>
      <c r="HA14" s="153"/>
      <c r="HB14" s="153"/>
      <c r="HC14" s="153"/>
      <c r="HD14" s="153"/>
      <c r="HE14" s="153"/>
      <c r="HF14" s="153"/>
      <c r="HG14" s="153"/>
      <c r="HH14" s="153"/>
      <c r="HI14" s="153"/>
      <c r="HJ14" s="153"/>
      <c r="HK14" s="153"/>
      <c r="HL14" s="153"/>
      <c r="HM14" s="153"/>
      <c r="HN14" s="153"/>
      <c r="HO14" s="153"/>
      <c r="HP14" s="153"/>
      <c r="HQ14" s="153"/>
      <c r="HR14" s="153"/>
      <c r="HS14" s="153"/>
      <c r="HT14" s="153"/>
      <c r="HU14" s="153"/>
      <c r="HV14" s="153"/>
      <c r="HW14" s="153"/>
      <c r="HX14" s="153"/>
      <c r="HY14" s="153"/>
      <c r="HZ14" s="153"/>
      <c r="IA14" s="153"/>
      <c r="IB14" s="153"/>
      <c r="IC14" s="153"/>
      <c r="ID14" s="153"/>
      <c r="IE14" s="153"/>
      <c r="IF14" s="153"/>
      <c r="IG14" s="153"/>
      <c r="IH14" s="153"/>
      <c r="II14" s="153"/>
      <c r="IJ14" s="153"/>
      <c r="IK14" s="153"/>
      <c r="IL14" s="153"/>
      <c r="IM14" s="153"/>
      <c r="IN14" s="153"/>
      <c r="IO14" s="153"/>
      <c r="IP14" s="153"/>
      <c r="IQ14" s="153"/>
      <c r="IR14" s="153"/>
      <c r="IS14" s="153"/>
      <c r="IT14" s="153"/>
      <c r="IU14" s="153"/>
      <c r="IV14" s="153"/>
      <c r="IW14" s="153"/>
      <c r="IX14" s="153"/>
      <c r="IY14" s="153"/>
      <c r="IZ14" s="153"/>
      <c r="JA14" s="153"/>
      <c r="JB14" s="153"/>
      <c r="JC14" s="153"/>
      <c r="JD14" s="153"/>
      <c r="JE14" s="153"/>
      <c r="JF14" s="153"/>
      <c r="JG14" s="153"/>
      <c r="JH14" s="153"/>
      <c r="JI14" s="153"/>
      <c r="JJ14" s="153"/>
      <c r="JK14" s="153"/>
      <c r="JL14" s="153"/>
      <c r="JM14" s="153"/>
      <c r="JN14" s="153"/>
      <c r="JO14" s="153"/>
      <c r="JP14" s="153"/>
      <c r="JQ14" s="153"/>
      <c r="JR14" s="153"/>
      <c r="JS14" s="153"/>
      <c r="JT14" s="153"/>
      <c r="JU14" s="153"/>
      <c r="JV14" s="153"/>
      <c r="JW14" s="153"/>
      <c r="JX14" s="153"/>
      <c r="JY14" s="153"/>
      <c r="JZ14" s="153"/>
      <c r="KA14" s="153"/>
      <c r="KB14" s="153"/>
      <c r="KC14" s="153"/>
      <c r="KD14" s="153"/>
      <c r="KE14" s="153"/>
      <c r="KF14" s="153"/>
      <c r="KG14" s="153"/>
      <c r="KH14" s="153"/>
      <c r="KI14" s="153"/>
      <c r="KJ14" s="153"/>
      <c r="KK14" s="153"/>
      <c r="KL14" s="153"/>
      <c r="KM14" s="153"/>
      <c r="KN14" s="153"/>
      <c r="KO14" s="153"/>
      <c r="KP14" s="153"/>
      <c r="KQ14" s="153"/>
      <c r="KR14" s="153"/>
      <c r="KS14" s="153"/>
      <c r="KT14" s="153"/>
      <c r="KU14" s="153"/>
      <c r="KV14" s="153"/>
      <c r="KW14" s="153"/>
      <c r="KX14" s="153"/>
      <c r="KY14" s="153"/>
      <c r="KZ14" s="153"/>
      <c r="LA14" s="153"/>
      <c r="LB14" s="153"/>
      <c r="LC14" s="153"/>
      <c r="LD14" s="153"/>
      <c r="LE14" s="153"/>
      <c r="LF14" s="153"/>
      <c r="LG14" s="153"/>
      <c r="LH14" s="153"/>
      <c r="LI14" s="153"/>
      <c r="LJ14" s="153"/>
      <c r="LK14" s="153"/>
      <c r="LL14" s="153"/>
      <c r="LM14" s="153"/>
      <c r="LN14" s="153"/>
      <c r="LO14" s="153"/>
      <c r="LP14" s="153"/>
      <c r="LQ14" s="153"/>
      <c r="LR14" s="153"/>
      <c r="LS14" s="153"/>
      <c r="LT14" s="153"/>
      <c r="LU14" s="153"/>
      <c r="LV14" s="153"/>
      <c r="LW14" s="153"/>
      <c r="LX14" s="153"/>
      <c r="LY14" s="153"/>
      <c r="LZ14" s="153"/>
      <c r="MA14" s="153"/>
      <c r="MB14" s="153"/>
      <c r="MC14" s="153"/>
      <c r="MD14" s="153"/>
      <c r="ME14" s="153"/>
      <c r="MF14" s="153"/>
      <c r="MG14" s="153"/>
      <c r="MH14" s="153"/>
      <c r="MI14" s="153"/>
      <c r="MJ14" s="153"/>
      <c r="MK14" s="153"/>
      <c r="ML14" s="153"/>
      <c r="MM14" s="153"/>
      <c r="MN14" s="153"/>
      <c r="MO14" s="153"/>
      <c r="MP14" s="153"/>
      <c r="MQ14" s="153"/>
      <c r="MR14" s="153"/>
      <c r="MS14" s="153"/>
      <c r="MT14" s="153"/>
      <c r="MU14" s="153"/>
      <c r="MV14" s="153"/>
      <c r="MW14" s="153"/>
      <c r="MX14" s="153"/>
      <c r="MY14" s="153"/>
      <c r="MZ14" s="153"/>
      <c r="NA14" s="153"/>
      <c r="NB14" s="153"/>
      <c r="NC14" s="153"/>
      <c r="ND14" s="153"/>
      <c r="NE14" s="153"/>
      <c r="NF14" s="153"/>
      <c r="NG14" s="153"/>
      <c r="NH14" s="153"/>
      <c r="NI14" s="153"/>
      <c r="NJ14" s="153"/>
      <c r="NK14" s="153"/>
      <c r="NL14" s="153"/>
      <c r="NM14" s="153"/>
      <c r="NN14" s="153"/>
      <c r="NO14" s="153"/>
      <c r="NP14" s="153"/>
      <c r="NQ14" s="153"/>
      <c r="NR14" s="153"/>
      <c r="NS14" s="153"/>
      <c r="NT14" s="153"/>
      <c r="NU14" s="153"/>
      <c r="NV14" s="153"/>
      <c r="NW14" s="153"/>
      <c r="NX14" s="153"/>
      <c r="NY14" s="153"/>
      <c r="NZ14" s="153"/>
      <c r="OA14" s="153"/>
      <c r="OB14" s="153"/>
      <c r="OC14" s="153"/>
      <c r="OD14" s="153"/>
      <c r="OE14" s="153"/>
      <c r="OF14" s="153"/>
      <c r="OG14" s="153"/>
      <c r="OH14" s="153"/>
      <c r="OI14" s="153"/>
      <c r="OJ14" s="153"/>
      <c r="OK14" s="153"/>
      <c r="OL14" s="153"/>
      <c r="OM14" s="153"/>
      <c r="ON14" s="153"/>
      <c r="OO14" s="153"/>
      <c r="OP14" s="153"/>
      <c r="OQ14" s="153"/>
      <c r="OR14" s="153"/>
      <c r="OS14" s="153"/>
      <c r="OT14" s="153"/>
      <c r="OU14" s="153"/>
      <c r="OV14" s="153"/>
      <c r="OW14" s="153"/>
      <c r="OX14" s="153"/>
      <c r="OY14" s="153"/>
      <c r="OZ14" s="153"/>
      <c r="PA14" s="153"/>
      <c r="PB14" s="153"/>
      <c r="PC14" s="153"/>
      <c r="PD14" s="153"/>
      <c r="PE14" s="153"/>
      <c r="PF14" s="153"/>
      <c r="PG14" s="153"/>
      <c r="PH14" s="153"/>
      <c r="PI14" s="153"/>
      <c r="PJ14" s="153"/>
      <c r="PK14" s="153"/>
      <c r="PL14" s="153"/>
      <c r="PM14" s="153"/>
      <c r="PN14" s="153"/>
      <c r="PO14" s="153"/>
      <c r="PP14" s="153"/>
      <c r="PQ14" s="153"/>
      <c r="PR14" s="153"/>
      <c r="PS14" s="153"/>
      <c r="PT14" s="153"/>
      <c r="PU14" s="153"/>
      <c r="PV14" s="153"/>
      <c r="PW14" s="153"/>
      <c r="PX14" s="153"/>
      <c r="PY14" s="153"/>
      <c r="PZ14" s="153"/>
      <c r="QA14" s="153"/>
      <c r="QB14" s="153"/>
      <c r="QC14" s="153"/>
      <c r="QD14" s="153"/>
      <c r="QE14" s="153"/>
      <c r="QF14" s="153"/>
      <c r="QG14" s="153"/>
      <c r="QH14" s="153"/>
      <c r="QI14" s="153"/>
      <c r="QJ14" s="153"/>
      <c r="QK14" s="153"/>
      <c r="QL14" s="153"/>
      <c r="QM14" s="153"/>
      <c r="QN14" s="153"/>
      <c r="QO14" s="153"/>
      <c r="QP14" s="153"/>
      <c r="QQ14" s="153"/>
      <c r="QR14" s="153"/>
      <c r="QS14" s="153"/>
      <c r="QT14" s="153"/>
      <c r="QU14" s="153"/>
      <c r="QV14" s="153"/>
      <c r="QW14" s="153"/>
      <c r="QX14" s="153"/>
      <c r="QY14" s="153"/>
      <c r="QZ14" s="153"/>
      <c r="RA14" s="153"/>
      <c r="RB14" s="153"/>
      <c r="RC14" s="153"/>
      <c r="RD14" s="153"/>
      <c r="RE14" s="153"/>
      <c r="RF14" s="153"/>
      <c r="RG14" s="153"/>
      <c r="RH14" s="153"/>
      <c r="RI14" s="153"/>
      <c r="RJ14" s="153"/>
      <c r="RK14" s="153"/>
      <c r="RL14" s="153"/>
      <c r="RM14" s="153"/>
      <c r="RN14" s="153"/>
      <c r="RO14" s="153"/>
      <c r="RP14" s="153"/>
      <c r="RQ14" s="153"/>
      <c r="RR14" s="153"/>
      <c r="RS14" s="153"/>
      <c r="RT14" s="153"/>
      <c r="RU14" s="153"/>
      <c r="RV14" s="153"/>
      <c r="RW14" s="153"/>
      <c r="RX14" s="153"/>
      <c r="RY14" s="153"/>
      <c r="RZ14" s="153"/>
      <c r="SA14" s="153"/>
      <c r="SB14" s="153"/>
      <c r="SC14" s="153"/>
      <c r="SD14" s="153"/>
      <c r="SE14" s="153"/>
      <c r="SF14" s="153"/>
      <c r="SG14" s="153"/>
      <c r="SH14" s="153"/>
      <c r="SI14" s="153"/>
      <c r="SJ14" s="153"/>
      <c r="SK14" s="153"/>
      <c r="SL14" s="153"/>
      <c r="SM14" s="153"/>
      <c r="SN14" s="153"/>
      <c r="SO14" s="153"/>
      <c r="SP14" s="153"/>
      <c r="SQ14" s="153"/>
      <c r="SR14" s="153"/>
      <c r="SS14" s="153"/>
      <c r="ST14" s="153"/>
      <c r="SU14" s="153"/>
      <c r="SV14" s="153"/>
      <c r="SW14" s="153"/>
      <c r="SX14" s="153"/>
      <c r="SY14" s="153"/>
      <c r="SZ14" s="153"/>
      <c r="TA14" s="153"/>
      <c r="TB14" s="153"/>
      <c r="TC14" s="153"/>
      <c r="TD14" s="153"/>
      <c r="TE14" s="153"/>
      <c r="TF14" s="153"/>
      <c r="TG14" s="153"/>
      <c r="TH14" s="153"/>
      <c r="TI14" s="153"/>
      <c r="TJ14" s="153"/>
      <c r="TK14" s="153"/>
      <c r="TL14" s="153"/>
      <c r="TM14" s="153"/>
      <c r="TN14" s="153"/>
      <c r="TO14" s="153"/>
      <c r="TP14" s="153"/>
      <c r="TQ14" s="153"/>
      <c r="TR14" s="153"/>
      <c r="TS14" s="153"/>
      <c r="TT14" s="153"/>
      <c r="TU14" s="153"/>
      <c r="TV14" s="153"/>
      <c r="TW14" s="153"/>
      <c r="TX14" s="153"/>
      <c r="TY14" s="153"/>
      <c r="TZ14" s="153"/>
      <c r="UA14" s="153"/>
      <c r="UB14" s="153"/>
      <c r="UC14" s="153"/>
      <c r="UD14" s="153"/>
      <c r="UE14" s="153"/>
      <c r="UF14" s="153"/>
      <c r="UG14" s="153"/>
      <c r="UH14" s="153"/>
      <c r="UI14" s="153"/>
      <c r="UJ14" s="153"/>
      <c r="UK14" s="153"/>
      <c r="UL14" s="153"/>
      <c r="UM14" s="153"/>
      <c r="UN14" s="153"/>
      <c r="UO14" s="153"/>
      <c r="UP14" s="153"/>
      <c r="UQ14" s="153"/>
      <c r="UR14" s="153"/>
      <c r="US14" s="153"/>
      <c r="UT14" s="153"/>
      <c r="UU14" s="153"/>
      <c r="UV14" s="153"/>
      <c r="UW14" s="153"/>
      <c r="UX14" s="153"/>
      <c r="UY14" s="153"/>
      <c r="UZ14" s="153"/>
      <c r="VA14" s="153"/>
      <c r="VB14" s="153"/>
      <c r="VC14" s="153"/>
      <c r="VD14" s="153"/>
      <c r="VE14" s="153"/>
      <c r="VF14" s="153"/>
      <c r="VG14" s="153"/>
      <c r="VH14" s="153"/>
      <c r="VI14" s="153"/>
      <c r="VJ14" s="153"/>
      <c r="VK14" s="153"/>
      <c r="VL14" s="153"/>
      <c r="VM14" s="153"/>
      <c r="VN14" s="153"/>
      <c r="VO14" s="153"/>
      <c r="VP14" s="153"/>
      <c r="VQ14" s="153"/>
      <c r="VR14" s="153"/>
      <c r="VS14" s="153"/>
      <c r="VT14" s="153"/>
      <c r="VU14" s="153"/>
      <c r="VV14" s="153"/>
      <c r="VW14" s="153"/>
      <c r="VX14" s="153"/>
      <c r="VY14" s="153"/>
      <c r="VZ14" s="153"/>
      <c r="WA14" s="153"/>
      <c r="WB14" s="153"/>
      <c r="WC14" s="153"/>
      <c r="WD14" s="153"/>
      <c r="WE14" s="153"/>
      <c r="WF14" s="153"/>
      <c r="WG14" s="153"/>
      <c r="WH14" s="153"/>
      <c r="WI14" s="153"/>
      <c r="WJ14" s="153"/>
      <c r="WK14" s="153"/>
      <c r="WL14" s="153"/>
      <c r="WM14" s="153"/>
      <c r="WN14" s="153"/>
      <c r="WO14" s="153"/>
      <c r="WP14" s="153"/>
      <c r="WQ14" s="153"/>
      <c r="WR14" s="153"/>
      <c r="WS14" s="153"/>
      <c r="WT14" s="153"/>
      <c r="WU14" s="153"/>
      <c r="WV14" s="153"/>
      <c r="WW14" s="153"/>
      <c r="WX14" s="153"/>
      <c r="WY14" s="153"/>
      <c r="WZ14" s="153"/>
      <c r="XA14" s="153"/>
      <c r="XB14" s="153"/>
      <c r="XC14" s="153"/>
      <c r="XD14" s="153"/>
      <c r="XE14" s="153"/>
      <c r="XF14" s="153"/>
      <c r="XG14" s="153"/>
      <c r="XH14" s="153"/>
      <c r="XI14" s="153"/>
      <c r="XJ14" s="153"/>
      <c r="XK14" s="153"/>
      <c r="XL14" s="153"/>
      <c r="XM14" s="153"/>
      <c r="XN14" s="153"/>
      <c r="XO14" s="153"/>
      <c r="XP14" s="153"/>
      <c r="XQ14" s="153"/>
      <c r="XR14" s="153"/>
      <c r="XS14" s="153"/>
      <c r="XT14" s="153"/>
      <c r="XU14" s="153"/>
      <c r="XV14" s="153"/>
      <c r="XW14" s="153"/>
      <c r="XX14" s="153"/>
      <c r="XY14" s="153"/>
      <c r="XZ14" s="153"/>
      <c r="YA14" s="153"/>
      <c r="YB14" s="153"/>
      <c r="YC14" s="153"/>
      <c r="YD14" s="153"/>
      <c r="YE14" s="153"/>
      <c r="YF14" s="153"/>
      <c r="YG14" s="153"/>
      <c r="YH14" s="153"/>
      <c r="YI14" s="153"/>
      <c r="YJ14" s="153"/>
      <c r="YK14" s="153"/>
      <c r="YL14" s="153"/>
      <c r="YM14" s="153"/>
      <c r="YN14" s="153"/>
      <c r="YO14" s="153"/>
      <c r="YP14" s="153"/>
      <c r="YQ14" s="153"/>
      <c r="YR14" s="153"/>
      <c r="YS14" s="153"/>
      <c r="YT14" s="153"/>
      <c r="YU14" s="153"/>
      <c r="YV14" s="153"/>
      <c r="YW14" s="153"/>
      <c r="YX14" s="153"/>
      <c r="YY14" s="153"/>
      <c r="YZ14" s="153"/>
      <c r="ZA14" s="153"/>
      <c r="ZB14" s="153"/>
      <c r="ZC14" s="153"/>
      <c r="ZD14" s="153"/>
      <c r="ZE14" s="153"/>
      <c r="ZF14" s="153"/>
      <c r="ZG14" s="153"/>
      <c r="ZH14" s="153"/>
      <c r="ZI14" s="153"/>
      <c r="ZJ14" s="153"/>
      <c r="ZK14" s="153"/>
      <c r="ZL14" s="153"/>
      <c r="ZM14" s="153"/>
      <c r="ZN14" s="153"/>
      <c r="ZO14" s="153"/>
      <c r="ZP14" s="153"/>
      <c r="ZQ14" s="153"/>
      <c r="ZR14" s="153"/>
      <c r="ZS14" s="153"/>
      <c r="ZT14" s="153"/>
      <c r="ZU14" s="153"/>
      <c r="ZV14" s="153"/>
      <c r="ZW14" s="153"/>
      <c r="ZX14" s="153"/>
      <c r="ZY14" s="153"/>
      <c r="ZZ14" s="153"/>
      <c r="AAA14" s="153"/>
      <c r="AAB14" s="153"/>
      <c r="AAC14" s="153"/>
      <c r="AAD14" s="153"/>
      <c r="AAE14" s="153"/>
      <c r="AAF14" s="153"/>
      <c r="AAG14" s="153"/>
      <c r="AAH14" s="153"/>
      <c r="AAI14" s="153"/>
      <c r="AAJ14" s="153"/>
      <c r="AAK14" s="153"/>
      <c r="AAL14" s="153"/>
      <c r="AAM14" s="153"/>
      <c r="AAN14" s="153"/>
      <c r="AAO14" s="153"/>
      <c r="AAP14" s="153"/>
      <c r="AAQ14" s="153"/>
      <c r="AAR14" s="153"/>
      <c r="AAS14" s="153"/>
      <c r="AAT14" s="153"/>
      <c r="AAU14" s="153"/>
      <c r="AAV14" s="153"/>
      <c r="AAW14" s="153"/>
      <c r="AAX14" s="153"/>
      <c r="AAY14" s="153"/>
      <c r="AAZ14" s="153"/>
      <c r="ABA14" s="153"/>
      <c r="ABB14" s="153"/>
      <c r="ABC14" s="153"/>
      <c r="ABD14" s="153"/>
      <c r="ABE14" s="153"/>
      <c r="ABF14" s="153"/>
      <c r="ABG14" s="153"/>
      <c r="ABH14" s="153"/>
      <c r="ABI14" s="153"/>
      <c r="ABJ14" s="153"/>
      <c r="ABK14" s="153"/>
      <c r="ABL14" s="153"/>
      <c r="ABM14" s="153"/>
      <c r="ABN14" s="153"/>
      <c r="ABO14" s="153"/>
      <c r="ABP14" s="153"/>
      <c r="ABQ14" s="153"/>
      <c r="ABR14" s="153"/>
      <c r="ABS14" s="153"/>
      <c r="ABT14" s="153"/>
      <c r="ABU14" s="153"/>
      <c r="ABV14" s="153"/>
      <c r="ABW14" s="153"/>
      <c r="ABX14" s="153"/>
      <c r="ABY14" s="153"/>
      <c r="ABZ14" s="153"/>
      <c r="ACA14" s="153"/>
      <c r="ACB14" s="153"/>
      <c r="ACC14" s="153"/>
      <c r="ACD14" s="153"/>
      <c r="ACE14" s="153"/>
      <c r="ACF14" s="153"/>
      <c r="ACG14" s="153"/>
      <c r="ACH14" s="153"/>
      <c r="ACI14" s="153"/>
      <c r="ACJ14" s="153"/>
      <c r="ACK14" s="153"/>
      <c r="ACL14" s="153"/>
      <c r="ACM14" s="153"/>
      <c r="ACN14" s="153"/>
      <c r="ACO14" s="153"/>
      <c r="ACP14" s="153"/>
      <c r="ACQ14" s="153"/>
      <c r="ACR14" s="153"/>
      <c r="ACS14" s="153"/>
      <c r="ACT14" s="153"/>
      <c r="ACU14" s="153"/>
      <c r="ACV14" s="153"/>
      <c r="ACW14" s="153"/>
      <c r="ACX14" s="153"/>
      <c r="ACY14" s="153"/>
      <c r="ACZ14" s="153"/>
      <c r="ADA14" s="153"/>
      <c r="ADB14" s="153"/>
      <c r="ADC14" s="153"/>
      <c r="ADD14" s="153"/>
      <c r="ADE14" s="153"/>
      <c r="ADF14" s="153"/>
      <c r="ADG14" s="153"/>
      <c r="ADH14" s="153"/>
      <c r="ADI14" s="153"/>
      <c r="ADJ14" s="153"/>
      <c r="ADK14" s="153"/>
      <c r="ADL14" s="153"/>
      <c r="ADM14" s="153"/>
      <c r="ADN14" s="153"/>
      <c r="ADO14" s="153"/>
      <c r="ADP14" s="153"/>
      <c r="ADQ14" s="153"/>
      <c r="ADR14" s="153"/>
      <c r="ADS14" s="153"/>
      <c r="ADT14" s="153"/>
      <c r="ADU14" s="153"/>
      <c r="ADV14" s="153"/>
      <c r="ADW14" s="153"/>
      <c r="ADX14" s="153"/>
      <c r="ADY14" s="153"/>
      <c r="ADZ14" s="153"/>
      <c r="AEA14" s="153"/>
      <c r="AEB14" s="153"/>
      <c r="AEC14" s="153"/>
      <c r="AED14" s="153"/>
      <c r="AEE14" s="153"/>
      <c r="AEF14" s="153"/>
      <c r="AEG14" s="153"/>
      <c r="AEH14" s="153"/>
      <c r="AEI14" s="153"/>
      <c r="AEJ14" s="153"/>
      <c r="AEK14" s="153"/>
      <c r="AEL14" s="153"/>
      <c r="AEM14" s="153"/>
      <c r="AEN14" s="153"/>
      <c r="AEO14" s="153"/>
      <c r="AEP14" s="153"/>
      <c r="AEQ14" s="153"/>
      <c r="AER14" s="153"/>
      <c r="AES14" s="153"/>
      <c r="AET14" s="153"/>
      <c r="AEU14" s="153"/>
      <c r="AEV14" s="153"/>
      <c r="AEW14" s="153"/>
      <c r="AEX14" s="153"/>
      <c r="AEY14" s="153"/>
      <c r="AEZ14" s="153"/>
      <c r="AFA14" s="153"/>
      <c r="AFB14" s="153"/>
      <c r="AFC14" s="153"/>
      <c r="AFD14" s="153"/>
      <c r="AFE14" s="153"/>
      <c r="AFF14" s="153"/>
      <c r="AFG14" s="153"/>
      <c r="AFH14" s="153"/>
      <c r="AFI14" s="153"/>
      <c r="AFJ14" s="153"/>
      <c r="AFK14" s="153"/>
      <c r="AFL14" s="153"/>
      <c r="AFM14" s="153"/>
      <c r="AFN14" s="153"/>
      <c r="AFO14" s="153"/>
      <c r="AFP14" s="153"/>
      <c r="AFQ14" s="153"/>
      <c r="AFR14" s="153"/>
      <c r="AFS14" s="153"/>
      <c r="AFT14" s="153"/>
      <c r="AFU14" s="153"/>
      <c r="AFV14" s="153"/>
      <c r="AFW14" s="153"/>
      <c r="AFX14" s="153"/>
      <c r="AFY14" s="153"/>
      <c r="AFZ14" s="153"/>
      <c r="AGA14" s="153"/>
      <c r="AGB14" s="153"/>
      <c r="AGC14" s="153"/>
      <c r="AGD14" s="153"/>
      <c r="AGE14" s="153"/>
      <c r="AGF14" s="153"/>
      <c r="AGG14" s="153"/>
      <c r="AGH14" s="153"/>
      <c r="AGI14" s="153"/>
      <c r="AGJ14" s="153"/>
      <c r="AGK14" s="153"/>
      <c r="AGL14" s="153"/>
      <c r="AGM14" s="153"/>
      <c r="AGN14" s="153"/>
      <c r="AGO14" s="153"/>
      <c r="AGP14" s="153"/>
      <c r="AGQ14" s="153"/>
      <c r="AGR14" s="153"/>
      <c r="AGS14" s="153"/>
      <c r="AGT14" s="153"/>
      <c r="AGU14" s="153"/>
      <c r="AGV14" s="153"/>
      <c r="AGW14" s="153"/>
      <c r="AGX14" s="153"/>
      <c r="AGY14" s="153"/>
      <c r="AGZ14" s="153"/>
      <c r="AHA14" s="153"/>
      <c r="AHB14" s="153"/>
      <c r="AHC14" s="153"/>
      <c r="AHD14" s="153"/>
      <c r="AHE14" s="153"/>
      <c r="AHF14" s="153"/>
      <c r="AHG14" s="153"/>
      <c r="AHH14" s="153"/>
      <c r="AHI14" s="153"/>
      <c r="AHJ14" s="153"/>
      <c r="AHK14" s="153"/>
      <c r="AHL14" s="153"/>
      <c r="AHM14" s="153"/>
      <c r="AHN14" s="153"/>
      <c r="AHO14" s="153"/>
      <c r="AHP14" s="153"/>
      <c r="AHQ14" s="153"/>
      <c r="AHR14" s="153"/>
      <c r="AHS14" s="153"/>
      <c r="AHT14" s="153"/>
      <c r="AHU14" s="153"/>
      <c r="AHV14" s="153"/>
      <c r="AHW14" s="153"/>
      <c r="AHX14" s="153"/>
      <c r="AHY14" s="153"/>
      <c r="AHZ14" s="153"/>
      <c r="AIA14" s="153"/>
      <c r="AIB14" s="153"/>
      <c r="AIC14" s="153"/>
      <c r="AID14" s="153"/>
      <c r="AIE14" s="153"/>
      <c r="AIF14" s="153"/>
      <c r="AIG14" s="153"/>
      <c r="AIH14" s="153"/>
      <c r="AII14" s="153"/>
      <c r="AIJ14" s="153"/>
      <c r="AIK14" s="153"/>
      <c r="AIL14" s="153"/>
      <c r="AIM14" s="153"/>
      <c r="AIN14" s="153"/>
      <c r="AIO14" s="153"/>
      <c r="AIP14" s="153"/>
      <c r="AIQ14" s="153"/>
      <c r="AIR14" s="153"/>
      <c r="AIS14" s="153"/>
      <c r="AIT14" s="153"/>
      <c r="AIU14" s="153"/>
      <c r="AIV14" s="153"/>
      <c r="AIW14" s="153"/>
      <c r="AIX14" s="153"/>
      <c r="AIY14" s="153"/>
      <c r="AIZ14" s="153"/>
      <c r="AJA14" s="153"/>
      <c r="AJB14" s="153"/>
      <c r="AJC14" s="153"/>
      <c r="AJD14" s="153"/>
      <c r="AJE14" s="153"/>
      <c r="AJF14" s="153"/>
      <c r="AJG14" s="153"/>
      <c r="AJH14" s="153"/>
      <c r="AJI14" s="153"/>
      <c r="AJJ14" s="153"/>
      <c r="AJK14" s="153"/>
      <c r="AJL14" s="153"/>
      <c r="AJM14" s="153"/>
      <c r="AJN14" s="153"/>
      <c r="AJO14" s="153"/>
      <c r="AJP14" s="153"/>
      <c r="AJQ14" s="153"/>
      <c r="AJR14" s="153"/>
      <c r="AJS14" s="153"/>
      <c r="AJT14" s="153"/>
      <c r="AJU14" s="153"/>
      <c r="AJV14" s="153"/>
      <c r="AJW14" s="153"/>
      <c r="AJX14" s="153"/>
      <c r="AJY14" s="153"/>
      <c r="AJZ14" s="153"/>
      <c r="AKA14" s="153"/>
      <c r="AKB14" s="153"/>
      <c r="AKC14" s="153"/>
      <c r="AKD14" s="153"/>
      <c r="AKE14" s="153"/>
      <c r="AKF14" s="153"/>
      <c r="AKG14" s="153"/>
      <c r="AKH14" s="153"/>
      <c r="AKI14" s="153"/>
      <c r="AKJ14" s="153"/>
      <c r="AKK14" s="153"/>
      <c r="AKL14" s="153"/>
      <c r="AKM14" s="153"/>
      <c r="AKN14" s="153"/>
      <c r="AKO14" s="153"/>
      <c r="AKP14" s="153"/>
      <c r="AKQ14" s="153"/>
      <c r="AKR14" s="153"/>
      <c r="AKS14" s="153"/>
      <c r="AKT14" s="153"/>
      <c r="AKU14" s="153"/>
      <c r="AKV14" s="153"/>
      <c r="AKW14" s="153"/>
      <c r="AKX14" s="153"/>
      <c r="AKY14" s="153"/>
      <c r="AKZ14" s="153"/>
      <c r="ALA14" s="153"/>
      <c r="ALB14" s="153"/>
      <c r="ALC14" s="153"/>
      <c r="ALD14" s="153"/>
      <c r="ALE14" s="153"/>
      <c r="ALF14" s="153"/>
      <c r="ALG14" s="153"/>
      <c r="ALH14" s="153"/>
      <c r="ALI14" s="153"/>
      <c r="ALJ14" s="153"/>
      <c r="ALK14" s="153"/>
      <c r="ALL14" s="153"/>
      <c r="ALM14" s="153"/>
      <c r="ALN14" s="153"/>
      <c r="ALO14" s="153"/>
      <c r="ALP14" s="153"/>
      <c r="ALQ14" s="153"/>
      <c r="ALR14" s="153"/>
      <c r="ALS14" s="153"/>
      <c r="ALT14" s="153"/>
      <c r="ALU14" s="153"/>
      <c r="ALV14" s="153"/>
      <c r="ALW14" s="153"/>
      <c r="ALX14" s="153"/>
      <c r="ALY14" s="153"/>
      <c r="ALZ14" s="153"/>
      <c r="AMA14" s="153"/>
      <c r="AMB14" s="153"/>
      <c r="AMC14" s="153"/>
      <c r="AMD14" s="153"/>
      <c r="AME14" s="153"/>
      <c r="AMF14" s="153"/>
      <c r="AMG14" s="153"/>
      <c r="AMH14" s="153"/>
      <c r="AMI14" s="153"/>
      <c r="AMJ14" s="153"/>
      <c r="AMK14" s="153"/>
    </row>
    <row r="15" spans="1:1025" s="417" customFormat="1" ht="11.25" x14ac:dyDescent="0.2">
      <c r="A15" s="69" t="s">
        <v>827</v>
      </c>
      <c r="B15" s="371" t="s">
        <v>828</v>
      </c>
      <c r="C15" s="376">
        <v>1381728.86</v>
      </c>
      <c r="D15" s="376">
        <f>101242.63+25310.55</f>
        <v>126553.18000000001</v>
      </c>
      <c r="E15" s="373">
        <f t="shared" si="0"/>
        <v>75931.907999999996</v>
      </c>
      <c r="F15" s="316">
        <f t="shared" si="1"/>
        <v>338586.75</v>
      </c>
      <c r="G15" s="375">
        <f>(D15*0.05)</f>
        <v>6327.6590000000006</v>
      </c>
      <c r="H15" s="370">
        <f t="shared" si="2"/>
        <v>166388.4485</v>
      </c>
      <c r="I15" s="373">
        <f>-D15*0.2</f>
        <v>-25310.636000000002</v>
      </c>
      <c r="J15" s="374">
        <f>(((C15*0.2)/12)*6)+I15</f>
        <v>112862.25000000003</v>
      </c>
      <c r="K15" s="257">
        <f t="shared" si="3"/>
        <v>18982.976999999999</v>
      </c>
      <c r="L15" s="316">
        <f t="shared" si="4"/>
        <v>153733.13050000003</v>
      </c>
      <c r="M15" s="336"/>
      <c r="N15" s="336"/>
      <c r="O15" s="337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  <c r="DT15" s="153"/>
      <c r="DU15" s="153"/>
      <c r="DV15" s="153"/>
      <c r="DW15" s="153"/>
      <c r="DX15" s="153"/>
      <c r="DY15" s="153"/>
      <c r="DZ15" s="153"/>
      <c r="EA15" s="153"/>
      <c r="EB15" s="153"/>
      <c r="EC15" s="153"/>
      <c r="ED15" s="153"/>
      <c r="EE15" s="153"/>
      <c r="EF15" s="153"/>
      <c r="EG15" s="153"/>
      <c r="EH15" s="153"/>
      <c r="EI15" s="153"/>
      <c r="EJ15" s="153"/>
      <c r="EK15" s="153"/>
      <c r="EL15" s="153"/>
      <c r="EM15" s="153"/>
      <c r="EN15" s="153"/>
      <c r="EO15" s="153"/>
      <c r="EP15" s="153"/>
      <c r="EQ15" s="153"/>
      <c r="ER15" s="153"/>
      <c r="ES15" s="153"/>
      <c r="ET15" s="153"/>
      <c r="EU15" s="153"/>
      <c r="EV15" s="153"/>
      <c r="EW15" s="153"/>
      <c r="EX15" s="153"/>
      <c r="EY15" s="153"/>
      <c r="EZ15" s="153"/>
      <c r="FA15" s="153"/>
      <c r="FB15" s="153"/>
      <c r="FC15" s="153"/>
      <c r="FD15" s="153"/>
      <c r="FE15" s="153"/>
      <c r="FF15" s="153"/>
      <c r="FG15" s="153"/>
      <c r="FH15" s="153"/>
      <c r="FI15" s="153"/>
      <c r="FJ15" s="153"/>
      <c r="FK15" s="153"/>
      <c r="FL15" s="153"/>
      <c r="FM15" s="153"/>
      <c r="FN15" s="153"/>
      <c r="FO15" s="153"/>
      <c r="FP15" s="153"/>
      <c r="FQ15" s="153"/>
      <c r="FR15" s="153"/>
      <c r="FS15" s="153"/>
      <c r="FT15" s="153"/>
      <c r="FU15" s="153"/>
      <c r="FV15" s="153"/>
      <c r="FW15" s="153"/>
      <c r="FX15" s="153"/>
      <c r="FY15" s="153"/>
      <c r="FZ15" s="153"/>
      <c r="GA15" s="153"/>
      <c r="GB15" s="153"/>
      <c r="GC15" s="153"/>
      <c r="GD15" s="153"/>
      <c r="GE15" s="153"/>
      <c r="GF15" s="153"/>
      <c r="GG15" s="153"/>
      <c r="GH15" s="153"/>
      <c r="GI15" s="153"/>
      <c r="GJ15" s="153"/>
      <c r="GK15" s="153"/>
      <c r="GL15" s="153"/>
      <c r="GM15" s="153"/>
      <c r="GN15" s="153"/>
      <c r="GO15" s="153"/>
      <c r="GP15" s="153"/>
      <c r="GQ15" s="153"/>
      <c r="GR15" s="153"/>
      <c r="GS15" s="153"/>
      <c r="GT15" s="153"/>
      <c r="GU15" s="153"/>
      <c r="GV15" s="153"/>
      <c r="GW15" s="153"/>
      <c r="GX15" s="153"/>
      <c r="GY15" s="153"/>
      <c r="GZ15" s="153"/>
      <c r="HA15" s="153"/>
      <c r="HB15" s="153"/>
      <c r="HC15" s="153"/>
      <c r="HD15" s="153"/>
      <c r="HE15" s="153"/>
      <c r="HF15" s="153"/>
      <c r="HG15" s="153"/>
      <c r="HH15" s="153"/>
      <c r="HI15" s="153"/>
      <c r="HJ15" s="153"/>
      <c r="HK15" s="153"/>
      <c r="HL15" s="153"/>
      <c r="HM15" s="153"/>
      <c r="HN15" s="153"/>
      <c r="HO15" s="153"/>
      <c r="HP15" s="153"/>
      <c r="HQ15" s="153"/>
      <c r="HR15" s="153"/>
      <c r="HS15" s="153"/>
      <c r="HT15" s="153"/>
      <c r="HU15" s="153"/>
      <c r="HV15" s="153"/>
      <c r="HW15" s="153"/>
      <c r="HX15" s="153"/>
      <c r="HY15" s="153"/>
      <c r="HZ15" s="153"/>
      <c r="IA15" s="153"/>
      <c r="IB15" s="153"/>
      <c r="IC15" s="153"/>
      <c r="ID15" s="153"/>
      <c r="IE15" s="153"/>
      <c r="IF15" s="153"/>
      <c r="IG15" s="153"/>
      <c r="IH15" s="153"/>
      <c r="II15" s="153"/>
      <c r="IJ15" s="153"/>
      <c r="IK15" s="153"/>
      <c r="IL15" s="153"/>
      <c r="IM15" s="153"/>
      <c r="IN15" s="153"/>
      <c r="IO15" s="153"/>
      <c r="IP15" s="153"/>
      <c r="IQ15" s="153"/>
      <c r="IR15" s="153"/>
      <c r="IS15" s="153"/>
      <c r="IT15" s="153"/>
      <c r="IU15" s="153"/>
      <c r="IV15" s="153"/>
      <c r="IW15" s="153"/>
      <c r="IX15" s="153"/>
      <c r="IY15" s="153"/>
      <c r="IZ15" s="153"/>
      <c r="JA15" s="153"/>
      <c r="JB15" s="153"/>
      <c r="JC15" s="153"/>
      <c r="JD15" s="153"/>
      <c r="JE15" s="153"/>
      <c r="JF15" s="153"/>
      <c r="JG15" s="153"/>
      <c r="JH15" s="153"/>
      <c r="JI15" s="153"/>
      <c r="JJ15" s="153"/>
      <c r="JK15" s="153"/>
      <c r="JL15" s="153"/>
      <c r="JM15" s="153"/>
      <c r="JN15" s="153"/>
      <c r="JO15" s="153"/>
      <c r="JP15" s="153"/>
      <c r="JQ15" s="153"/>
      <c r="JR15" s="153"/>
      <c r="JS15" s="153"/>
      <c r="JT15" s="153"/>
      <c r="JU15" s="153"/>
      <c r="JV15" s="153"/>
      <c r="JW15" s="153"/>
      <c r="JX15" s="153"/>
      <c r="JY15" s="153"/>
      <c r="JZ15" s="153"/>
      <c r="KA15" s="153"/>
      <c r="KB15" s="153"/>
      <c r="KC15" s="153"/>
      <c r="KD15" s="153"/>
      <c r="KE15" s="153"/>
      <c r="KF15" s="153"/>
      <c r="KG15" s="153"/>
      <c r="KH15" s="153"/>
      <c r="KI15" s="153"/>
      <c r="KJ15" s="153"/>
      <c r="KK15" s="153"/>
      <c r="KL15" s="153"/>
      <c r="KM15" s="153"/>
      <c r="KN15" s="153"/>
      <c r="KO15" s="153"/>
      <c r="KP15" s="153"/>
      <c r="KQ15" s="153"/>
      <c r="KR15" s="153"/>
      <c r="KS15" s="153"/>
      <c r="KT15" s="153"/>
      <c r="KU15" s="153"/>
      <c r="KV15" s="153"/>
      <c r="KW15" s="153"/>
      <c r="KX15" s="153"/>
      <c r="KY15" s="153"/>
      <c r="KZ15" s="153"/>
      <c r="LA15" s="153"/>
      <c r="LB15" s="153"/>
      <c r="LC15" s="153"/>
      <c r="LD15" s="153"/>
      <c r="LE15" s="153"/>
      <c r="LF15" s="153"/>
      <c r="LG15" s="153"/>
      <c r="LH15" s="153"/>
      <c r="LI15" s="153"/>
      <c r="LJ15" s="153"/>
      <c r="LK15" s="153"/>
      <c r="LL15" s="153"/>
      <c r="LM15" s="153"/>
      <c r="LN15" s="153"/>
      <c r="LO15" s="153"/>
      <c r="LP15" s="153"/>
      <c r="LQ15" s="153"/>
      <c r="LR15" s="153"/>
      <c r="LS15" s="153"/>
      <c r="LT15" s="153"/>
      <c r="LU15" s="153"/>
      <c r="LV15" s="153"/>
      <c r="LW15" s="153"/>
      <c r="LX15" s="153"/>
      <c r="LY15" s="153"/>
      <c r="LZ15" s="153"/>
      <c r="MA15" s="153"/>
      <c r="MB15" s="153"/>
      <c r="MC15" s="153"/>
      <c r="MD15" s="153"/>
      <c r="ME15" s="153"/>
      <c r="MF15" s="153"/>
      <c r="MG15" s="153"/>
      <c r="MH15" s="153"/>
      <c r="MI15" s="153"/>
      <c r="MJ15" s="153"/>
      <c r="MK15" s="153"/>
      <c r="ML15" s="153"/>
      <c r="MM15" s="153"/>
      <c r="MN15" s="153"/>
      <c r="MO15" s="153"/>
      <c r="MP15" s="153"/>
      <c r="MQ15" s="153"/>
      <c r="MR15" s="153"/>
      <c r="MS15" s="153"/>
      <c r="MT15" s="153"/>
      <c r="MU15" s="153"/>
      <c r="MV15" s="153"/>
      <c r="MW15" s="153"/>
      <c r="MX15" s="153"/>
      <c r="MY15" s="153"/>
      <c r="MZ15" s="153"/>
      <c r="NA15" s="153"/>
      <c r="NB15" s="153"/>
      <c r="NC15" s="153"/>
      <c r="ND15" s="153"/>
      <c r="NE15" s="153"/>
      <c r="NF15" s="153"/>
      <c r="NG15" s="153"/>
      <c r="NH15" s="153"/>
      <c r="NI15" s="153"/>
      <c r="NJ15" s="153"/>
      <c r="NK15" s="153"/>
      <c r="NL15" s="153"/>
      <c r="NM15" s="153"/>
      <c r="NN15" s="153"/>
      <c r="NO15" s="153"/>
      <c r="NP15" s="153"/>
      <c r="NQ15" s="153"/>
      <c r="NR15" s="153"/>
      <c r="NS15" s="153"/>
      <c r="NT15" s="153"/>
      <c r="NU15" s="153"/>
      <c r="NV15" s="153"/>
      <c r="NW15" s="153"/>
      <c r="NX15" s="153"/>
      <c r="NY15" s="153"/>
      <c r="NZ15" s="153"/>
      <c r="OA15" s="153"/>
      <c r="OB15" s="153"/>
      <c r="OC15" s="153"/>
      <c r="OD15" s="153"/>
      <c r="OE15" s="153"/>
      <c r="OF15" s="153"/>
      <c r="OG15" s="153"/>
      <c r="OH15" s="153"/>
      <c r="OI15" s="153"/>
      <c r="OJ15" s="153"/>
      <c r="OK15" s="153"/>
      <c r="OL15" s="153"/>
      <c r="OM15" s="153"/>
      <c r="ON15" s="153"/>
      <c r="OO15" s="153"/>
      <c r="OP15" s="153"/>
      <c r="OQ15" s="153"/>
      <c r="OR15" s="153"/>
      <c r="OS15" s="153"/>
      <c r="OT15" s="153"/>
      <c r="OU15" s="153"/>
      <c r="OV15" s="153"/>
      <c r="OW15" s="153"/>
      <c r="OX15" s="153"/>
      <c r="OY15" s="153"/>
      <c r="OZ15" s="153"/>
      <c r="PA15" s="153"/>
      <c r="PB15" s="153"/>
      <c r="PC15" s="153"/>
      <c r="PD15" s="153"/>
      <c r="PE15" s="153"/>
      <c r="PF15" s="153"/>
      <c r="PG15" s="153"/>
      <c r="PH15" s="153"/>
      <c r="PI15" s="153"/>
      <c r="PJ15" s="153"/>
      <c r="PK15" s="153"/>
      <c r="PL15" s="153"/>
      <c r="PM15" s="153"/>
      <c r="PN15" s="153"/>
      <c r="PO15" s="153"/>
      <c r="PP15" s="153"/>
      <c r="PQ15" s="153"/>
      <c r="PR15" s="153"/>
      <c r="PS15" s="153"/>
      <c r="PT15" s="153"/>
      <c r="PU15" s="153"/>
      <c r="PV15" s="153"/>
      <c r="PW15" s="153"/>
      <c r="PX15" s="153"/>
      <c r="PY15" s="153"/>
      <c r="PZ15" s="153"/>
      <c r="QA15" s="153"/>
      <c r="QB15" s="153"/>
      <c r="QC15" s="153"/>
      <c r="QD15" s="153"/>
      <c r="QE15" s="153"/>
      <c r="QF15" s="153"/>
      <c r="QG15" s="153"/>
      <c r="QH15" s="153"/>
      <c r="QI15" s="153"/>
      <c r="QJ15" s="153"/>
      <c r="QK15" s="153"/>
      <c r="QL15" s="153"/>
      <c r="QM15" s="153"/>
      <c r="QN15" s="153"/>
      <c r="QO15" s="153"/>
      <c r="QP15" s="153"/>
      <c r="QQ15" s="153"/>
      <c r="QR15" s="153"/>
      <c r="QS15" s="153"/>
      <c r="QT15" s="153"/>
      <c r="QU15" s="153"/>
      <c r="QV15" s="153"/>
      <c r="QW15" s="153"/>
      <c r="QX15" s="153"/>
      <c r="QY15" s="153"/>
      <c r="QZ15" s="153"/>
      <c r="RA15" s="153"/>
      <c r="RB15" s="153"/>
      <c r="RC15" s="153"/>
      <c r="RD15" s="153"/>
      <c r="RE15" s="153"/>
      <c r="RF15" s="153"/>
      <c r="RG15" s="153"/>
      <c r="RH15" s="153"/>
      <c r="RI15" s="153"/>
      <c r="RJ15" s="153"/>
      <c r="RK15" s="153"/>
      <c r="RL15" s="153"/>
      <c r="RM15" s="153"/>
      <c r="RN15" s="153"/>
      <c r="RO15" s="153"/>
      <c r="RP15" s="153"/>
      <c r="RQ15" s="153"/>
      <c r="RR15" s="153"/>
      <c r="RS15" s="153"/>
      <c r="RT15" s="153"/>
      <c r="RU15" s="153"/>
      <c r="RV15" s="153"/>
      <c r="RW15" s="153"/>
      <c r="RX15" s="153"/>
      <c r="RY15" s="153"/>
      <c r="RZ15" s="153"/>
      <c r="SA15" s="153"/>
      <c r="SB15" s="153"/>
      <c r="SC15" s="153"/>
      <c r="SD15" s="153"/>
      <c r="SE15" s="153"/>
      <c r="SF15" s="153"/>
      <c r="SG15" s="153"/>
      <c r="SH15" s="153"/>
      <c r="SI15" s="153"/>
      <c r="SJ15" s="153"/>
      <c r="SK15" s="153"/>
      <c r="SL15" s="153"/>
      <c r="SM15" s="153"/>
      <c r="SN15" s="153"/>
      <c r="SO15" s="153"/>
      <c r="SP15" s="153"/>
      <c r="SQ15" s="153"/>
      <c r="SR15" s="153"/>
      <c r="SS15" s="153"/>
      <c r="ST15" s="153"/>
      <c r="SU15" s="153"/>
      <c r="SV15" s="153"/>
      <c r="SW15" s="153"/>
      <c r="SX15" s="153"/>
      <c r="SY15" s="153"/>
      <c r="SZ15" s="153"/>
      <c r="TA15" s="153"/>
      <c r="TB15" s="153"/>
      <c r="TC15" s="153"/>
      <c r="TD15" s="153"/>
      <c r="TE15" s="153"/>
      <c r="TF15" s="153"/>
      <c r="TG15" s="153"/>
      <c r="TH15" s="153"/>
      <c r="TI15" s="153"/>
      <c r="TJ15" s="153"/>
      <c r="TK15" s="153"/>
      <c r="TL15" s="153"/>
      <c r="TM15" s="153"/>
      <c r="TN15" s="153"/>
      <c r="TO15" s="153"/>
      <c r="TP15" s="153"/>
      <c r="TQ15" s="153"/>
      <c r="TR15" s="153"/>
      <c r="TS15" s="153"/>
      <c r="TT15" s="153"/>
      <c r="TU15" s="153"/>
      <c r="TV15" s="153"/>
      <c r="TW15" s="153"/>
      <c r="TX15" s="153"/>
      <c r="TY15" s="153"/>
      <c r="TZ15" s="153"/>
      <c r="UA15" s="153"/>
      <c r="UB15" s="153"/>
      <c r="UC15" s="153"/>
      <c r="UD15" s="153"/>
      <c r="UE15" s="153"/>
      <c r="UF15" s="153"/>
      <c r="UG15" s="153"/>
      <c r="UH15" s="153"/>
      <c r="UI15" s="153"/>
      <c r="UJ15" s="153"/>
      <c r="UK15" s="153"/>
      <c r="UL15" s="153"/>
      <c r="UM15" s="153"/>
      <c r="UN15" s="153"/>
      <c r="UO15" s="153"/>
      <c r="UP15" s="153"/>
      <c r="UQ15" s="153"/>
      <c r="UR15" s="153"/>
      <c r="US15" s="153"/>
      <c r="UT15" s="153"/>
      <c r="UU15" s="153"/>
      <c r="UV15" s="153"/>
      <c r="UW15" s="153"/>
      <c r="UX15" s="153"/>
      <c r="UY15" s="153"/>
      <c r="UZ15" s="153"/>
      <c r="VA15" s="153"/>
      <c r="VB15" s="153"/>
      <c r="VC15" s="153"/>
      <c r="VD15" s="153"/>
      <c r="VE15" s="153"/>
      <c r="VF15" s="153"/>
      <c r="VG15" s="153"/>
      <c r="VH15" s="153"/>
      <c r="VI15" s="153"/>
      <c r="VJ15" s="153"/>
      <c r="VK15" s="153"/>
      <c r="VL15" s="153"/>
      <c r="VM15" s="153"/>
      <c r="VN15" s="153"/>
      <c r="VO15" s="153"/>
      <c r="VP15" s="153"/>
      <c r="VQ15" s="153"/>
      <c r="VR15" s="153"/>
      <c r="VS15" s="153"/>
      <c r="VT15" s="153"/>
      <c r="VU15" s="153"/>
      <c r="VV15" s="153"/>
      <c r="VW15" s="153"/>
      <c r="VX15" s="153"/>
      <c r="VY15" s="153"/>
      <c r="VZ15" s="153"/>
      <c r="WA15" s="153"/>
      <c r="WB15" s="153"/>
      <c r="WC15" s="153"/>
      <c r="WD15" s="153"/>
      <c r="WE15" s="153"/>
      <c r="WF15" s="153"/>
      <c r="WG15" s="153"/>
      <c r="WH15" s="153"/>
      <c r="WI15" s="153"/>
      <c r="WJ15" s="153"/>
      <c r="WK15" s="153"/>
      <c r="WL15" s="153"/>
      <c r="WM15" s="153"/>
      <c r="WN15" s="153"/>
      <c r="WO15" s="153"/>
      <c r="WP15" s="153"/>
      <c r="WQ15" s="153"/>
      <c r="WR15" s="153"/>
      <c r="WS15" s="153"/>
      <c r="WT15" s="153"/>
      <c r="WU15" s="153"/>
      <c r="WV15" s="153"/>
      <c r="WW15" s="153"/>
      <c r="WX15" s="153"/>
      <c r="WY15" s="153"/>
      <c r="WZ15" s="153"/>
      <c r="XA15" s="153"/>
      <c r="XB15" s="153"/>
      <c r="XC15" s="153"/>
      <c r="XD15" s="153"/>
      <c r="XE15" s="153"/>
      <c r="XF15" s="153"/>
      <c r="XG15" s="153"/>
      <c r="XH15" s="153"/>
      <c r="XI15" s="153"/>
      <c r="XJ15" s="153"/>
      <c r="XK15" s="153"/>
      <c r="XL15" s="153"/>
      <c r="XM15" s="153"/>
      <c r="XN15" s="153"/>
      <c r="XO15" s="153"/>
      <c r="XP15" s="153"/>
      <c r="XQ15" s="153"/>
      <c r="XR15" s="153"/>
      <c r="XS15" s="153"/>
      <c r="XT15" s="153"/>
      <c r="XU15" s="153"/>
      <c r="XV15" s="153"/>
      <c r="XW15" s="153"/>
      <c r="XX15" s="153"/>
      <c r="XY15" s="153"/>
      <c r="XZ15" s="153"/>
      <c r="YA15" s="153"/>
      <c r="YB15" s="153"/>
      <c r="YC15" s="153"/>
      <c r="YD15" s="153"/>
      <c r="YE15" s="153"/>
      <c r="YF15" s="153"/>
      <c r="YG15" s="153"/>
      <c r="YH15" s="153"/>
      <c r="YI15" s="153"/>
      <c r="YJ15" s="153"/>
      <c r="YK15" s="153"/>
      <c r="YL15" s="153"/>
      <c r="YM15" s="153"/>
      <c r="YN15" s="153"/>
      <c r="YO15" s="153"/>
      <c r="YP15" s="153"/>
      <c r="YQ15" s="153"/>
      <c r="YR15" s="153"/>
      <c r="YS15" s="153"/>
      <c r="YT15" s="153"/>
      <c r="YU15" s="153"/>
      <c r="YV15" s="153"/>
      <c r="YW15" s="153"/>
      <c r="YX15" s="153"/>
      <c r="YY15" s="153"/>
      <c r="YZ15" s="153"/>
      <c r="ZA15" s="153"/>
      <c r="ZB15" s="153"/>
      <c r="ZC15" s="153"/>
      <c r="ZD15" s="153"/>
      <c r="ZE15" s="153"/>
      <c r="ZF15" s="153"/>
      <c r="ZG15" s="153"/>
      <c r="ZH15" s="153"/>
      <c r="ZI15" s="153"/>
      <c r="ZJ15" s="153"/>
      <c r="ZK15" s="153"/>
      <c r="ZL15" s="153"/>
      <c r="ZM15" s="153"/>
      <c r="ZN15" s="153"/>
      <c r="ZO15" s="153"/>
      <c r="ZP15" s="153"/>
      <c r="ZQ15" s="153"/>
      <c r="ZR15" s="153"/>
      <c r="ZS15" s="153"/>
      <c r="ZT15" s="153"/>
      <c r="ZU15" s="153"/>
      <c r="ZV15" s="153"/>
      <c r="ZW15" s="153"/>
      <c r="ZX15" s="153"/>
      <c r="ZY15" s="153"/>
      <c r="ZZ15" s="153"/>
      <c r="AAA15" s="153"/>
      <c r="AAB15" s="153"/>
      <c r="AAC15" s="153"/>
      <c r="AAD15" s="153"/>
      <c r="AAE15" s="153"/>
      <c r="AAF15" s="153"/>
      <c r="AAG15" s="153"/>
      <c r="AAH15" s="153"/>
      <c r="AAI15" s="153"/>
      <c r="AAJ15" s="153"/>
      <c r="AAK15" s="153"/>
      <c r="AAL15" s="153"/>
      <c r="AAM15" s="153"/>
      <c r="AAN15" s="153"/>
      <c r="AAO15" s="153"/>
      <c r="AAP15" s="153"/>
      <c r="AAQ15" s="153"/>
      <c r="AAR15" s="153"/>
      <c r="AAS15" s="153"/>
      <c r="AAT15" s="153"/>
      <c r="AAU15" s="153"/>
      <c r="AAV15" s="153"/>
      <c r="AAW15" s="153"/>
      <c r="AAX15" s="153"/>
      <c r="AAY15" s="153"/>
      <c r="AAZ15" s="153"/>
      <c r="ABA15" s="153"/>
      <c r="ABB15" s="153"/>
      <c r="ABC15" s="153"/>
      <c r="ABD15" s="153"/>
      <c r="ABE15" s="153"/>
      <c r="ABF15" s="153"/>
      <c r="ABG15" s="153"/>
      <c r="ABH15" s="153"/>
      <c r="ABI15" s="153"/>
      <c r="ABJ15" s="153"/>
      <c r="ABK15" s="153"/>
      <c r="ABL15" s="153"/>
      <c r="ABM15" s="153"/>
      <c r="ABN15" s="153"/>
      <c r="ABO15" s="153"/>
      <c r="ABP15" s="153"/>
      <c r="ABQ15" s="153"/>
      <c r="ABR15" s="153"/>
      <c r="ABS15" s="153"/>
      <c r="ABT15" s="153"/>
      <c r="ABU15" s="153"/>
      <c r="ABV15" s="153"/>
      <c r="ABW15" s="153"/>
      <c r="ABX15" s="153"/>
      <c r="ABY15" s="153"/>
      <c r="ABZ15" s="153"/>
      <c r="ACA15" s="153"/>
      <c r="ACB15" s="153"/>
      <c r="ACC15" s="153"/>
      <c r="ACD15" s="153"/>
      <c r="ACE15" s="153"/>
      <c r="ACF15" s="153"/>
      <c r="ACG15" s="153"/>
      <c r="ACH15" s="153"/>
      <c r="ACI15" s="153"/>
      <c r="ACJ15" s="153"/>
      <c r="ACK15" s="153"/>
      <c r="ACL15" s="153"/>
      <c r="ACM15" s="153"/>
      <c r="ACN15" s="153"/>
      <c r="ACO15" s="153"/>
      <c r="ACP15" s="153"/>
      <c r="ACQ15" s="153"/>
      <c r="ACR15" s="153"/>
      <c r="ACS15" s="153"/>
      <c r="ACT15" s="153"/>
      <c r="ACU15" s="153"/>
      <c r="ACV15" s="153"/>
      <c r="ACW15" s="153"/>
      <c r="ACX15" s="153"/>
      <c r="ACY15" s="153"/>
      <c r="ACZ15" s="153"/>
      <c r="ADA15" s="153"/>
      <c r="ADB15" s="153"/>
      <c r="ADC15" s="153"/>
      <c r="ADD15" s="153"/>
      <c r="ADE15" s="153"/>
      <c r="ADF15" s="153"/>
      <c r="ADG15" s="153"/>
      <c r="ADH15" s="153"/>
      <c r="ADI15" s="153"/>
      <c r="ADJ15" s="153"/>
      <c r="ADK15" s="153"/>
      <c r="ADL15" s="153"/>
      <c r="ADM15" s="153"/>
      <c r="ADN15" s="153"/>
      <c r="ADO15" s="153"/>
      <c r="ADP15" s="153"/>
      <c r="ADQ15" s="153"/>
      <c r="ADR15" s="153"/>
      <c r="ADS15" s="153"/>
      <c r="ADT15" s="153"/>
      <c r="ADU15" s="153"/>
      <c r="ADV15" s="153"/>
      <c r="ADW15" s="153"/>
      <c r="ADX15" s="153"/>
      <c r="ADY15" s="153"/>
      <c r="ADZ15" s="153"/>
      <c r="AEA15" s="153"/>
      <c r="AEB15" s="153"/>
      <c r="AEC15" s="153"/>
      <c r="AED15" s="153"/>
      <c r="AEE15" s="153"/>
      <c r="AEF15" s="153"/>
      <c r="AEG15" s="153"/>
      <c r="AEH15" s="153"/>
      <c r="AEI15" s="153"/>
      <c r="AEJ15" s="153"/>
      <c r="AEK15" s="153"/>
      <c r="AEL15" s="153"/>
      <c r="AEM15" s="153"/>
      <c r="AEN15" s="153"/>
      <c r="AEO15" s="153"/>
      <c r="AEP15" s="153"/>
      <c r="AEQ15" s="153"/>
      <c r="AER15" s="153"/>
      <c r="AES15" s="153"/>
      <c r="AET15" s="153"/>
      <c r="AEU15" s="153"/>
      <c r="AEV15" s="153"/>
      <c r="AEW15" s="153"/>
      <c r="AEX15" s="153"/>
      <c r="AEY15" s="153"/>
      <c r="AEZ15" s="153"/>
      <c r="AFA15" s="153"/>
      <c r="AFB15" s="153"/>
      <c r="AFC15" s="153"/>
      <c r="AFD15" s="153"/>
      <c r="AFE15" s="153"/>
      <c r="AFF15" s="153"/>
      <c r="AFG15" s="153"/>
      <c r="AFH15" s="153"/>
      <c r="AFI15" s="153"/>
      <c r="AFJ15" s="153"/>
      <c r="AFK15" s="153"/>
      <c r="AFL15" s="153"/>
      <c r="AFM15" s="153"/>
      <c r="AFN15" s="153"/>
      <c r="AFO15" s="153"/>
      <c r="AFP15" s="153"/>
      <c r="AFQ15" s="153"/>
      <c r="AFR15" s="153"/>
      <c r="AFS15" s="153"/>
      <c r="AFT15" s="153"/>
      <c r="AFU15" s="153"/>
      <c r="AFV15" s="153"/>
      <c r="AFW15" s="153"/>
      <c r="AFX15" s="153"/>
      <c r="AFY15" s="153"/>
      <c r="AFZ15" s="153"/>
      <c r="AGA15" s="153"/>
      <c r="AGB15" s="153"/>
      <c r="AGC15" s="153"/>
      <c r="AGD15" s="153"/>
      <c r="AGE15" s="153"/>
      <c r="AGF15" s="153"/>
      <c r="AGG15" s="153"/>
      <c r="AGH15" s="153"/>
      <c r="AGI15" s="153"/>
      <c r="AGJ15" s="153"/>
      <c r="AGK15" s="153"/>
      <c r="AGL15" s="153"/>
      <c r="AGM15" s="153"/>
      <c r="AGN15" s="153"/>
      <c r="AGO15" s="153"/>
      <c r="AGP15" s="153"/>
      <c r="AGQ15" s="153"/>
      <c r="AGR15" s="153"/>
      <c r="AGS15" s="153"/>
      <c r="AGT15" s="153"/>
      <c r="AGU15" s="153"/>
      <c r="AGV15" s="153"/>
      <c r="AGW15" s="153"/>
      <c r="AGX15" s="153"/>
      <c r="AGY15" s="153"/>
      <c r="AGZ15" s="153"/>
      <c r="AHA15" s="153"/>
      <c r="AHB15" s="153"/>
      <c r="AHC15" s="153"/>
      <c r="AHD15" s="153"/>
      <c r="AHE15" s="153"/>
      <c r="AHF15" s="153"/>
      <c r="AHG15" s="153"/>
      <c r="AHH15" s="153"/>
      <c r="AHI15" s="153"/>
      <c r="AHJ15" s="153"/>
      <c r="AHK15" s="153"/>
      <c r="AHL15" s="153"/>
      <c r="AHM15" s="153"/>
      <c r="AHN15" s="153"/>
      <c r="AHO15" s="153"/>
      <c r="AHP15" s="153"/>
      <c r="AHQ15" s="153"/>
      <c r="AHR15" s="153"/>
      <c r="AHS15" s="153"/>
      <c r="AHT15" s="153"/>
      <c r="AHU15" s="153"/>
      <c r="AHV15" s="153"/>
      <c r="AHW15" s="153"/>
      <c r="AHX15" s="153"/>
      <c r="AHY15" s="153"/>
      <c r="AHZ15" s="153"/>
      <c r="AIA15" s="153"/>
      <c r="AIB15" s="153"/>
      <c r="AIC15" s="153"/>
      <c r="AID15" s="153"/>
      <c r="AIE15" s="153"/>
      <c r="AIF15" s="153"/>
      <c r="AIG15" s="153"/>
      <c r="AIH15" s="153"/>
      <c r="AII15" s="153"/>
      <c r="AIJ15" s="153"/>
      <c r="AIK15" s="153"/>
      <c r="AIL15" s="153"/>
      <c r="AIM15" s="153"/>
      <c r="AIN15" s="153"/>
      <c r="AIO15" s="153"/>
      <c r="AIP15" s="153"/>
      <c r="AIQ15" s="153"/>
      <c r="AIR15" s="153"/>
      <c r="AIS15" s="153"/>
      <c r="AIT15" s="153"/>
      <c r="AIU15" s="153"/>
      <c r="AIV15" s="153"/>
      <c r="AIW15" s="153"/>
      <c r="AIX15" s="153"/>
      <c r="AIY15" s="153"/>
      <c r="AIZ15" s="153"/>
      <c r="AJA15" s="153"/>
      <c r="AJB15" s="153"/>
      <c r="AJC15" s="153"/>
      <c r="AJD15" s="153"/>
      <c r="AJE15" s="153"/>
      <c r="AJF15" s="153"/>
      <c r="AJG15" s="153"/>
      <c r="AJH15" s="153"/>
      <c r="AJI15" s="153"/>
      <c r="AJJ15" s="153"/>
      <c r="AJK15" s="153"/>
      <c r="AJL15" s="153"/>
      <c r="AJM15" s="153"/>
      <c r="AJN15" s="153"/>
      <c r="AJO15" s="153"/>
      <c r="AJP15" s="153"/>
      <c r="AJQ15" s="153"/>
      <c r="AJR15" s="153"/>
      <c r="AJS15" s="153"/>
      <c r="AJT15" s="153"/>
      <c r="AJU15" s="153"/>
      <c r="AJV15" s="153"/>
      <c r="AJW15" s="153"/>
      <c r="AJX15" s="153"/>
      <c r="AJY15" s="153"/>
      <c r="AJZ15" s="153"/>
      <c r="AKA15" s="153"/>
      <c r="AKB15" s="153"/>
      <c r="AKC15" s="153"/>
      <c r="AKD15" s="153"/>
      <c r="AKE15" s="153"/>
      <c r="AKF15" s="153"/>
      <c r="AKG15" s="153"/>
      <c r="AKH15" s="153"/>
      <c r="AKI15" s="153"/>
      <c r="AKJ15" s="153"/>
      <c r="AKK15" s="153"/>
      <c r="AKL15" s="153"/>
      <c r="AKM15" s="153"/>
      <c r="AKN15" s="153"/>
      <c r="AKO15" s="153"/>
      <c r="AKP15" s="153"/>
      <c r="AKQ15" s="153"/>
      <c r="AKR15" s="153"/>
      <c r="AKS15" s="153"/>
      <c r="AKT15" s="153"/>
      <c r="AKU15" s="153"/>
      <c r="AKV15" s="153"/>
      <c r="AKW15" s="153"/>
      <c r="AKX15" s="153"/>
      <c r="AKY15" s="153"/>
      <c r="AKZ15" s="153"/>
      <c r="ALA15" s="153"/>
      <c r="ALB15" s="153"/>
      <c r="ALC15" s="153"/>
      <c r="ALD15" s="153"/>
      <c r="ALE15" s="153"/>
      <c r="ALF15" s="153"/>
      <c r="ALG15" s="153"/>
      <c r="ALH15" s="153"/>
      <c r="ALI15" s="153"/>
      <c r="ALJ15" s="153"/>
      <c r="ALK15" s="153"/>
      <c r="ALL15" s="153"/>
      <c r="ALM15" s="153"/>
      <c r="ALN15" s="153"/>
      <c r="ALO15" s="153"/>
      <c r="ALP15" s="153"/>
      <c r="ALQ15" s="153"/>
      <c r="ALR15" s="153"/>
      <c r="ALS15" s="153"/>
      <c r="ALT15" s="153"/>
      <c r="ALU15" s="153"/>
      <c r="ALV15" s="153"/>
      <c r="ALW15" s="153"/>
      <c r="ALX15" s="153"/>
      <c r="ALY15" s="153"/>
      <c r="ALZ15" s="153"/>
      <c r="AMA15" s="153"/>
      <c r="AMB15" s="153"/>
      <c r="AMC15" s="153"/>
      <c r="AMD15" s="153"/>
      <c r="AME15" s="153"/>
      <c r="AMF15" s="153"/>
      <c r="AMG15" s="153"/>
      <c r="AMH15" s="153"/>
      <c r="AMI15" s="153"/>
      <c r="AMJ15" s="153"/>
      <c r="AMK15" s="153"/>
    </row>
    <row r="16" spans="1:1025" s="417" customFormat="1" ht="11.25" x14ac:dyDescent="0.2">
      <c r="A16" s="69" t="s">
        <v>829</v>
      </c>
      <c r="B16" s="371" t="s">
        <v>830</v>
      </c>
      <c r="C16" s="376">
        <v>40526613.520000003</v>
      </c>
      <c r="D16" s="376">
        <f>14783205.72+3844868.92</f>
        <v>18628074.640000001</v>
      </c>
      <c r="E16" s="372">
        <f t="shared" si="0"/>
        <v>11176844.784</v>
      </c>
      <c r="F16" s="316">
        <f t="shared" si="1"/>
        <v>981139.27199999988</v>
      </c>
      <c r="G16" s="375">
        <f>(D16*0.05)</f>
        <v>931403.73200000008</v>
      </c>
      <c r="H16" s="370">
        <f t="shared" si="2"/>
        <v>4134422.9580000006</v>
      </c>
      <c r="I16" s="377">
        <f>-D16*0.2</f>
        <v>-3725614.9280000003</v>
      </c>
      <c r="J16" s="374">
        <f>(((C16*0.2)/12)*6)+I16</f>
        <v>327046.42400000012</v>
      </c>
      <c r="K16" s="257">
        <f t="shared" si="3"/>
        <v>2794211.196</v>
      </c>
      <c r="L16" s="276">
        <f t="shared" si="4"/>
        <v>2271615.4940000004</v>
      </c>
      <c r="M16" s="336"/>
      <c r="N16" s="336"/>
      <c r="O16" s="337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  <c r="EA16" s="153"/>
      <c r="EB16" s="153"/>
      <c r="EC16" s="153"/>
      <c r="ED16" s="153"/>
      <c r="EE16" s="153"/>
      <c r="EF16" s="153"/>
      <c r="EG16" s="153"/>
      <c r="EH16" s="153"/>
      <c r="EI16" s="153"/>
      <c r="EJ16" s="153"/>
      <c r="EK16" s="153"/>
      <c r="EL16" s="153"/>
      <c r="EM16" s="153"/>
      <c r="EN16" s="153"/>
      <c r="EO16" s="153"/>
      <c r="EP16" s="153"/>
      <c r="EQ16" s="153"/>
      <c r="ER16" s="153"/>
      <c r="ES16" s="153"/>
      <c r="ET16" s="153"/>
      <c r="EU16" s="153"/>
      <c r="EV16" s="153"/>
      <c r="EW16" s="153"/>
      <c r="EX16" s="153"/>
      <c r="EY16" s="153"/>
      <c r="EZ16" s="153"/>
      <c r="FA16" s="153"/>
      <c r="FB16" s="153"/>
      <c r="FC16" s="153"/>
      <c r="FD16" s="153"/>
      <c r="FE16" s="153"/>
      <c r="FF16" s="153"/>
      <c r="FG16" s="153"/>
      <c r="FH16" s="153"/>
      <c r="FI16" s="153"/>
      <c r="FJ16" s="153"/>
      <c r="FK16" s="153"/>
      <c r="FL16" s="153"/>
      <c r="FM16" s="153"/>
      <c r="FN16" s="153"/>
      <c r="FO16" s="153"/>
      <c r="FP16" s="153"/>
      <c r="FQ16" s="153"/>
      <c r="FR16" s="153"/>
      <c r="FS16" s="153"/>
      <c r="FT16" s="153"/>
      <c r="FU16" s="153"/>
      <c r="FV16" s="153"/>
      <c r="FW16" s="153"/>
      <c r="FX16" s="153"/>
      <c r="FY16" s="153"/>
      <c r="FZ16" s="153"/>
      <c r="GA16" s="153"/>
      <c r="GB16" s="153"/>
      <c r="GC16" s="153"/>
      <c r="GD16" s="153"/>
      <c r="GE16" s="153"/>
      <c r="GF16" s="153"/>
      <c r="GG16" s="153"/>
      <c r="GH16" s="153"/>
      <c r="GI16" s="153"/>
      <c r="GJ16" s="153"/>
      <c r="GK16" s="153"/>
      <c r="GL16" s="153"/>
      <c r="GM16" s="153"/>
      <c r="GN16" s="153"/>
      <c r="GO16" s="153"/>
      <c r="GP16" s="153"/>
      <c r="GQ16" s="153"/>
      <c r="GR16" s="153"/>
      <c r="GS16" s="153"/>
      <c r="GT16" s="153"/>
      <c r="GU16" s="153"/>
      <c r="GV16" s="153"/>
      <c r="GW16" s="153"/>
      <c r="GX16" s="153"/>
      <c r="GY16" s="153"/>
      <c r="GZ16" s="153"/>
      <c r="HA16" s="153"/>
      <c r="HB16" s="153"/>
      <c r="HC16" s="153"/>
      <c r="HD16" s="153"/>
      <c r="HE16" s="153"/>
      <c r="HF16" s="153"/>
      <c r="HG16" s="153"/>
      <c r="HH16" s="153"/>
      <c r="HI16" s="153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3"/>
      <c r="IF16" s="153"/>
      <c r="IG16" s="153"/>
      <c r="IH16" s="153"/>
      <c r="II16" s="153"/>
      <c r="IJ16" s="153"/>
      <c r="IK16" s="153"/>
      <c r="IL16" s="153"/>
      <c r="IM16" s="153"/>
      <c r="IN16" s="153"/>
      <c r="IO16" s="153"/>
      <c r="IP16" s="153"/>
      <c r="IQ16" s="153"/>
      <c r="IR16" s="153"/>
      <c r="IS16" s="153"/>
      <c r="IT16" s="153"/>
      <c r="IU16" s="153"/>
      <c r="IV16" s="153"/>
      <c r="IW16" s="153"/>
      <c r="IX16" s="153"/>
      <c r="IY16" s="153"/>
      <c r="IZ16" s="153"/>
      <c r="JA16" s="153"/>
      <c r="JB16" s="153"/>
      <c r="JC16" s="153"/>
      <c r="JD16" s="153"/>
      <c r="JE16" s="153"/>
      <c r="JF16" s="153"/>
      <c r="JG16" s="153"/>
      <c r="JH16" s="153"/>
      <c r="JI16" s="153"/>
      <c r="JJ16" s="153"/>
      <c r="JK16" s="153"/>
      <c r="JL16" s="153"/>
      <c r="JM16" s="153"/>
      <c r="JN16" s="153"/>
      <c r="JO16" s="153"/>
      <c r="JP16" s="153"/>
      <c r="JQ16" s="153"/>
      <c r="JR16" s="153"/>
      <c r="JS16" s="153"/>
      <c r="JT16" s="153"/>
      <c r="JU16" s="153"/>
      <c r="JV16" s="153"/>
      <c r="JW16" s="153"/>
      <c r="JX16" s="153"/>
      <c r="JY16" s="153"/>
      <c r="JZ16" s="153"/>
      <c r="KA16" s="153"/>
      <c r="KB16" s="153"/>
      <c r="KC16" s="153"/>
      <c r="KD16" s="153"/>
      <c r="KE16" s="153"/>
      <c r="KF16" s="153"/>
      <c r="KG16" s="153"/>
      <c r="KH16" s="153"/>
      <c r="KI16" s="153"/>
      <c r="KJ16" s="153"/>
      <c r="KK16" s="153"/>
      <c r="KL16" s="153"/>
      <c r="KM16" s="153"/>
      <c r="KN16" s="153"/>
      <c r="KO16" s="153"/>
      <c r="KP16" s="153"/>
      <c r="KQ16" s="153"/>
      <c r="KR16" s="153"/>
      <c r="KS16" s="153"/>
      <c r="KT16" s="153"/>
      <c r="KU16" s="153"/>
      <c r="KV16" s="153"/>
      <c r="KW16" s="153"/>
      <c r="KX16" s="153"/>
      <c r="KY16" s="153"/>
      <c r="KZ16" s="153"/>
      <c r="LA16" s="153"/>
      <c r="LB16" s="153"/>
      <c r="LC16" s="153"/>
      <c r="LD16" s="153"/>
      <c r="LE16" s="153"/>
      <c r="LF16" s="153"/>
      <c r="LG16" s="153"/>
      <c r="LH16" s="153"/>
      <c r="LI16" s="153"/>
      <c r="LJ16" s="153"/>
      <c r="LK16" s="153"/>
      <c r="LL16" s="153"/>
      <c r="LM16" s="153"/>
      <c r="LN16" s="153"/>
      <c r="LO16" s="153"/>
      <c r="LP16" s="153"/>
      <c r="LQ16" s="153"/>
      <c r="LR16" s="153"/>
      <c r="LS16" s="153"/>
      <c r="LT16" s="153"/>
      <c r="LU16" s="153"/>
      <c r="LV16" s="153"/>
      <c r="LW16" s="153"/>
      <c r="LX16" s="153"/>
      <c r="LY16" s="153"/>
      <c r="LZ16" s="153"/>
      <c r="MA16" s="153"/>
      <c r="MB16" s="153"/>
      <c r="MC16" s="153"/>
      <c r="MD16" s="153"/>
      <c r="ME16" s="153"/>
      <c r="MF16" s="153"/>
      <c r="MG16" s="153"/>
      <c r="MH16" s="153"/>
      <c r="MI16" s="153"/>
      <c r="MJ16" s="153"/>
      <c r="MK16" s="153"/>
      <c r="ML16" s="153"/>
      <c r="MM16" s="153"/>
      <c r="MN16" s="153"/>
      <c r="MO16" s="153"/>
      <c r="MP16" s="153"/>
      <c r="MQ16" s="153"/>
      <c r="MR16" s="153"/>
      <c r="MS16" s="153"/>
      <c r="MT16" s="153"/>
      <c r="MU16" s="153"/>
      <c r="MV16" s="153"/>
      <c r="MW16" s="153"/>
      <c r="MX16" s="153"/>
      <c r="MY16" s="153"/>
      <c r="MZ16" s="153"/>
      <c r="NA16" s="153"/>
      <c r="NB16" s="153"/>
      <c r="NC16" s="153"/>
      <c r="ND16" s="153"/>
      <c r="NE16" s="153"/>
      <c r="NF16" s="153"/>
      <c r="NG16" s="153"/>
      <c r="NH16" s="153"/>
      <c r="NI16" s="153"/>
      <c r="NJ16" s="153"/>
      <c r="NK16" s="153"/>
      <c r="NL16" s="153"/>
      <c r="NM16" s="153"/>
      <c r="NN16" s="153"/>
      <c r="NO16" s="153"/>
      <c r="NP16" s="153"/>
      <c r="NQ16" s="153"/>
      <c r="NR16" s="153"/>
      <c r="NS16" s="153"/>
      <c r="NT16" s="153"/>
      <c r="NU16" s="153"/>
      <c r="NV16" s="153"/>
      <c r="NW16" s="153"/>
      <c r="NX16" s="153"/>
      <c r="NY16" s="153"/>
      <c r="NZ16" s="153"/>
      <c r="OA16" s="153"/>
      <c r="OB16" s="153"/>
      <c r="OC16" s="153"/>
      <c r="OD16" s="153"/>
      <c r="OE16" s="153"/>
      <c r="OF16" s="153"/>
      <c r="OG16" s="153"/>
      <c r="OH16" s="153"/>
      <c r="OI16" s="153"/>
      <c r="OJ16" s="153"/>
      <c r="OK16" s="153"/>
      <c r="OL16" s="153"/>
      <c r="OM16" s="153"/>
      <c r="ON16" s="153"/>
      <c r="OO16" s="153"/>
      <c r="OP16" s="153"/>
      <c r="OQ16" s="153"/>
      <c r="OR16" s="153"/>
      <c r="OS16" s="153"/>
      <c r="OT16" s="153"/>
      <c r="OU16" s="153"/>
      <c r="OV16" s="153"/>
      <c r="OW16" s="153"/>
      <c r="OX16" s="153"/>
      <c r="OY16" s="153"/>
      <c r="OZ16" s="153"/>
      <c r="PA16" s="153"/>
      <c r="PB16" s="153"/>
      <c r="PC16" s="153"/>
      <c r="PD16" s="153"/>
      <c r="PE16" s="153"/>
      <c r="PF16" s="153"/>
      <c r="PG16" s="153"/>
      <c r="PH16" s="153"/>
      <c r="PI16" s="153"/>
      <c r="PJ16" s="153"/>
      <c r="PK16" s="153"/>
      <c r="PL16" s="153"/>
      <c r="PM16" s="153"/>
      <c r="PN16" s="153"/>
      <c r="PO16" s="153"/>
      <c r="PP16" s="153"/>
      <c r="PQ16" s="153"/>
      <c r="PR16" s="153"/>
      <c r="PS16" s="153"/>
      <c r="PT16" s="153"/>
      <c r="PU16" s="153"/>
      <c r="PV16" s="153"/>
      <c r="PW16" s="153"/>
      <c r="PX16" s="153"/>
      <c r="PY16" s="153"/>
      <c r="PZ16" s="153"/>
      <c r="QA16" s="153"/>
      <c r="QB16" s="153"/>
      <c r="QC16" s="153"/>
      <c r="QD16" s="153"/>
      <c r="QE16" s="153"/>
      <c r="QF16" s="153"/>
      <c r="QG16" s="153"/>
      <c r="QH16" s="153"/>
      <c r="QI16" s="153"/>
      <c r="QJ16" s="153"/>
      <c r="QK16" s="153"/>
      <c r="QL16" s="153"/>
      <c r="QM16" s="153"/>
      <c r="QN16" s="153"/>
      <c r="QO16" s="153"/>
      <c r="QP16" s="153"/>
      <c r="QQ16" s="153"/>
      <c r="QR16" s="153"/>
      <c r="QS16" s="153"/>
      <c r="QT16" s="153"/>
      <c r="QU16" s="153"/>
      <c r="QV16" s="153"/>
      <c r="QW16" s="153"/>
      <c r="QX16" s="153"/>
      <c r="QY16" s="153"/>
      <c r="QZ16" s="153"/>
      <c r="RA16" s="153"/>
      <c r="RB16" s="153"/>
      <c r="RC16" s="153"/>
      <c r="RD16" s="153"/>
      <c r="RE16" s="153"/>
      <c r="RF16" s="153"/>
      <c r="RG16" s="153"/>
      <c r="RH16" s="153"/>
      <c r="RI16" s="153"/>
      <c r="RJ16" s="153"/>
      <c r="RK16" s="153"/>
      <c r="RL16" s="153"/>
      <c r="RM16" s="153"/>
      <c r="RN16" s="153"/>
      <c r="RO16" s="153"/>
      <c r="RP16" s="153"/>
      <c r="RQ16" s="153"/>
      <c r="RR16" s="153"/>
      <c r="RS16" s="153"/>
      <c r="RT16" s="153"/>
      <c r="RU16" s="153"/>
      <c r="RV16" s="153"/>
      <c r="RW16" s="153"/>
      <c r="RX16" s="153"/>
      <c r="RY16" s="153"/>
      <c r="RZ16" s="153"/>
      <c r="SA16" s="153"/>
      <c r="SB16" s="153"/>
      <c r="SC16" s="153"/>
      <c r="SD16" s="153"/>
      <c r="SE16" s="153"/>
      <c r="SF16" s="153"/>
      <c r="SG16" s="153"/>
      <c r="SH16" s="153"/>
      <c r="SI16" s="153"/>
      <c r="SJ16" s="153"/>
      <c r="SK16" s="153"/>
      <c r="SL16" s="153"/>
      <c r="SM16" s="153"/>
      <c r="SN16" s="153"/>
      <c r="SO16" s="153"/>
      <c r="SP16" s="153"/>
      <c r="SQ16" s="153"/>
      <c r="SR16" s="153"/>
      <c r="SS16" s="153"/>
      <c r="ST16" s="153"/>
      <c r="SU16" s="153"/>
      <c r="SV16" s="153"/>
      <c r="SW16" s="153"/>
      <c r="SX16" s="153"/>
      <c r="SY16" s="153"/>
      <c r="SZ16" s="153"/>
      <c r="TA16" s="153"/>
      <c r="TB16" s="153"/>
      <c r="TC16" s="153"/>
      <c r="TD16" s="153"/>
      <c r="TE16" s="153"/>
      <c r="TF16" s="153"/>
      <c r="TG16" s="153"/>
      <c r="TH16" s="153"/>
      <c r="TI16" s="153"/>
      <c r="TJ16" s="153"/>
      <c r="TK16" s="153"/>
      <c r="TL16" s="153"/>
      <c r="TM16" s="153"/>
      <c r="TN16" s="153"/>
      <c r="TO16" s="153"/>
      <c r="TP16" s="153"/>
      <c r="TQ16" s="153"/>
      <c r="TR16" s="153"/>
      <c r="TS16" s="153"/>
      <c r="TT16" s="153"/>
      <c r="TU16" s="153"/>
      <c r="TV16" s="153"/>
      <c r="TW16" s="153"/>
      <c r="TX16" s="153"/>
      <c r="TY16" s="153"/>
      <c r="TZ16" s="153"/>
      <c r="UA16" s="153"/>
      <c r="UB16" s="153"/>
      <c r="UC16" s="153"/>
      <c r="UD16" s="153"/>
      <c r="UE16" s="153"/>
      <c r="UF16" s="153"/>
      <c r="UG16" s="153"/>
      <c r="UH16" s="153"/>
      <c r="UI16" s="153"/>
      <c r="UJ16" s="153"/>
      <c r="UK16" s="153"/>
      <c r="UL16" s="153"/>
      <c r="UM16" s="153"/>
      <c r="UN16" s="153"/>
      <c r="UO16" s="153"/>
      <c r="UP16" s="153"/>
      <c r="UQ16" s="153"/>
      <c r="UR16" s="153"/>
      <c r="US16" s="153"/>
      <c r="UT16" s="153"/>
      <c r="UU16" s="153"/>
      <c r="UV16" s="153"/>
      <c r="UW16" s="153"/>
      <c r="UX16" s="153"/>
      <c r="UY16" s="153"/>
      <c r="UZ16" s="153"/>
      <c r="VA16" s="153"/>
      <c r="VB16" s="153"/>
      <c r="VC16" s="153"/>
      <c r="VD16" s="153"/>
      <c r="VE16" s="153"/>
      <c r="VF16" s="153"/>
      <c r="VG16" s="153"/>
      <c r="VH16" s="153"/>
      <c r="VI16" s="153"/>
      <c r="VJ16" s="153"/>
      <c r="VK16" s="153"/>
      <c r="VL16" s="153"/>
      <c r="VM16" s="153"/>
      <c r="VN16" s="153"/>
      <c r="VO16" s="153"/>
      <c r="VP16" s="153"/>
      <c r="VQ16" s="153"/>
      <c r="VR16" s="153"/>
      <c r="VS16" s="153"/>
      <c r="VT16" s="153"/>
      <c r="VU16" s="153"/>
      <c r="VV16" s="153"/>
      <c r="VW16" s="153"/>
      <c r="VX16" s="153"/>
      <c r="VY16" s="153"/>
      <c r="VZ16" s="153"/>
      <c r="WA16" s="153"/>
      <c r="WB16" s="153"/>
      <c r="WC16" s="153"/>
      <c r="WD16" s="153"/>
      <c r="WE16" s="153"/>
      <c r="WF16" s="153"/>
      <c r="WG16" s="153"/>
      <c r="WH16" s="153"/>
      <c r="WI16" s="153"/>
      <c r="WJ16" s="153"/>
      <c r="WK16" s="153"/>
      <c r="WL16" s="153"/>
      <c r="WM16" s="153"/>
      <c r="WN16" s="153"/>
      <c r="WO16" s="153"/>
      <c r="WP16" s="153"/>
      <c r="WQ16" s="153"/>
      <c r="WR16" s="153"/>
      <c r="WS16" s="153"/>
      <c r="WT16" s="153"/>
      <c r="WU16" s="153"/>
      <c r="WV16" s="153"/>
      <c r="WW16" s="153"/>
      <c r="WX16" s="153"/>
      <c r="WY16" s="153"/>
      <c r="WZ16" s="153"/>
      <c r="XA16" s="153"/>
      <c r="XB16" s="153"/>
      <c r="XC16" s="153"/>
      <c r="XD16" s="153"/>
      <c r="XE16" s="153"/>
      <c r="XF16" s="153"/>
      <c r="XG16" s="153"/>
      <c r="XH16" s="153"/>
      <c r="XI16" s="153"/>
      <c r="XJ16" s="153"/>
      <c r="XK16" s="153"/>
      <c r="XL16" s="153"/>
      <c r="XM16" s="153"/>
      <c r="XN16" s="153"/>
      <c r="XO16" s="153"/>
      <c r="XP16" s="153"/>
      <c r="XQ16" s="153"/>
      <c r="XR16" s="153"/>
      <c r="XS16" s="153"/>
      <c r="XT16" s="153"/>
      <c r="XU16" s="153"/>
      <c r="XV16" s="153"/>
      <c r="XW16" s="153"/>
      <c r="XX16" s="153"/>
      <c r="XY16" s="153"/>
      <c r="XZ16" s="153"/>
      <c r="YA16" s="153"/>
      <c r="YB16" s="153"/>
      <c r="YC16" s="153"/>
      <c r="YD16" s="153"/>
      <c r="YE16" s="153"/>
      <c r="YF16" s="153"/>
      <c r="YG16" s="153"/>
      <c r="YH16" s="153"/>
      <c r="YI16" s="153"/>
      <c r="YJ16" s="153"/>
      <c r="YK16" s="153"/>
      <c r="YL16" s="153"/>
      <c r="YM16" s="153"/>
      <c r="YN16" s="153"/>
      <c r="YO16" s="153"/>
      <c r="YP16" s="153"/>
      <c r="YQ16" s="153"/>
      <c r="YR16" s="153"/>
      <c r="YS16" s="153"/>
      <c r="YT16" s="153"/>
      <c r="YU16" s="153"/>
      <c r="YV16" s="153"/>
      <c r="YW16" s="153"/>
      <c r="YX16" s="153"/>
      <c r="YY16" s="153"/>
      <c r="YZ16" s="153"/>
      <c r="ZA16" s="153"/>
      <c r="ZB16" s="153"/>
      <c r="ZC16" s="153"/>
      <c r="ZD16" s="153"/>
      <c r="ZE16" s="153"/>
      <c r="ZF16" s="153"/>
      <c r="ZG16" s="153"/>
      <c r="ZH16" s="153"/>
      <c r="ZI16" s="153"/>
      <c r="ZJ16" s="153"/>
      <c r="ZK16" s="153"/>
      <c r="ZL16" s="153"/>
      <c r="ZM16" s="153"/>
      <c r="ZN16" s="153"/>
      <c r="ZO16" s="153"/>
      <c r="ZP16" s="153"/>
      <c r="ZQ16" s="153"/>
      <c r="ZR16" s="153"/>
      <c r="ZS16" s="153"/>
      <c r="ZT16" s="153"/>
      <c r="ZU16" s="153"/>
      <c r="ZV16" s="153"/>
      <c r="ZW16" s="153"/>
      <c r="ZX16" s="153"/>
      <c r="ZY16" s="153"/>
      <c r="ZZ16" s="153"/>
      <c r="AAA16" s="153"/>
      <c r="AAB16" s="153"/>
      <c r="AAC16" s="153"/>
      <c r="AAD16" s="153"/>
      <c r="AAE16" s="153"/>
      <c r="AAF16" s="153"/>
      <c r="AAG16" s="153"/>
      <c r="AAH16" s="153"/>
      <c r="AAI16" s="153"/>
      <c r="AAJ16" s="153"/>
      <c r="AAK16" s="153"/>
      <c r="AAL16" s="153"/>
      <c r="AAM16" s="153"/>
      <c r="AAN16" s="153"/>
      <c r="AAO16" s="153"/>
      <c r="AAP16" s="153"/>
      <c r="AAQ16" s="153"/>
      <c r="AAR16" s="153"/>
      <c r="AAS16" s="153"/>
      <c r="AAT16" s="153"/>
      <c r="AAU16" s="153"/>
      <c r="AAV16" s="153"/>
      <c r="AAW16" s="153"/>
      <c r="AAX16" s="153"/>
      <c r="AAY16" s="153"/>
      <c r="AAZ16" s="153"/>
      <c r="ABA16" s="153"/>
      <c r="ABB16" s="153"/>
      <c r="ABC16" s="153"/>
      <c r="ABD16" s="153"/>
      <c r="ABE16" s="153"/>
      <c r="ABF16" s="153"/>
      <c r="ABG16" s="153"/>
      <c r="ABH16" s="153"/>
      <c r="ABI16" s="153"/>
      <c r="ABJ16" s="153"/>
      <c r="ABK16" s="153"/>
      <c r="ABL16" s="153"/>
      <c r="ABM16" s="153"/>
      <c r="ABN16" s="153"/>
      <c r="ABO16" s="153"/>
      <c r="ABP16" s="153"/>
      <c r="ABQ16" s="153"/>
      <c r="ABR16" s="153"/>
      <c r="ABS16" s="153"/>
      <c r="ABT16" s="153"/>
      <c r="ABU16" s="153"/>
      <c r="ABV16" s="153"/>
      <c r="ABW16" s="153"/>
      <c r="ABX16" s="153"/>
      <c r="ABY16" s="153"/>
      <c r="ABZ16" s="153"/>
      <c r="ACA16" s="153"/>
      <c r="ACB16" s="153"/>
      <c r="ACC16" s="153"/>
      <c r="ACD16" s="153"/>
      <c r="ACE16" s="153"/>
      <c r="ACF16" s="153"/>
      <c r="ACG16" s="153"/>
      <c r="ACH16" s="153"/>
      <c r="ACI16" s="153"/>
      <c r="ACJ16" s="153"/>
      <c r="ACK16" s="153"/>
      <c r="ACL16" s="153"/>
      <c r="ACM16" s="153"/>
      <c r="ACN16" s="153"/>
      <c r="ACO16" s="153"/>
      <c r="ACP16" s="153"/>
      <c r="ACQ16" s="153"/>
      <c r="ACR16" s="153"/>
      <c r="ACS16" s="153"/>
      <c r="ACT16" s="153"/>
      <c r="ACU16" s="153"/>
      <c r="ACV16" s="153"/>
      <c r="ACW16" s="153"/>
      <c r="ACX16" s="153"/>
      <c r="ACY16" s="153"/>
      <c r="ACZ16" s="153"/>
      <c r="ADA16" s="153"/>
      <c r="ADB16" s="153"/>
      <c r="ADC16" s="153"/>
      <c r="ADD16" s="153"/>
      <c r="ADE16" s="153"/>
      <c r="ADF16" s="153"/>
      <c r="ADG16" s="153"/>
      <c r="ADH16" s="153"/>
      <c r="ADI16" s="153"/>
      <c r="ADJ16" s="153"/>
      <c r="ADK16" s="153"/>
      <c r="ADL16" s="153"/>
      <c r="ADM16" s="153"/>
      <c r="ADN16" s="153"/>
      <c r="ADO16" s="153"/>
      <c r="ADP16" s="153"/>
      <c r="ADQ16" s="153"/>
      <c r="ADR16" s="153"/>
      <c r="ADS16" s="153"/>
      <c r="ADT16" s="153"/>
      <c r="ADU16" s="153"/>
      <c r="ADV16" s="153"/>
      <c r="ADW16" s="153"/>
      <c r="ADX16" s="153"/>
      <c r="ADY16" s="153"/>
      <c r="ADZ16" s="153"/>
      <c r="AEA16" s="153"/>
      <c r="AEB16" s="153"/>
      <c r="AEC16" s="153"/>
      <c r="AED16" s="153"/>
      <c r="AEE16" s="153"/>
      <c r="AEF16" s="153"/>
      <c r="AEG16" s="153"/>
      <c r="AEH16" s="153"/>
      <c r="AEI16" s="153"/>
      <c r="AEJ16" s="153"/>
      <c r="AEK16" s="153"/>
      <c r="AEL16" s="153"/>
      <c r="AEM16" s="153"/>
      <c r="AEN16" s="153"/>
      <c r="AEO16" s="153"/>
      <c r="AEP16" s="153"/>
      <c r="AEQ16" s="153"/>
      <c r="AER16" s="153"/>
      <c r="AES16" s="153"/>
      <c r="AET16" s="153"/>
      <c r="AEU16" s="153"/>
      <c r="AEV16" s="153"/>
      <c r="AEW16" s="153"/>
      <c r="AEX16" s="153"/>
      <c r="AEY16" s="153"/>
      <c r="AEZ16" s="153"/>
      <c r="AFA16" s="153"/>
      <c r="AFB16" s="153"/>
      <c r="AFC16" s="153"/>
      <c r="AFD16" s="153"/>
      <c r="AFE16" s="153"/>
      <c r="AFF16" s="153"/>
      <c r="AFG16" s="153"/>
      <c r="AFH16" s="153"/>
      <c r="AFI16" s="153"/>
      <c r="AFJ16" s="153"/>
      <c r="AFK16" s="153"/>
      <c r="AFL16" s="153"/>
      <c r="AFM16" s="153"/>
      <c r="AFN16" s="153"/>
      <c r="AFO16" s="153"/>
      <c r="AFP16" s="153"/>
      <c r="AFQ16" s="153"/>
      <c r="AFR16" s="153"/>
      <c r="AFS16" s="153"/>
      <c r="AFT16" s="153"/>
      <c r="AFU16" s="153"/>
      <c r="AFV16" s="153"/>
      <c r="AFW16" s="153"/>
      <c r="AFX16" s="153"/>
      <c r="AFY16" s="153"/>
      <c r="AFZ16" s="153"/>
      <c r="AGA16" s="153"/>
      <c r="AGB16" s="153"/>
      <c r="AGC16" s="153"/>
      <c r="AGD16" s="153"/>
      <c r="AGE16" s="153"/>
      <c r="AGF16" s="153"/>
      <c r="AGG16" s="153"/>
      <c r="AGH16" s="153"/>
      <c r="AGI16" s="153"/>
      <c r="AGJ16" s="153"/>
      <c r="AGK16" s="153"/>
      <c r="AGL16" s="153"/>
      <c r="AGM16" s="153"/>
      <c r="AGN16" s="153"/>
      <c r="AGO16" s="153"/>
      <c r="AGP16" s="153"/>
      <c r="AGQ16" s="153"/>
      <c r="AGR16" s="153"/>
      <c r="AGS16" s="153"/>
      <c r="AGT16" s="153"/>
      <c r="AGU16" s="153"/>
      <c r="AGV16" s="153"/>
      <c r="AGW16" s="153"/>
      <c r="AGX16" s="153"/>
      <c r="AGY16" s="153"/>
      <c r="AGZ16" s="153"/>
      <c r="AHA16" s="153"/>
      <c r="AHB16" s="153"/>
      <c r="AHC16" s="153"/>
      <c r="AHD16" s="153"/>
      <c r="AHE16" s="153"/>
      <c r="AHF16" s="153"/>
      <c r="AHG16" s="153"/>
      <c r="AHH16" s="153"/>
      <c r="AHI16" s="153"/>
      <c r="AHJ16" s="153"/>
      <c r="AHK16" s="153"/>
      <c r="AHL16" s="153"/>
      <c r="AHM16" s="153"/>
      <c r="AHN16" s="153"/>
      <c r="AHO16" s="153"/>
      <c r="AHP16" s="153"/>
      <c r="AHQ16" s="153"/>
      <c r="AHR16" s="153"/>
      <c r="AHS16" s="153"/>
      <c r="AHT16" s="153"/>
      <c r="AHU16" s="153"/>
      <c r="AHV16" s="153"/>
      <c r="AHW16" s="153"/>
      <c r="AHX16" s="153"/>
      <c r="AHY16" s="153"/>
      <c r="AHZ16" s="153"/>
      <c r="AIA16" s="153"/>
      <c r="AIB16" s="153"/>
      <c r="AIC16" s="153"/>
      <c r="AID16" s="153"/>
      <c r="AIE16" s="153"/>
      <c r="AIF16" s="153"/>
      <c r="AIG16" s="153"/>
      <c r="AIH16" s="153"/>
      <c r="AII16" s="153"/>
      <c r="AIJ16" s="153"/>
      <c r="AIK16" s="153"/>
      <c r="AIL16" s="153"/>
      <c r="AIM16" s="153"/>
      <c r="AIN16" s="153"/>
      <c r="AIO16" s="153"/>
      <c r="AIP16" s="153"/>
      <c r="AIQ16" s="153"/>
      <c r="AIR16" s="153"/>
      <c r="AIS16" s="153"/>
      <c r="AIT16" s="153"/>
      <c r="AIU16" s="153"/>
      <c r="AIV16" s="153"/>
      <c r="AIW16" s="153"/>
      <c r="AIX16" s="153"/>
      <c r="AIY16" s="153"/>
      <c r="AIZ16" s="153"/>
      <c r="AJA16" s="153"/>
      <c r="AJB16" s="153"/>
      <c r="AJC16" s="153"/>
      <c r="AJD16" s="153"/>
      <c r="AJE16" s="153"/>
      <c r="AJF16" s="153"/>
      <c r="AJG16" s="153"/>
      <c r="AJH16" s="153"/>
      <c r="AJI16" s="153"/>
      <c r="AJJ16" s="153"/>
      <c r="AJK16" s="153"/>
      <c r="AJL16" s="153"/>
      <c r="AJM16" s="153"/>
      <c r="AJN16" s="153"/>
      <c r="AJO16" s="153"/>
      <c r="AJP16" s="153"/>
      <c r="AJQ16" s="153"/>
      <c r="AJR16" s="153"/>
      <c r="AJS16" s="153"/>
      <c r="AJT16" s="153"/>
      <c r="AJU16" s="153"/>
      <c r="AJV16" s="153"/>
      <c r="AJW16" s="153"/>
      <c r="AJX16" s="153"/>
      <c r="AJY16" s="153"/>
      <c r="AJZ16" s="153"/>
      <c r="AKA16" s="153"/>
      <c r="AKB16" s="153"/>
      <c r="AKC16" s="153"/>
      <c r="AKD16" s="153"/>
      <c r="AKE16" s="153"/>
      <c r="AKF16" s="153"/>
      <c r="AKG16" s="153"/>
      <c r="AKH16" s="153"/>
      <c r="AKI16" s="153"/>
      <c r="AKJ16" s="153"/>
      <c r="AKK16" s="153"/>
      <c r="AKL16" s="153"/>
      <c r="AKM16" s="153"/>
      <c r="AKN16" s="153"/>
      <c r="AKO16" s="153"/>
      <c r="AKP16" s="153"/>
      <c r="AKQ16" s="153"/>
      <c r="AKR16" s="153"/>
      <c r="AKS16" s="153"/>
      <c r="AKT16" s="153"/>
      <c r="AKU16" s="153"/>
      <c r="AKV16" s="153"/>
      <c r="AKW16" s="153"/>
      <c r="AKX16" s="153"/>
      <c r="AKY16" s="153"/>
      <c r="AKZ16" s="153"/>
      <c r="ALA16" s="153"/>
      <c r="ALB16" s="153"/>
      <c r="ALC16" s="153"/>
      <c r="ALD16" s="153"/>
      <c r="ALE16" s="153"/>
      <c r="ALF16" s="153"/>
      <c r="ALG16" s="153"/>
      <c r="ALH16" s="153"/>
      <c r="ALI16" s="153"/>
      <c r="ALJ16" s="153"/>
      <c r="ALK16" s="153"/>
      <c r="ALL16" s="153"/>
      <c r="ALM16" s="153"/>
      <c r="ALN16" s="153"/>
      <c r="ALO16" s="153"/>
      <c r="ALP16" s="153"/>
      <c r="ALQ16" s="153"/>
      <c r="ALR16" s="153"/>
      <c r="ALS16" s="153"/>
      <c r="ALT16" s="153"/>
      <c r="ALU16" s="153"/>
      <c r="ALV16" s="153"/>
      <c r="ALW16" s="153"/>
      <c r="ALX16" s="153"/>
      <c r="ALY16" s="153"/>
      <c r="ALZ16" s="153"/>
      <c r="AMA16" s="153"/>
      <c r="AMB16" s="153"/>
      <c r="AMC16" s="153"/>
      <c r="AMD16" s="153"/>
      <c r="AME16" s="153"/>
      <c r="AMF16" s="153"/>
      <c r="AMG16" s="153"/>
      <c r="AMH16" s="153"/>
      <c r="AMI16" s="153"/>
      <c r="AMJ16" s="153"/>
      <c r="AMK16" s="153"/>
    </row>
    <row r="17" spans="1:1025" s="417" customFormat="1" ht="11.25" x14ac:dyDescent="0.2">
      <c r="A17" s="69" t="s">
        <v>831</v>
      </c>
      <c r="B17" s="371" t="s">
        <v>832</v>
      </c>
      <c r="C17" s="376">
        <v>5423150.6500000004</v>
      </c>
      <c r="D17" s="376">
        <f>3024996.44+756249.28</f>
        <v>3781245.7199999997</v>
      </c>
      <c r="E17" s="373">
        <f t="shared" si="0"/>
        <v>2268747.4319999996</v>
      </c>
      <c r="F17" s="316">
        <f t="shared" si="1"/>
        <v>-641802.23699999927</v>
      </c>
      <c r="G17" s="375">
        <f>(D17*0.05)</f>
        <v>189062.28599999999</v>
      </c>
      <c r="H17" s="370">
        <f t="shared" si="2"/>
        <v>488831.54525000008</v>
      </c>
      <c r="I17" s="373">
        <f>-D17*0.2</f>
        <v>-756249.14399999997</v>
      </c>
      <c r="J17" s="374">
        <f>(((C17*0.2)/12)*6)+I17</f>
        <v>-213934.07899999991</v>
      </c>
      <c r="K17" s="257">
        <f t="shared" si="3"/>
        <v>567186.85799999989</v>
      </c>
      <c r="L17" s="370">
        <f t="shared" si="4"/>
        <v>110706.97325000016</v>
      </c>
      <c r="M17" s="336"/>
      <c r="N17" s="336"/>
      <c r="O17" s="337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3"/>
      <c r="GG17" s="153"/>
      <c r="GH17" s="153"/>
      <c r="GI17" s="153"/>
      <c r="GJ17" s="153"/>
      <c r="GK17" s="153"/>
      <c r="GL17" s="153"/>
      <c r="GM17" s="153"/>
      <c r="GN17" s="153"/>
      <c r="GO17" s="153"/>
      <c r="GP17" s="153"/>
      <c r="GQ17" s="153"/>
      <c r="GR17" s="153"/>
      <c r="GS17" s="153"/>
      <c r="GT17" s="153"/>
      <c r="GU17" s="153"/>
      <c r="GV17" s="153"/>
      <c r="GW17" s="153"/>
      <c r="GX17" s="153"/>
      <c r="GY17" s="153"/>
      <c r="GZ17" s="153"/>
      <c r="HA17" s="153"/>
      <c r="HB17" s="153"/>
      <c r="HC17" s="153"/>
      <c r="HD17" s="153"/>
      <c r="HE17" s="153"/>
      <c r="HF17" s="153"/>
      <c r="HG17" s="153"/>
      <c r="HH17" s="153"/>
      <c r="HI17" s="153"/>
      <c r="HJ17" s="153"/>
      <c r="HK17" s="153"/>
      <c r="HL17" s="153"/>
      <c r="HM17" s="153"/>
      <c r="HN17" s="153"/>
      <c r="HO17" s="153"/>
      <c r="HP17" s="153"/>
      <c r="HQ17" s="153"/>
      <c r="HR17" s="153"/>
      <c r="HS17" s="153"/>
      <c r="HT17" s="153"/>
      <c r="HU17" s="153"/>
      <c r="HV17" s="153"/>
      <c r="HW17" s="153"/>
      <c r="HX17" s="153"/>
      <c r="HY17" s="153"/>
      <c r="HZ17" s="153"/>
      <c r="IA17" s="153"/>
      <c r="IB17" s="153"/>
      <c r="IC17" s="153"/>
      <c r="ID17" s="153"/>
      <c r="IE17" s="153"/>
      <c r="IF17" s="153"/>
      <c r="IG17" s="153"/>
      <c r="IH17" s="153"/>
      <c r="II17" s="153"/>
      <c r="IJ17" s="153"/>
      <c r="IK17" s="153"/>
      <c r="IL17" s="153"/>
      <c r="IM17" s="153"/>
      <c r="IN17" s="153"/>
      <c r="IO17" s="153"/>
      <c r="IP17" s="153"/>
      <c r="IQ17" s="153"/>
      <c r="IR17" s="153"/>
      <c r="IS17" s="153"/>
      <c r="IT17" s="153"/>
      <c r="IU17" s="153"/>
      <c r="IV17" s="153"/>
      <c r="IW17" s="153"/>
      <c r="IX17" s="153"/>
      <c r="IY17" s="153"/>
      <c r="IZ17" s="153"/>
      <c r="JA17" s="153"/>
      <c r="JB17" s="153"/>
      <c r="JC17" s="153"/>
      <c r="JD17" s="153"/>
      <c r="JE17" s="153"/>
      <c r="JF17" s="153"/>
      <c r="JG17" s="153"/>
      <c r="JH17" s="153"/>
      <c r="JI17" s="153"/>
      <c r="JJ17" s="153"/>
      <c r="JK17" s="153"/>
      <c r="JL17" s="153"/>
      <c r="JM17" s="153"/>
      <c r="JN17" s="153"/>
      <c r="JO17" s="153"/>
      <c r="JP17" s="153"/>
      <c r="JQ17" s="153"/>
      <c r="JR17" s="153"/>
      <c r="JS17" s="153"/>
      <c r="JT17" s="153"/>
      <c r="JU17" s="153"/>
      <c r="JV17" s="153"/>
      <c r="JW17" s="153"/>
      <c r="JX17" s="153"/>
      <c r="JY17" s="153"/>
      <c r="JZ17" s="153"/>
      <c r="KA17" s="153"/>
      <c r="KB17" s="153"/>
      <c r="KC17" s="153"/>
      <c r="KD17" s="153"/>
      <c r="KE17" s="153"/>
      <c r="KF17" s="153"/>
      <c r="KG17" s="153"/>
      <c r="KH17" s="153"/>
      <c r="KI17" s="153"/>
      <c r="KJ17" s="153"/>
      <c r="KK17" s="153"/>
      <c r="KL17" s="153"/>
      <c r="KM17" s="153"/>
      <c r="KN17" s="153"/>
      <c r="KO17" s="153"/>
      <c r="KP17" s="153"/>
      <c r="KQ17" s="153"/>
      <c r="KR17" s="153"/>
      <c r="KS17" s="153"/>
      <c r="KT17" s="153"/>
      <c r="KU17" s="153"/>
      <c r="KV17" s="153"/>
      <c r="KW17" s="153"/>
      <c r="KX17" s="153"/>
      <c r="KY17" s="153"/>
      <c r="KZ17" s="153"/>
      <c r="LA17" s="153"/>
      <c r="LB17" s="153"/>
      <c r="LC17" s="153"/>
      <c r="LD17" s="153"/>
      <c r="LE17" s="153"/>
      <c r="LF17" s="153"/>
      <c r="LG17" s="153"/>
      <c r="LH17" s="153"/>
      <c r="LI17" s="153"/>
      <c r="LJ17" s="153"/>
      <c r="LK17" s="153"/>
      <c r="LL17" s="153"/>
      <c r="LM17" s="153"/>
      <c r="LN17" s="153"/>
      <c r="LO17" s="153"/>
      <c r="LP17" s="153"/>
      <c r="LQ17" s="153"/>
      <c r="LR17" s="153"/>
      <c r="LS17" s="153"/>
      <c r="LT17" s="153"/>
      <c r="LU17" s="153"/>
      <c r="LV17" s="153"/>
      <c r="LW17" s="153"/>
      <c r="LX17" s="153"/>
      <c r="LY17" s="153"/>
      <c r="LZ17" s="153"/>
      <c r="MA17" s="153"/>
      <c r="MB17" s="153"/>
      <c r="MC17" s="153"/>
      <c r="MD17" s="153"/>
      <c r="ME17" s="153"/>
      <c r="MF17" s="153"/>
      <c r="MG17" s="153"/>
      <c r="MH17" s="153"/>
      <c r="MI17" s="153"/>
      <c r="MJ17" s="153"/>
      <c r="MK17" s="153"/>
      <c r="ML17" s="153"/>
      <c r="MM17" s="153"/>
      <c r="MN17" s="153"/>
      <c r="MO17" s="153"/>
      <c r="MP17" s="153"/>
      <c r="MQ17" s="153"/>
      <c r="MR17" s="153"/>
      <c r="MS17" s="153"/>
      <c r="MT17" s="153"/>
      <c r="MU17" s="153"/>
      <c r="MV17" s="153"/>
      <c r="MW17" s="153"/>
      <c r="MX17" s="153"/>
      <c r="MY17" s="153"/>
      <c r="MZ17" s="153"/>
      <c r="NA17" s="153"/>
      <c r="NB17" s="153"/>
      <c r="NC17" s="153"/>
      <c r="ND17" s="153"/>
      <c r="NE17" s="153"/>
      <c r="NF17" s="153"/>
      <c r="NG17" s="153"/>
      <c r="NH17" s="153"/>
      <c r="NI17" s="153"/>
      <c r="NJ17" s="153"/>
      <c r="NK17" s="153"/>
      <c r="NL17" s="153"/>
      <c r="NM17" s="153"/>
      <c r="NN17" s="153"/>
      <c r="NO17" s="153"/>
      <c r="NP17" s="153"/>
      <c r="NQ17" s="153"/>
      <c r="NR17" s="153"/>
      <c r="NS17" s="153"/>
      <c r="NT17" s="153"/>
      <c r="NU17" s="153"/>
      <c r="NV17" s="153"/>
      <c r="NW17" s="153"/>
      <c r="NX17" s="153"/>
      <c r="NY17" s="153"/>
      <c r="NZ17" s="153"/>
      <c r="OA17" s="153"/>
      <c r="OB17" s="153"/>
      <c r="OC17" s="153"/>
      <c r="OD17" s="153"/>
      <c r="OE17" s="153"/>
      <c r="OF17" s="153"/>
      <c r="OG17" s="153"/>
      <c r="OH17" s="153"/>
      <c r="OI17" s="153"/>
      <c r="OJ17" s="153"/>
      <c r="OK17" s="153"/>
      <c r="OL17" s="153"/>
      <c r="OM17" s="153"/>
      <c r="ON17" s="153"/>
      <c r="OO17" s="153"/>
      <c r="OP17" s="153"/>
      <c r="OQ17" s="153"/>
      <c r="OR17" s="153"/>
      <c r="OS17" s="153"/>
      <c r="OT17" s="153"/>
      <c r="OU17" s="153"/>
      <c r="OV17" s="153"/>
      <c r="OW17" s="153"/>
      <c r="OX17" s="153"/>
      <c r="OY17" s="153"/>
      <c r="OZ17" s="153"/>
      <c r="PA17" s="153"/>
      <c r="PB17" s="153"/>
      <c r="PC17" s="153"/>
      <c r="PD17" s="153"/>
      <c r="PE17" s="153"/>
      <c r="PF17" s="153"/>
      <c r="PG17" s="153"/>
      <c r="PH17" s="153"/>
      <c r="PI17" s="153"/>
      <c r="PJ17" s="153"/>
      <c r="PK17" s="153"/>
      <c r="PL17" s="153"/>
      <c r="PM17" s="153"/>
      <c r="PN17" s="153"/>
      <c r="PO17" s="153"/>
      <c r="PP17" s="153"/>
      <c r="PQ17" s="153"/>
      <c r="PR17" s="153"/>
      <c r="PS17" s="153"/>
      <c r="PT17" s="153"/>
      <c r="PU17" s="153"/>
      <c r="PV17" s="153"/>
      <c r="PW17" s="153"/>
      <c r="PX17" s="153"/>
      <c r="PY17" s="153"/>
      <c r="PZ17" s="153"/>
      <c r="QA17" s="153"/>
      <c r="QB17" s="153"/>
      <c r="QC17" s="153"/>
      <c r="QD17" s="153"/>
      <c r="QE17" s="153"/>
      <c r="QF17" s="153"/>
      <c r="QG17" s="153"/>
      <c r="QH17" s="153"/>
      <c r="QI17" s="153"/>
      <c r="QJ17" s="153"/>
      <c r="QK17" s="153"/>
      <c r="QL17" s="153"/>
      <c r="QM17" s="153"/>
      <c r="QN17" s="153"/>
      <c r="QO17" s="153"/>
      <c r="QP17" s="153"/>
      <c r="QQ17" s="153"/>
      <c r="QR17" s="153"/>
      <c r="QS17" s="153"/>
      <c r="QT17" s="153"/>
      <c r="QU17" s="153"/>
      <c r="QV17" s="153"/>
      <c r="QW17" s="153"/>
      <c r="QX17" s="153"/>
      <c r="QY17" s="153"/>
      <c r="QZ17" s="153"/>
      <c r="RA17" s="153"/>
      <c r="RB17" s="153"/>
      <c r="RC17" s="153"/>
      <c r="RD17" s="153"/>
      <c r="RE17" s="153"/>
      <c r="RF17" s="153"/>
      <c r="RG17" s="153"/>
      <c r="RH17" s="153"/>
      <c r="RI17" s="153"/>
      <c r="RJ17" s="153"/>
      <c r="RK17" s="153"/>
      <c r="RL17" s="153"/>
      <c r="RM17" s="153"/>
      <c r="RN17" s="153"/>
      <c r="RO17" s="153"/>
      <c r="RP17" s="153"/>
      <c r="RQ17" s="153"/>
      <c r="RR17" s="153"/>
      <c r="RS17" s="153"/>
      <c r="RT17" s="153"/>
      <c r="RU17" s="153"/>
      <c r="RV17" s="153"/>
      <c r="RW17" s="153"/>
      <c r="RX17" s="153"/>
      <c r="RY17" s="153"/>
      <c r="RZ17" s="153"/>
      <c r="SA17" s="153"/>
      <c r="SB17" s="153"/>
      <c r="SC17" s="153"/>
      <c r="SD17" s="153"/>
      <c r="SE17" s="153"/>
      <c r="SF17" s="153"/>
      <c r="SG17" s="153"/>
      <c r="SH17" s="153"/>
      <c r="SI17" s="153"/>
      <c r="SJ17" s="153"/>
      <c r="SK17" s="153"/>
      <c r="SL17" s="153"/>
      <c r="SM17" s="153"/>
      <c r="SN17" s="153"/>
      <c r="SO17" s="153"/>
      <c r="SP17" s="153"/>
      <c r="SQ17" s="153"/>
      <c r="SR17" s="153"/>
      <c r="SS17" s="153"/>
      <c r="ST17" s="153"/>
      <c r="SU17" s="153"/>
      <c r="SV17" s="153"/>
      <c r="SW17" s="153"/>
      <c r="SX17" s="153"/>
      <c r="SY17" s="153"/>
      <c r="SZ17" s="153"/>
      <c r="TA17" s="153"/>
      <c r="TB17" s="153"/>
      <c r="TC17" s="153"/>
      <c r="TD17" s="153"/>
      <c r="TE17" s="153"/>
      <c r="TF17" s="153"/>
      <c r="TG17" s="153"/>
      <c r="TH17" s="153"/>
      <c r="TI17" s="153"/>
      <c r="TJ17" s="153"/>
      <c r="TK17" s="153"/>
      <c r="TL17" s="153"/>
      <c r="TM17" s="153"/>
      <c r="TN17" s="153"/>
      <c r="TO17" s="153"/>
      <c r="TP17" s="153"/>
      <c r="TQ17" s="153"/>
      <c r="TR17" s="153"/>
      <c r="TS17" s="153"/>
      <c r="TT17" s="153"/>
      <c r="TU17" s="153"/>
      <c r="TV17" s="153"/>
      <c r="TW17" s="153"/>
      <c r="TX17" s="153"/>
      <c r="TY17" s="153"/>
      <c r="TZ17" s="153"/>
      <c r="UA17" s="153"/>
      <c r="UB17" s="153"/>
      <c r="UC17" s="153"/>
      <c r="UD17" s="153"/>
      <c r="UE17" s="153"/>
      <c r="UF17" s="153"/>
      <c r="UG17" s="153"/>
      <c r="UH17" s="153"/>
      <c r="UI17" s="153"/>
      <c r="UJ17" s="153"/>
      <c r="UK17" s="153"/>
      <c r="UL17" s="153"/>
      <c r="UM17" s="153"/>
      <c r="UN17" s="153"/>
      <c r="UO17" s="153"/>
      <c r="UP17" s="153"/>
      <c r="UQ17" s="153"/>
      <c r="UR17" s="153"/>
      <c r="US17" s="153"/>
      <c r="UT17" s="153"/>
      <c r="UU17" s="153"/>
      <c r="UV17" s="153"/>
      <c r="UW17" s="153"/>
      <c r="UX17" s="153"/>
      <c r="UY17" s="153"/>
      <c r="UZ17" s="153"/>
      <c r="VA17" s="153"/>
      <c r="VB17" s="153"/>
      <c r="VC17" s="153"/>
      <c r="VD17" s="153"/>
      <c r="VE17" s="153"/>
      <c r="VF17" s="153"/>
      <c r="VG17" s="153"/>
      <c r="VH17" s="153"/>
      <c r="VI17" s="153"/>
      <c r="VJ17" s="153"/>
      <c r="VK17" s="153"/>
      <c r="VL17" s="153"/>
      <c r="VM17" s="153"/>
      <c r="VN17" s="153"/>
      <c r="VO17" s="153"/>
      <c r="VP17" s="153"/>
      <c r="VQ17" s="153"/>
      <c r="VR17" s="153"/>
      <c r="VS17" s="153"/>
      <c r="VT17" s="153"/>
      <c r="VU17" s="153"/>
      <c r="VV17" s="153"/>
      <c r="VW17" s="153"/>
      <c r="VX17" s="153"/>
      <c r="VY17" s="153"/>
      <c r="VZ17" s="153"/>
      <c r="WA17" s="153"/>
      <c r="WB17" s="153"/>
      <c r="WC17" s="153"/>
      <c r="WD17" s="153"/>
      <c r="WE17" s="153"/>
      <c r="WF17" s="153"/>
      <c r="WG17" s="153"/>
      <c r="WH17" s="153"/>
      <c r="WI17" s="153"/>
      <c r="WJ17" s="153"/>
      <c r="WK17" s="153"/>
      <c r="WL17" s="153"/>
      <c r="WM17" s="153"/>
      <c r="WN17" s="153"/>
      <c r="WO17" s="153"/>
      <c r="WP17" s="153"/>
      <c r="WQ17" s="153"/>
      <c r="WR17" s="153"/>
      <c r="WS17" s="153"/>
      <c r="WT17" s="153"/>
      <c r="WU17" s="153"/>
      <c r="WV17" s="153"/>
      <c r="WW17" s="153"/>
      <c r="WX17" s="153"/>
      <c r="WY17" s="153"/>
      <c r="WZ17" s="153"/>
      <c r="XA17" s="153"/>
      <c r="XB17" s="153"/>
      <c r="XC17" s="153"/>
      <c r="XD17" s="153"/>
      <c r="XE17" s="153"/>
      <c r="XF17" s="153"/>
      <c r="XG17" s="153"/>
      <c r="XH17" s="153"/>
      <c r="XI17" s="153"/>
      <c r="XJ17" s="153"/>
      <c r="XK17" s="153"/>
      <c r="XL17" s="153"/>
      <c r="XM17" s="153"/>
      <c r="XN17" s="153"/>
      <c r="XO17" s="153"/>
      <c r="XP17" s="153"/>
      <c r="XQ17" s="153"/>
      <c r="XR17" s="153"/>
      <c r="XS17" s="153"/>
      <c r="XT17" s="153"/>
      <c r="XU17" s="153"/>
      <c r="XV17" s="153"/>
      <c r="XW17" s="153"/>
      <c r="XX17" s="153"/>
      <c r="XY17" s="153"/>
      <c r="XZ17" s="153"/>
      <c r="YA17" s="153"/>
      <c r="YB17" s="153"/>
      <c r="YC17" s="153"/>
      <c r="YD17" s="153"/>
      <c r="YE17" s="153"/>
      <c r="YF17" s="153"/>
      <c r="YG17" s="153"/>
      <c r="YH17" s="153"/>
      <c r="YI17" s="153"/>
      <c r="YJ17" s="153"/>
      <c r="YK17" s="153"/>
      <c r="YL17" s="153"/>
      <c r="YM17" s="153"/>
      <c r="YN17" s="153"/>
      <c r="YO17" s="153"/>
      <c r="YP17" s="153"/>
      <c r="YQ17" s="153"/>
      <c r="YR17" s="153"/>
      <c r="YS17" s="153"/>
      <c r="YT17" s="153"/>
      <c r="YU17" s="153"/>
      <c r="YV17" s="153"/>
      <c r="YW17" s="153"/>
      <c r="YX17" s="153"/>
      <c r="YY17" s="153"/>
      <c r="YZ17" s="153"/>
      <c r="ZA17" s="153"/>
      <c r="ZB17" s="153"/>
      <c r="ZC17" s="153"/>
      <c r="ZD17" s="153"/>
      <c r="ZE17" s="153"/>
      <c r="ZF17" s="153"/>
      <c r="ZG17" s="153"/>
      <c r="ZH17" s="153"/>
      <c r="ZI17" s="153"/>
      <c r="ZJ17" s="153"/>
      <c r="ZK17" s="153"/>
      <c r="ZL17" s="153"/>
      <c r="ZM17" s="153"/>
      <c r="ZN17" s="153"/>
      <c r="ZO17" s="153"/>
      <c r="ZP17" s="153"/>
      <c r="ZQ17" s="153"/>
      <c r="ZR17" s="153"/>
      <c r="ZS17" s="153"/>
      <c r="ZT17" s="153"/>
      <c r="ZU17" s="153"/>
      <c r="ZV17" s="153"/>
      <c r="ZW17" s="153"/>
      <c r="ZX17" s="153"/>
      <c r="ZY17" s="153"/>
      <c r="ZZ17" s="153"/>
      <c r="AAA17" s="153"/>
      <c r="AAB17" s="153"/>
      <c r="AAC17" s="153"/>
      <c r="AAD17" s="153"/>
      <c r="AAE17" s="153"/>
      <c r="AAF17" s="153"/>
      <c r="AAG17" s="153"/>
      <c r="AAH17" s="153"/>
      <c r="AAI17" s="153"/>
      <c r="AAJ17" s="153"/>
      <c r="AAK17" s="153"/>
      <c r="AAL17" s="153"/>
      <c r="AAM17" s="153"/>
      <c r="AAN17" s="153"/>
      <c r="AAO17" s="153"/>
      <c r="AAP17" s="153"/>
      <c r="AAQ17" s="153"/>
      <c r="AAR17" s="153"/>
      <c r="AAS17" s="153"/>
      <c r="AAT17" s="153"/>
      <c r="AAU17" s="153"/>
      <c r="AAV17" s="153"/>
      <c r="AAW17" s="153"/>
      <c r="AAX17" s="153"/>
      <c r="AAY17" s="153"/>
      <c r="AAZ17" s="153"/>
      <c r="ABA17" s="153"/>
      <c r="ABB17" s="153"/>
      <c r="ABC17" s="153"/>
      <c r="ABD17" s="153"/>
      <c r="ABE17" s="153"/>
      <c r="ABF17" s="153"/>
      <c r="ABG17" s="153"/>
      <c r="ABH17" s="153"/>
      <c r="ABI17" s="153"/>
      <c r="ABJ17" s="153"/>
      <c r="ABK17" s="153"/>
      <c r="ABL17" s="153"/>
      <c r="ABM17" s="153"/>
      <c r="ABN17" s="153"/>
      <c r="ABO17" s="153"/>
      <c r="ABP17" s="153"/>
      <c r="ABQ17" s="153"/>
      <c r="ABR17" s="153"/>
      <c r="ABS17" s="153"/>
      <c r="ABT17" s="153"/>
      <c r="ABU17" s="153"/>
      <c r="ABV17" s="153"/>
      <c r="ABW17" s="153"/>
      <c r="ABX17" s="153"/>
      <c r="ABY17" s="153"/>
      <c r="ABZ17" s="153"/>
      <c r="ACA17" s="153"/>
      <c r="ACB17" s="153"/>
      <c r="ACC17" s="153"/>
      <c r="ACD17" s="153"/>
      <c r="ACE17" s="153"/>
      <c r="ACF17" s="153"/>
      <c r="ACG17" s="153"/>
      <c r="ACH17" s="153"/>
      <c r="ACI17" s="153"/>
      <c r="ACJ17" s="153"/>
      <c r="ACK17" s="153"/>
      <c r="ACL17" s="153"/>
      <c r="ACM17" s="153"/>
      <c r="ACN17" s="153"/>
      <c r="ACO17" s="153"/>
      <c r="ACP17" s="153"/>
      <c r="ACQ17" s="153"/>
      <c r="ACR17" s="153"/>
      <c r="ACS17" s="153"/>
      <c r="ACT17" s="153"/>
      <c r="ACU17" s="153"/>
      <c r="ACV17" s="153"/>
      <c r="ACW17" s="153"/>
      <c r="ACX17" s="153"/>
      <c r="ACY17" s="153"/>
      <c r="ACZ17" s="153"/>
      <c r="ADA17" s="153"/>
      <c r="ADB17" s="153"/>
      <c r="ADC17" s="153"/>
      <c r="ADD17" s="153"/>
      <c r="ADE17" s="153"/>
      <c r="ADF17" s="153"/>
      <c r="ADG17" s="153"/>
      <c r="ADH17" s="153"/>
      <c r="ADI17" s="153"/>
      <c r="ADJ17" s="153"/>
      <c r="ADK17" s="153"/>
      <c r="ADL17" s="153"/>
      <c r="ADM17" s="153"/>
      <c r="ADN17" s="153"/>
      <c r="ADO17" s="153"/>
      <c r="ADP17" s="153"/>
      <c r="ADQ17" s="153"/>
      <c r="ADR17" s="153"/>
      <c r="ADS17" s="153"/>
      <c r="ADT17" s="153"/>
      <c r="ADU17" s="153"/>
      <c r="ADV17" s="153"/>
      <c r="ADW17" s="153"/>
      <c r="ADX17" s="153"/>
      <c r="ADY17" s="153"/>
      <c r="ADZ17" s="153"/>
      <c r="AEA17" s="153"/>
      <c r="AEB17" s="153"/>
      <c r="AEC17" s="153"/>
      <c r="AED17" s="153"/>
      <c r="AEE17" s="153"/>
      <c r="AEF17" s="153"/>
      <c r="AEG17" s="153"/>
      <c r="AEH17" s="153"/>
      <c r="AEI17" s="153"/>
      <c r="AEJ17" s="153"/>
      <c r="AEK17" s="153"/>
      <c r="AEL17" s="153"/>
      <c r="AEM17" s="153"/>
      <c r="AEN17" s="153"/>
      <c r="AEO17" s="153"/>
      <c r="AEP17" s="153"/>
      <c r="AEQ17" s="153"/>
      <c r="AER17" s="153"/>
      <c r="AES17" s="153"/>
      <c r="AET17" s="153"/>
      <c r="AEU17" s="153"/>
      <c r="AEV17" s="153"/>
      <c r="AEW17" s="153"/>
      <c r="AEX17" s="153"/>
      <c r="AEY17" s="153"/>
      <c r="AEZ17" s="153"/>
      <c r="AFA17" s="153"/>
      <c r="AFB17" s="153"/>
      <c r="AFC17" s="153"/>
      <c r="AFD17" s="153"/>
      <c r="AFE17" s="153"/>
      <c r="AFF17" s="153"/>
      <c r="AFG17" s="153"/>
      <c r="AFH17" s="153"/>
      <c r="AFI17" s="153"/>
      <c r="AFJ17" s="153"/>
      <c r="AFK17" s="153"/>
      <c r="AFL17" s="153"/>
      <c r="AFM17" s="153"/>
      <c r="AFN17" s="153"/>
      <c r="AFO17" s="153"/>
      <c r="AFP17" s="153"/>
      <c r="AFQ17" s="153"/>
      <c r="AFR17" s="153"/>
      <c r="AFS17" s="153"/>
      <c r="AFT17" s="153"/>
      <c r="AFU17" s="153"/>
      <c r="AFV17" s="153"/>
      <c r="AFW17" s="153"/>
      <c r="AFX17" s="153"/>
      <c r="AFY17" s="153"/>
      <c r="AFZ17" s="153"/>
      <c r="AGA17" s="153"/>
      <c r="AGB17" s="153"/>
      <c r="AGC17" s="153"/>
      <c r="AGD17" s="153"/>
      <c r="AGE17" s="153"/>
      <c r="AGF17" s="153"/>
      <c r="AGG17" s="153"/>
      <c r="AGH17" s="153"/>
      <c r="AGI17" s="153"/>
      <c r="AGJ17" s="153"/>
      <c r="AGK17" s="153"/>
      <c r="AGL17" s="153"/>
      <c r="AGM17" s="153"/>
      <c r="AGN17" s="153"/>
      <c r="AGO17" s="153"/>
      <c r="AGP17" s="153"/>
      <c r="AGQ17" s="153"/>
      <c r="AGR17" s="153"/>
      <c r="AGS17" s="153"/>
      <c r="AGT17" s="153"/>
      <c r="AGU17" s="153"/>
      <c r="AGV17" s="153"/>
      <c r="AGW17" s="153"/>
      <c r="AGX17" s="153"/>
      <c r="AGY17" s="153"/>
      <c r="AGZ17" s="153"/>
      <c r="AHA17" s="153"/>
      <c r="AHB17" s="153"/>
      <c r="AHC17" s="153"/>
      <c r="AHD17" s="153"/>
      <c r="AHE17" s="153"/>
      <c r="AHF17" s="153"/>
      <c r="AHG17" s="153"/>
      <c r="AHH17" s="153"/>
      <c r="AHI17" s="153"/>
      <c r="AHJ17" s="153"/>
      <c r="AHK17" s="153"/>
      <c r="AHL17" s="153"/>
      <c r="AHM17" s="153"/>
      <c r="AHN17" s="153"/>
      <c r="AHO17" s="153"/>
      <c r="AHP17" s="153"/>
      <c r="AHQ17" s="153"/>
      <c r="AHR17" s="153"/>
      <c r="AHS17" s="153"/>
      <c r="AHT17" s="153"/>
      <c r="AHU17" s="153"/>
      <c r="AHV17" s="153"/>
      <c r="AHW17" s="153"/>
      <c r="AHX17" s="153"/>
      <c r="AHY17" s="153"/>
      <c r="AHZ17" s="153"/>
      <c r="AIA17" s="153"/>
      <c r="AIB17" s="153"/>
      <c r="AIC17" s="153"/>
      <c r="AID17" s="153"/>
      <c r="AIE17" s="153"/>
      <c r="AIF17" s="153"/>
      <c r="AIG17" s="153"/>
      <c r="AIH17" s="153"/>
      <c r="AII17" s="153"/>
      <c r="AIJ17" s="153"/>
      <c r="AIK17" s="153"/>
      <c r="AIL17" s="153"/>
      <c r="AIM17" s="153"/>
      <c r="AIN17" s="153"/>
      <c r="AIO17" s="153"/>
      <c r="AIP17" s="153"/>
      <c r="AIQ17" s="153"/>
      <c r="AIR17" s="153"/>
      <c r="AIS17" s="153"/>
      <c r="AIT17" s="153"/>
      <c r="AIU17" s="153"/>
      <c r="AIV17" s="153"/>
      <c r="AIW17" s="153"/>
      <c r="AIX17" s="153"/>
      <c r="AIY17" s="153"/>
      <c r="AIZ17" s="153"/>
      <c r="AJA17" s="153"/>
      <c r="AJB17" s="153"/>
      <c r="AJC17" s="153"/>
      <c r="AJD17" s="153"/>
      <c r="AJE17" s="153"/>
      <c r="AJF17" s="153"/>
      <c r="AJG17" s="153"/>
      <c r="AJH17" s="153"/>
      <c r="AJI17" s="153"/>
      <c r="AJJ17" s="153"/>
      <c r="AJK17" s="153"/>
      <c r="AJL17" s="153"/>
      <c r="AJM17" s="153"/>
      <c r="AJN17" s="153"/>
      <c r="AJO17" s="153"/>
      <c r="AJP17" s="153"/>
      <c r="AJQ17" s="153"/>
      <c r="AJR17" s="153"/>
      <c r="AJS17" s="153"/>
      <c r="AJT17" s="153"/>
      <c r="AJU17" s="153"/>
      <c r="AJV17" s="153"/>
      <c r="AJW17" s="153"/>
      <c r="AJX17" s="153"/>
      <c r="AJY17" s="153"/>
      <c r="AJZ17" s="153"/>
      <c r="AKA17" s="153"/>
      <c r="AKB17" s="153"/>
      <c r="AKC17" s="153"/>
      <c r="AKD17" s="153"/>
      <c r="AKE17" s="153"/>
      <c r="AKF17" s="153"/>
      <c r="AKG17" s="153"/>
      <c r="AKH17" s="153"/>
      <c r="AKI17" s="153"/>
      <c r="AKJ17" s="153"/>
      <c r="AKK17" s="153"/>
      <c r="AKL17" s="153"/>
      <c r="AKM17" s="153"/>
      <c r="AKN17" s="153"/>
      <c r="AKO17" s="153"/>
      <c r="AKP17" s="153"/>
      <c r="AKQ17" s="153"/>
      <c r="AKR17" s="153"/>
      <c r="AKS17" s="153"/>
      <c r="AKT17" s="153"/>
      <c r="AKU17" s="153"/>
      <c r="AKV17" s="153"/>
      <c r="AKW17" s="153"/>
      <c r="AKX17" s="153"/>
      <c r="AKY17" s="153"/>
      <c r="AKZ17" s="153"/>
      <c r="ALA17" s="153"/>
      <c r="ALB17" s="153"/>
      <c r="ALC17" s="153"/>
      <c r="ALD17" s="153"/>
      <c r="ALE17" s="153"/>
      <c r="ALF17" s="153"/>
      <c r="ALG17" s="153"/>
      <c r="ALH17" s="153"/>
      <c r="ALI17" s="153"/>
      <c r="ALJ17" s="153"/>
      <c r="ALK17" s="153"/>
      <c r="ALL17" s="153"/>
      <c r="ALM17" s="153"/>
      <c r="ALN17" s="153"/>
      <c r="ALO17" s="153"/>
      <c r="ALP17" s="153"/>
      <c r="ALQ17" s="153"/>
      <c r="ALR17" s="153"/>
      <c r="ALS17" s="153"/>
      <c r="ALT17" s="153"/>
      <c r="ALU17" s="153"/>
      <c r="ALV17" s="153"/>
      <c r="ALW17" s="153"/>
      <c r="ALX17" s="153"/>
      <c r="ALY17" s="153"/>
      <c r="ALZ17" s="153"/>
      <c r="AMA17" s="153"/>
      <c r="AMB17" s="153"/>
      <c r="AMC17" s="153"/>
      <c r="AMD17" s="153"/>
      <c r="AME17" s="153"/>
      <c r="AMF17" s="153"/>
      <c r="AMG17" s="153"/>
      <c r="AMH17" s="153"/>
      <c r="AMI17" s="153"/>
      <c r="AMJ17" s="153"/>
      <c r="AMK17" s="153"/>
    </row>
    <row r="18" spans="1:1025" s="417" customFormat="1" ht="11.25" x14ac:dyDescent="0.2">
      <c r="A18" s="69" t="s">
        <v>833</v>
      </c>
      <c r="B18" s="371" t="s">
        <v>834</v>
      </c>
      <c r="C18" s="376">
        <v>507037.39</v>
      </c>
      <c r="D18" s="376">
        <f>173555.43+43388.86</f>
        <v>216944.28999999998</v>
      </c>
      <c r="E18" s="373">
        <f t="shared" si="0"/>
        <v>130166.57399999998</v>
      </c>
      <c r="F18" s="316">
        <f t="shared" si="1"/>
        <v>21944.643000000025</v>
      </c>
      <c r="G18" s="375">
        <f>(D18*0.05)</f>
        <v>10847.2145</v>
      </c>
      <c r="H18" s="316">
        <f t="shared" si="2"/>
        <v>52532.45925</v>
      </c>
      <c r="I18" s="373">
        <f>-D18*0.2</f>
        <v>-43388.858</v>
      </c>
      <c r="J18" s="374">
        <f>(((C18*0.2)/12)*6)+I18</f>
        <v>7314.8810000000012</v>
      </c>
      <c r="K18" s="257">
        <f t="shared" si="3"/>
        <v>32541.643499999995</v>
      </c>
      <c r="L18" s="316">
        <f t="shared" si="4"/>
        <v>30838.030250000007</v>
      </c>
      <c r="M18" s="336"/>
      <c r="N18" s="336"/>
      <c r="O18" s="337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153"/>
      <c r="EY18" s="153"/>
      <c r="EZ18" s="153"/>
      <c r="FA18" s="153"/>
      <c r="FB18" s="153"/>
      <c r="FC18" s="153"/>
      <c r="FD18" s="153"/>
      <c r="FE18" s="153"/>
      <c r="FF18" s="153"/>
      <c r="FG18" s="153"/>
      <c r="FH18" s="153"/>
      <c r="FI18" s="153"/>
      <c r="FJ18" s="153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53"/>
      <c r="FV18" s="153"/>
      <c r="FW18" s="153"/>
      <c r="FX18" s="153"/>
      <c r="FY18" s="153"/>
      <c r="FZ18" s="153"/>
      <c r="GA18" s="153"/>
      <c r="GB18" s="153"/>
      <c r="GC18" s="153"/>
      <c r="GD18" s="153"/>
      <c r="GE18" s="153"/>
      <c r="GF18" s="153"/>
      <c r="GG18" s="153"/>
      <c r="GH18" s="153"/>
      <c r="GI18" s="153"/>
      <c r="GJ18" s="153"/>
      <c r="GK18" s="153"/>
      <c r="GL18" s="153"/>
      <c r="GM18" s="153"/>
      <c r="GN18" s="153"/>
      <c r="GO18" s="153"/>
      <c r="GP18" s="153"/>
      <c r="GQ18" s="153"/>
      <c r="GR18" s="153"/>
      <c r="GS18" s="153"/>
      <c r="GT18" s="153"/>
      <c r="GU18" s="153"/>
      <c r="GV18" s="153"/>
      <c r="GW18" s="153"/>
      <c r="GX18" s="153"/>
      <c r="GY18" s="153"/>
      <c r="GZ18" s="153"/>
      <c r="HA18" s="153"/>
      <c r="HB18" s="153"/>
      <c r="HC18" s="153"/>
      <c r="HD18" s="153"/>
      <c r="HE18" s="153"/>
      <c r="HF18" s="153"/>
      <c r="HG18" s="153"/>
      <c r="HH18" s="153"/>
      <c r="HI18" s="153"/>
      <c r="HJ18" s="153"/>
      <c r="HK18" s="153"/>
      <c r="HL18" s="153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53"/>
      <c r="HY18" s="153"/>
      <c r="HZ18" s="153"/>
      <c r="IA18" s="153"/>
      <c r="IB18" s="153"/>
      <c r="IC18" s="153"/>
      <c r="ID18" s="153"/>
      <c r="IE18" s="153"/>
      <c r="IF18" s="153"/>
      <c r="IG18" s="153"/>
      <c r="IH18" s="153"/>
      <c r="II18" s="153"/>
      <c r="IJ18" s="153"/>
      <c r="IK18" s="153"/>
      <c r="IL18" s="153"/>
      <c r="IM18" s="153"/>
      <c r="IN18" s="153"/>
      <c r="IO18" s="153"/>
      <c r="IP18" s="153"/>
      <c r="IQ18" s="153"/>
      <c r="IR18" s="153"/>
      <c r="IS18" s="153"/>
      <c r="IT18" s="153"/>
      <c r="IU18" s="153"/>
      <c r="IV18" s="153"/>
      <c r="IW18" s="153"/>
      <c r="IX18" s="153"/>
      <c r="IY18" s="153"/>
      <c r="IZ18" s="153"/>
      <c r="JA18" s="153"/>
      <c r="JB18" s="153"/>
      <c r="JC18" s="153"/>
      <c r="JD18" s="153"/>
      <c r="JE18" s="153"/>
      <c r="JF18" s="153"/>
      <c r="JG18" s="153"/>
      <c r="JH18" s="153"/>
      <c r="JI18" s="153"/>
      <c r="JJ18" s="153"/>
      <c r="JK18" s="153"/>
      <c r="JL18" s="153"/>
      <c r="JM18" s="153"/>
      <c r="JN18" s="153"/>
      <c r="JO18" s="153"/>
      <c r="JP18" s="153"/>
      <c r="JQ18" s="153"/>
      <c r="JR18" s="153"/>
      <c r="JS18" s="153"/>
      <c r="JT18" s="153"/>
      <c r="JU18" s="153"/>
      <c r="JV18" s="153"/>
      <c r="JW18" s="153"/>
      <c r="JX18" s="153"/>
      <c r="JY18" s="153"/>
      <c r="JZ18" s="153"/>
      <c r="KA18" s="153"/>
      <c r="KB18" s="153"/>
      <c r="KC18" s="153"/>
      <c r="KD18" s="153"/>
      <c r="KE18" s="153"/>
      <c r="KF18" s="153"/>
      <c r="KG18" s="153"/>
      <c r="KH18" s="153"/>
      <c r="KI18" s="153"/>
      <c r="KJ18" s="153"/>
      <c r="KK18" s="153"/>
      <c r="KL18" s="153"/>
      <c r="KM18" s="153"/>
      <c r="KN18" s="153"/>
      <c r="KO18" s="153"/>
      <c r="KP18" s="153"/>
      <c r="KQ18" s="153"/>
      <c r="KR18" s="153"/>
      <c r="KS18" s="153"/>
      <c r="KT18" s="153"/>
      <c r="KU18" s="153"/>
      <c r="KV18" s="153"/>
      <c r="KW18" s="153"/>
      <c r="KX18" s="153"/>
      <c r="KY18" s="153"/>
      <c r="KZ18" s="153"/>
      <c r="LA18" s="153"/>
      <c r="LB18" s="153"/>
      <c r="LC18" s="153"/>
      <c r="LD18" s="153"/>
      <c r="LE18" s="153"/>
      <c r="LF18" s="153"/>
      <c r="LG18" s="153"/>
      <c r="LH18" s="153"/>
      <c r="LI18" s="153"/>
      <c r="LJ18" s="153"/>
      <c r="LK18" s="153"/>
      <c r="LL18" s="153"/>
      <c r="LM18" s="153"/>
      <c r="LN18" s="153"/>
      <c r="LO18" s="153"/>
      <c r="LP18" s="153"/>
      <c r="LQ18" s="153"/>
      <c r="LR18" s="153"/>
      <c r="LS18" s="153"/>
      <c r="LT18" s="153"/>
      <c r="LU18" s="153"/>
      <c r="LV18" s="153"/>
      <c r="LW18" s="153"/>
      <c r="LX18" s="153"/>
      <c r="LY18" s="153"/>
      <c r="LZ18" s="153"/>
      <c r="MA18" s="153"/>
      <c r="MB18" s="153"/>
      <c r="MC18" s="153"/>
      <c r="MD18" s="153"/>
      <c r="ME18" s="153"/>
      <c r="MF18" s="153"/>
      <c r="MG18" s="153"/>
      <c r="MH18" s="153"/>
      <c r="MI18" s="153"/>
      <c r="MJ18" s="153"/>
      <c r="MK18" s="153"/>
      <c r="ML18" s="153"/>
      <c r="MM18" s="153"/>
      <c r="MN18" s="153"/>
      <c r="MO18" s="153"/>
      <c r="MP18" s="153"/>
      <c r="MQ18" s="153"/>
      <c r="MR18" s="153"/>
      <c r="MS18" s="153"/>
      <c r="MT18" s="153"/>
      <c r="MU18" s="153"/>
      <c r="MV18" s="153"/>
      <c r="MW18" s="153"/>
      <c r="MX18" s="153"/>
      <c r="MY18" s="153"/>
      <c r="MZ18" s="153"/>
      <c r="NA18" s="153"/>
      <c r="NB18" s="153"/>
      <c r="NC18" s="153"/>
      <c r="ND18" s="153"/>
      <c r="NE18" s="153"/>
      <c r="NF18" s="153"/>
      <c r="NG18" s="153"/>
      <c r="NH18" s="153"/>
      <c r="NI18" s="153"/>
      <c r="NJ18" s="153"/>
      <c r="NK18" s="153"/>
      <c r="NL18" s="153"/>
      <c r="NM18" s="153"/>
      <c r="NN18" s="153"/>
      <c r="NO18" s="153"/>
      <c r="NP18" s="153"/>
      <c r="NQ18" s="153"/>
      <c r="NR18" s="153"/>
      <c r="NS18" s="153"/>
      <c r="NT18" s="153"/>
      <c r="NU18" s="153"/>
      <c r="NV18" s="153"/>
      <c r="NW18" s="153"/>
      <c r="NX18" s="153"/>
      <c r="NY18" s="153"/>
      <c r="NZ18" s="153"/>
      <c r="OA18" s="153"/>
      <c r="OB18" s="153"/>
      <c r="OC18" s="153"/>
      <c r="OD18" s="153"/>
      <c r="OE18" s="153"/>
      <c r="OF18" s="153"/>
      <c r="OG18" s="153"/>
      <c r="OH18" s="153"/>
      <c r="OI18" s="153"/>
      <c r="OJ18" s="153"/>
      <c r="OK18" s="153"/>
      <c r="OL18" s="153"/>
      <c r="OM18" s="153"/>
      <c r="ON18" s="153"/>
      <c r="OO18" s="153"/>
      <c r="OP18" s="153"/>
      <c r="OQ18" s="153"/>
      <c r="OR18" s="153"/>
      <c r="OS18" s="153"/>
      <c r="OT18" s="153"/>
      <c r="OU18" s="153"/>
      <c r="OV18" s="153"/>
      <c r="OW18" s="153"/>
      <c r="OX18" s="153"/>
      <c r="OY18" s="153"/>
      <c r="OZ18" s="153"/>
      <c r="PA18" s="153"/>
      <c r="PB18" s="153"/>
      <c r="PC18" s="153"/>
      <c r="PD18" s="153"/>
      <c r="PE18" s="153"/>
      <c r="PF18" s="153"/>
      <c r="PG18" s="153"/>
      <c r="PH18" s="153"/>
      <c r="PI18" s="153"/>
      <c r="PJ18" s="153"/>
      <c r="PK18" s="153"/>
      <c r="PL18" s="153"/>
      <c r="PM18" s="153"/>
      <c r="PN18" s="153"/>
      <c r="PO18" s="153"/>
      <c r="PP18" s="153"/>
      <c r="PQ18" s="153"/>
      <c r="PR18" s="153"/>
      <c r="PS18" s="153"/>
      <c r="PT18" s="153"/>
      <c r="PU18" s="153"/>
      <c r="PV18" s="153"/>
      <c r="PW18" s="153"/>
      <c r="PX18" s="153"/>
      <c r="PY18" s="153"/>
      <c r="PZ18" s="153"/>
      <c r="QA18" s="153"/>
      <c r="QB18" s="153"/>
      <c r="QC18" s="153"/>
      <c r="QD18" s="153"/>
      <c r="QE18" s="153"/>
      <c r="QF18" s="153"/>
      <c r="QG18" s="153"/>
      <c r="QH18" s="153"/>
      <c r="QI18" s="153"/>
      <c r="QJ18" s="153"/>
      <c r="QK18" s="153"/>
      <c r="QL18" s="153"/>
      <c r="QM18" s="153"/>
      <c r="QN18" s="153"/>
      <c r="QO18" s="153"/>
      <c r="QP18" s="153"/>
      <c r="QQ18" s="153"/>
      <c r="QR18" s="153"/>
      <c r="QS18" s="153"/>
      <c r="QT18" s="153"/>
      <c r="QU18" s="153"/>
      <c r="QV18" s="153"/>
      <c r="QW18" s="153"/>
      <c r="QX18" s="153"/>
      <c r="QY18" s="153"/>
      <c r="QZ18" s="153"/>
      <c r="RA18" s="153"/>
      <c r="RB18" s="153"/>
      <c r="RC18" s="153"/>
      <c r="RD18" s="153"/>
      <c r="RE18" s="153"/>
      <c r="RF18" s="153"/>
      <c r="RG18" s="153"/>
      <c r="RH18" s="153"/>
      <c r="RI18" s="153"/>
      <c r="RJ18" s="153"/>
      <c r="RK18" s="153"/>
      <c r="RL18" s="153"/>
      <c r="RM18" s="153"/>
      <c r="RN18" s="153"/>
      <c r="RO18" s="153"/>
      <c r="RP18" s="153"/>
      <c r="RQ18" s="153"/>
      <c r="RR18" s="153"/>
      <c r="RS18" s="153"/>
      <c r="RT18" s="153"/>
      <c r="RU18" s="153"/>
      <c r="RV18" s="153"/>
      <c r="RW18" s="153"/>
      <c r="RX18" s="153"/>
      <c r="RY18" s="153"/>
      <c r="RZ18" s="153"/>
      <c r="SA18" s="153"/>
      <c r="SB18" s="153"/>
      <c r="SC18" s="153"/>
      <c r="SD18" s="153"/>
      <c r="SE18" s="153"/>
      <c r="SF18" s="153"/>
      <c r="SG18" s="153"/>
      <c r="SH18" s="153"/>
      <c r="SI18" s="153"/>
      <c r="SJ18" s="153"/>
      <c r="SK18" s="153"/>
      <c r="SL18" s="153"/>
      <c r="SM18" s="153"/>
      <c r="SN18" s="153"/>
      <c r="SO18" s="153"/>
      <c r="SP18" s="153"/>
      <c r="SQ18" s="153"/>
      <c r="SR18" s="153"/>
      <c r="SS18" s="153"/>
      <c r="ST18" s="153"/>
      <c r="SU18" s="153"/>
      <c r="SV18" s="153"/>
      <c r="SW18" s="153"/>
      <c r="SX18" s="153"/>
      <c r="SY18" s="153"/>
      <c r="SZ18" s="153"/>
      <c r="TA18" s="153"/>
      <c r="TB18" s="153"/>
      <c r="TC18" s="153"/>
      <c r="TD18" s="153"/>
      <c r="TE18" s="153"/>
      <c r="TF18" s="153"/>
      <c r="TG18" s="153"/>
      <c r="TH18" s="153"/>
      <c r="TI18" s="153"/>
      <c r="TJ18" s="153"/>
      <c r="TK18" s="153"/>
      <c r="TL18" s="153"/>
      <c r="TM18" s="153"/>
      <c r="TN18" s="153"/>
      <c r="TO18" s="153"/>
      <c r="TP18" s="153"/>
      <c r="TQ18" s="153"/>
      <c r="TR18" s="153"/>
      <c r="TS18" s="153"/>
      <c r="TT18" s="153"/>
      <c r="TU18" s="153"/>
      <c r="TV18" s="153"/>
      <c r="TW18" s="153"/>
      <c r="TX18" s="153"/>
      <c r="TY18" s="153"/>
      <c r="TZ18" s="153"/>
      <c r="UA18" s="153"/>
      <c r="UB18" s="153"/>
      <c r="UC18" s="153"/>
      <c r="UD18" s="153"/>
      <c r="UE18" s="153"/>
      <c r="UF18" s="153"/>
      <c r="UG18" s="153"/>
      <c r="UH18" s="153"/>
      <c r="UI18" s="153"/>
      <c r="UJ18" s="153"/>
      <c r="UK18" s="153"/>
      <c r="UL18" s="153"/>
      <c r="UM18" s="153"/>
      <c r="UN18" s="153"/>
      <c r="UO18" s="153"/>
      <c r="UP18" s="153"/>
      <c r="UQ18" s="153"/>
      <c r="UR18" s="153"/>
      <c r="US18" s="153"/>
      <c r="UT18" s="153"/>
      <c r="UU18" s="153"/>
      <c r="UV18" s="153"/>
      <c r="UW18" s="153"/>
      <c r="UX18" s="153"/>
      <c r="UY18" s="153"/>
      <c r="UZ18" s="153"/>
      <c r="VA18" s="153"/>
      <c r="VB18" s="153"/>
      <c r="VC18" s="153"/>
      <c r="VD18" s="153"/>
      <c r="VE18" s="153"/>
      <c r="VF18" s="153"/>
      <c r="VG18" s="153"/>
      <c r="VH18" s="153"/>
      <c r="VI18" s="153"/>
      <c r="VJ18" s="153"/>
      <c r="VK18" s="153"/>
      <c r="VL18" s="153"/>
      <c r="VM18" s="153"/>
      <c r="VN18" s="153"/>
      <c r="VO18" s="153"/>
      <c r="VP18" s="153"/>
      <c r="VQ18" s="153"/>
      <c r="VR18" s="153"/>
      <c r="VS18" s="153"/>
      <c r="VT18" s="153"/>
      <c r="VU18" s="153"/>
      <c r="VV18" s="153"/>
      <c r="VW18" s="153"/>
      <c r="VX18" s="153"/>
      <c r="VY18" s="153"/>
      <c r="VZ18" s="153"/>
      <c r="WA18" s="153"/>
      <c r="WB18" s="153"/>
      <c r="WC18" s="153"/>
      <c r="WD18" s="153"/>
      <c r="WE18" s="153"/>
      <c r="WF18" s="153"/>
      <c r="WG18" s="153"/>
      <c r="WH18" s="153"/>
      <c r="WI18" s="153"/>
      <c r="WJ18" s="153"/>
      <c r="WK18" s="153"/>
      <c r="WL18" s="153"/>
      <c r="WM18" s="153"/>
      <c r="WN18" s="153"/>
      <c r="WO18" s="153"/>
      <c r="WP18" s="153"/>
      <c r="WQ18" s="153"/>
      <c r="WR18" s="153"/>
      <c r="WS18" s="153"/>
      <c r="WT18" s="153"/>
      <c r="WU18" s="153"/>
      <c r="WV18" s="153"/>
      <c r="WW18" s="153"/>
      <c r="WX18" s="153"/>
      <c r="WY18" s="153"/>
      <c r="WZ18" s="153"/>
      <c r="XA18" s="153"/>
      <c r="XB18" s="153"/>
      <c r="XC18" s="153"/>
      <c r="XD18" s="153"/>
      <c r="XE18" s="153"/>
      <c r="XF18" s="153"/>
      <c r="XG18" s="153"/>
      <c r="XH18" s="153"/>
      <c r="XI18" s="153"/>
      <c r="XJ18" s="153"/>
      <c r="XK18" s="153"/>
      <c r="XL18" s="153"/>
      <c r="XM18" s="153"/>
      <c r="XN18" s="153"/>
      <c r="XO18" s="153"/>
      <c r="XP18" s="153"/>
      <c r="XQ18" s="153"/>
      <c r="XR18" s="153"/>
      <c r="XS18" s="153"/>
      <c r="XT18" s="153"/>
      <c r="XU18" s="153"/>
      <c r="XV18" s="153"/>
      <c r="XW18" s="153"/>
      <c r="XX18" s="153"/>
      <c r="XY18" s="153"/>
      <c r="XZ18" s="153"/>
      <c r="YA18" s="153"/>
      <c r="YB18" s="153"/>
      <c r="YC18" s="153"/>
      <c r="YD18" s="153"/>
      <c r="YE18" s="153"/>
      <c r="YF18" s="153"/>
      <c r="YG18" s="153"/>
      <c r="YH18" s="153"/>
      <c r="YI18" s="153"/>
      <c r="YJ18" s="153"/>
      <c r="YK18" s="153"/>
      <c r="YL18" s="153"/>
      <c r="YM18" s="153"/>
      <c r="YN18" s="153"/>
      <c r="YO18" s="153"/>
      <c r="YP18" s="153"/>
      <c r="YQ18" s="153"/>
      <c r="YR18" s="153"/>
      <c r="YS18" s="153"/>
      <c r="YT18" s="153"/>
      <c r="YU18" s="153"/>
      <c r="YV18" s="153"/>
      <c r="YW18" s="153"/>
      <c r="YX18" s="153"/>
      <c r="YY18" s="153"/>
      <c r="YZ18" s="153"/>
      <c r="ZA18" s="153"/>
      <c r="ZB18" s="153"/>
      <c r="ZC18" s="153"/>
      <c r="ZD18" s="153"/>
      <c r="ZE18" s="153"/>
      <c r="ZF18" s="153"/>
      <c r="ZG18" s="153"/>
      <c r="ZH18" s="153"/>
      <c r="ZI18" s="153"/>
      <c r="ZJ18" s="153"/>
      <c r="ZK18" s="153"/>
      <c r="ZL18" s="153"/>
      <c r="ZM18" s="153"/>
      <c r="ZN18" s="153"/>
      <c r="ZO18" s="153"/>
      <c r="ZP18" s="153"/>
      <c r="ZQ18" s="153"/>
      <c r="ZR18" s="153"/>
      <c r="ZS18" s="153"/>
      <c r="ZT18" s="153"/>
      <c r="ZU18" s="153"/>
      <c r="ZV18" s="153"/>
      <c r="ZW18" s="153"/>
      <c r="ZX18" s="153"/>
      <c r="ZY18" s="153"/>
      <c r="ZZ18" s="153"/>
      <c r="AAA18" s="153"/>
      <c r="AAB18" s="153"/>
      <c r="AAC18" s="153"/>
      <c r="AAD18" s="153"/>
      <c r="AAE18" s="153"/>
      <c r="AAF18" s="153"/>
      <c r="AAG18" s="153"/>
      <c r="AAH18" s="153"/>
      <c r="AAI18" s="153"/>
      <c r="AAJ18" s="153"/>
      <c r="AAK18" s="153"/>
      <c r="AAL18" s="153"/>
      <c r="AAM18" s="153"/>
      <c r="AAN18" s="153"/>
      <c r="AAO18" s="153"/>
      <c r="AAP18" s="153"/>
      <c r="AAQ18" s="153"/>
      <c r="AAR18" s="153"/>
      <c r="AAS18" s="153"/>
      <c r="AAT18" s="153"/>
      <c r="AAU18" s="153"/>
      <c r="AAV18" s="153"/>
      <c r="AAW18" s="153"/>
      <c r="AAX18" s="153"/>
      <c r="AAY18" s="153"/>
      <c r="AAZ18" s="153"/>
      <c r="ABA18" s="153"/>
      <c r="ABB18" s="153"/>
      <c r="ABC18" s="153"/>
      <c r="ABD18" s="153"/>
      <c r="ABE18" s="153"/>
      <c r="ABF18" s="153"/>
      <c r="ABG18" s="153"/>
      <c r="ABH18" s="153"/>
      <c r="ABI18" s="153"/>
      <c r="ABJ18" s="153"/>
      <c r="ABK18" s="153"/>
      <c r="ABL18" s="153"/>
      <c r="ABM18" s="153"/>
      <c r="ABN18" s="153"/>
      <c r="ABO18" s="153"/>
      <c r="ABP18" s="153"/>
      <c r="ABQ18" s="153"/>
      <c r="ABR18" s="153"/>
      <c r="ABS18" s="153"/>
      <c r="ABT18" s="153"/>
      <c r="ABU18" s="153"/>
      <c r="ABV18" s="153"/>
      <c r="ABW18" s="153"/>
      <c r="ABX18" s="153"/>
      <c r="ABY18" s="153"/>
      <c r="ABZ18" s="153"/>
      <c r="ACA18" s="153"/>
      <c r="ACB18" s="153"/>
      <c r="ACC18" s="153"/>
      <c r="ACD18" s="153"/>
      <c r="ACE18" s="153"/>
      <c r="ACF18" s="153"/>
      <c r="ACG18" s="153"/>
      <c r="ACH18" s="153"/>
      <c r="ACI18" s="153"/>
      <c r="ACJ18" s="153"/>
      <c r="ACK18" s="153"/>
      <c r="ACL18" s="153"/>
      <c r="ACM18" s="153"/>
      <c r="ACN18" s="153"/>
      <c r="ACO18" s="153"/>
      <c r="ACP18" s="153"/>
      <c r="ACQ18" s="153"/>
      <c r="ACR18" s="153"/>
      <c r="ACS18" s="153"/>
      <c r="ACT18" s="153"/>
      <c r="ACU18" s="153"/>
      <c r="ACV18" s="153"/>
      <c r="ACW18" s="153"/>
      <c r="ACX18" s="153"/>
      <c r="ACY18" s="153"/>
      <c r="ACZ18" s="153"/>
      <c r="ADA18" s="153"/>
      <c r="ADB18" s="153"/>
      <c r="ADC18" s="153"/>
      <c r="ADD18" s="153"/>
      <c r="ADE18" s="153"/>
      <c r="ADF18" s="153"/>
      <c r="ADG18" s="153"/>
      <c r="ADH18" s="153"/>
      <c r="ADI18" s="153"/>
      <c r="ADJ18" s="153"/>
      <c r="ADK18" s="153"/>
      <c r="ADL18" s="153"/>
      <c r="ADM18" s="153"/>
      <c r="ADN18" s="153"/>
      <c r="ADO18" s="153"/>
      <c r="ADP18" s="153"/>
      <c r="ADQ18" s="153"/>
      <c r="ADR18" s="153"/>
      <c r="ADS18" s="153"/>
      <c r="ADT18" s="153"/>
      <c r="ADU18" s="153"/>
      <c r="ADV18" s="153"/>
      <c r="ADW18" s="153"/>
      <c r="ADX18" s="153"/>
      <c r="ADY18" s="153"/>
      <c r="ADZ18" s="153"/>
      <c r="AEA18" s="153"/>
      <c r="AEB18" s="153"/>
      <c r="AEC18" s="153"/>
      <c r="AED18" s="153"/>
      <c r="AEE18" s="153"/>
      <c r="AEF18" s="153"/>
      <c r="AEG18" s="153"/>
      <c r="AEH18" s="153"/>
      <c r="AEI18" s="153"/>
      <c r="AEJ18" s="153"/>
      <c r="AEK18" s="153"/>
      <c r="AEL18" s="153"/>
      <c r="AEM18" s="153"/>
      <c r="AEN18" s="153"/>
      <c r="AEO18" s="153"/>
      <c r="AEP18" s="153"/>
      <c r="AEQ18" s="153"/>
      <c r="AER18" s="153"/>
      <c r="AES18" s="153"/>
      <c r="AET18" s="153"/>
      <c r="AEU18" s="153"/>
      <c r="AEV18" s="153"/>
      <c r="AEW18" s="153"/>
      <c r="AEX18" s="153"/>
      <c r="AEY18" s="153"/>
      <c r="AEZ18" s="153"/>
      <c r="AFA18" s="153"/>
      <c r="AFB18" s="153"/>
      <c r="AFC18" s="153"/>
      <c r="AFD18" s="153"/>
      <c r="AFE18" s="153"/>
      <c r="AFF18" s="153"/>
      <c r="AFG18" s="153"/>
      <c r="AFH18" s="153"/>
      <c r="AFI18" s="153"/>
      <c r="AFJ18" s="153"/>
      <c r="AFK18" s="153"/>
      <c r="AFL18" s="153"/>
      <c r="AFM18" s="153"/>
      <c r="AFN18" s="153"/>
      <c r="AFO18" s="153"/>
      <c r="AFP18" s="153"/>
      <c r="AFQ18" s="153"/>
      <c r="AFR18" s="153"/>
      <c r="AFS18" s="153"/>
      <c r="AFT18" s="153"/>
      <c r="AFU18" s="153"/>
      <c r="AFV18" s="153"/>
      <c r="AFW18" s="153"/>
      <c r="AFX18" s="153"/>
      <c r="AFY18" s="153"/>
      <c r="AFZ18" s="153"/>
      <c r="AGA18" s="153"/>
      <c r="AGB18" s="153"/>
      <c r="AGC18" s="153"/>
      <c r="AGD18" s="153"/>
      <c r="AGE18" s="153"/>
      <c r="AGF18" s="153"/>
      <c r="AGG18" s="153"/>
      <c r="AGH18" s="153"/>
      <c r="AGI18" s="153"/>
      <c r="AGJ18" s="153"/>
      <c r="AGK18" s="153"/>
      <c r="AGL18" s="153"/>
      <c r="AGM18" s="153"/>
      <c r="AGN18" s="153"/>
      <c r="AGO18" s="153"/>
      <c r="AGP18" s="153"/>
      <c r="AGQ18" s="153"/>
      <c r="AGR18" s="153"/>
      <c r="AGS18" s="153"/>
      <c r="AGT18" s="153"/>
      <c r="AGU18" s="153"/>
      <c r="AGV18" s="153"/>
      <c r="AGW18" s="153"/>
      <c r="AGX18" s="153"/>
      <c r="AGY18" s="153"/>
      <c r="AGZ18" s="153"/>
      <c r="AHA18" s="153"/>
      <c r="AHB18" s="153"/>
      <c r="AHC18" s="153"/>
      <c r="AHD18" s="153"/>
      <c r="AHE18" s="153"/>
      <c r="AHF18" s="153"/>
      <c r="AHG18" s="153"/>
      <c r="AHH18" s="153"/>
      <c r="AHI18" s="153"/>
      <c r="AHJ18" s="153"/>
      <c r="AHK18" s="153"/>
      <c r="AHL18" s="153"/>
      <c r="AHM18" s="153"/>
      <c r="AHN18" s="153"/>
      <c r="AHO18" s="153"/>
      <c r="AHP18" s="153"/>
      <c r="AHQ18" s="153"/>
      <c r="AHR18" s="153"/>
      <c r="AHS18" s="153"/>
      <c r="AHT18" s="153"/>
      <c r="AHU18" s="153"/>
      <c r="AHV18" s="153"/>
      <c r="AHW18" s="153"/>
      <c r="AHX18" s="153"/>
      <c r="AHY18" s="153"/>
      <c r="AHZ18" s="153"/>
      <c r="AIA18" s="153"/>
      <c r="AIB18" s="153"/>
      <c r="AIC18" s="153"/>
      <c r="AID18" s="153"/>
      <c r="AIE18" s="153"/>
      <c r="AIF18" s="153"/>
      <c r="AIG18" s="153"/>
      <c r="AIH18" s="153"/>
      <c r="AII18" s="153"/>
      <c r="AIJ18" s="153"/>
      <c r="AIK18" s="153"/>
      <c r="AIL18" s="153"/>
      <c r="AIM18" s="153"/>
      <c r="AIN18" s="153"/>
      <c r="AIO18" s="153"/>
      <c r="AIP18" s="153"/>
      <c r="AIQ18" s="153"/>
      <c r="AIR18" s="153"/>
      <c r="AIS18" s="153"/>
      <c r="AIT18" s="153"/>
      <c r="AIU18" s="153"/>
      <c r="AIV18" s="153"/>
      <c r="AIW18" s="153"/>
      <c r="AIX18" s="153"/>
      <c r="AIY18" s="153"/>
      <c r="AIZ18" s="153"/>
      <c r="AJA18" s="153"/>
      <c r="AJB18" s="153"/>
      <c r="AJC18" s="153"/>
      <c r="AJD18" s="153"/>
      <c r="AJE18" s="153"/>
      <c r="AJF18" s="153"/>
      <c r="AJG18" s="153"/>
      <c r="AJH18" s="153"/>
      <c r="AJI18" s="153"/>
      <c r="AJJ18" s="153"/>
      <c r="AJK18" s="153"/>
      <c r="AJL18" s="153"/>
      <c r="AJM18" s="153"/>
      <c r="AJN18" s="153"/>
      <c r="AJO18" s="153"/>
      <c r="AJP18" s="153"/>
      <c r="AJQ18" s="153"/>
      <c r="AJR18" s="153"/>
      <c r="AJS18" s="153"/>
      <c r="AJT18" s="153"/>
      <c r="AJU18" s="153"/>
      <c r="AJV18" s="153"/>
      <c r="AJW18" s="153"/>
      <c r="AJX18" s="153"/>
      <c r="AJY18" s="153"/>
      <c r="AJZ18" s="153"/>
      <c r="AKA18" s="153"/>
      <c r="AKB18" s="153"/>
      <c r="AKC18" s="153"/>
      <c r="AKD18" s="153"/>
      <c r="AKE18" s="153"/>
      <c r="AKF18" s="153"/>
      <c r="AKG18" s="153"/>
      <c r="AKH18" s="153"/>
      <c r="AKI18" s="153"/>
      <c r="AKJ18" s="153"/>
      <c r="AKK18" s="153"/>
      <c r="AKL18" s="153"/>
      <c r="AKM18" s="153"/>
      <c r="AKN18" s="153"/>
      <c r="AKO18" s="153"/>
      <c r="AKP18" s="153"/>
      <c r="AKQ18" s="153"/>
      <c r="AKR18" s="153"/>
      <c r="AKS18" s="153"/>
      <c r="AKT18" s="153"/>
      <c r="AKU18" s="153"/>
      <c r="AKV18" s="153"/>
      <c r="AKW18" s="153"/>
      <c r="AKX18" s="153"/>
      <c r="AKY18" s="153"/>
      <c r="AKZ18" s="153"/>
      <c r="ALA18" s="153"/>
      <c r="ALB18" s="153"/>
      <c r="ALC18" s="153"/>
      <c r="ALD18" s="153"/>
      <c r="ALE18" s="153"/>
      <c r="ALF18" s="153"/>
      <c r="ALG18" s="153"/>
      <c r="ALH18" s="153"/>
      <c r="ALI18" s="153"/>
      <c r="ALJ18" s="153"/>
      <c r="ALK18" s="153"/>
      <c r="ALL18" s="153"/>
      <c r="ALM18" s="153"/>
      <c r="ALN18" s="153"/>
      <c r="ALO18" s="153"/>
      <c r="ALP18" s="153"/>
      <c r="ALQ18" s="153"/>
      <c r="ALR18" s="153"/>
      <c r="ALS18" s="153"/>
      <c r="ALT18" s="153"/>
      <c r="ALU18" s="153"/>
      <c r="ALV18" s="153"/>
      <c r="ALW18" s="153"/>
      <c r="ALX18" s="153"/>
      <c r="ALY18" s="153"/>
      <c r="ALZ18" s="153"/>
      <c r="AMA18" s="153"/>
      <c r="AMB18" s="153"/>
      <c r="AMC18" s="153"/>
      <c r="AMD18" s="153"/>
      <c r="AME18" s="153"/>
      <c r="AMF18" s="153"/>
      <c r="AMG18" s="153"/>
      <c r="AMH18" s="153"/>
      <c r="AMI18" s="153"/>
      <c r="AMJ18" s="153"/>
      <c r="AMK18" s="153"/>
    </row>
    <row r="19" spans="1:1025" s="417" customFormat="1" ht="11.25" x14ac:dyDescent="0.2">
      <c r="A19" s="73" t="s">
        <v>835</v>
      </c>
      <c r="B19" s="378" t="s">
        <v>445</v>
      </c>
      <c r="C19" s="117">
        <v>31284546.5</v>
      </c>
      <c r="D19" s="117">
        <f>17540868.5</f>
        <v>17540868.5</v>
      </c>
      <c r="E19" s="379"/>
      <c r="F19" s="380"/>
      <c r="G19" s="380"/>
      <c r="H19" s="380"/>
      <c r="I19" s="316">
        <f>-SUM(I12+SUM(I15:I18))-9456488.57</f>
        <v>-119253.86999999918</v>
      </c>
      <c r="J19" s="381"/>
      <c r="K19" s="252"/>
      <c r="L19" s="382"/>
      <c r="M19" s="336"/>
      <c r="N19" s="336"/>
      <c r="O19" s="337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153"/>
      <c r="FE19" s="153"/>
      <c r="FF19" s="153"/>
      <c r="FG19" s="153"/>
      <c r="FH19" s="153"/>
      <c r="FI19" s="153"/>
      <c r="FJ19" s="153"/>
      <c r="FK19" s="153"/>
      <c r="FL19" s="153"/>
      <c r="FM19" s="153"/>
      <c r="FN19" s="153"/>
      <c r="FO19" s="153"/>
      <c r="FP19" s="153"/>
      <c r="FQ19" s="153"/>
      <c r="FR19" s="153"/>
      <c r="FS19" s="153"/>
      <c r="FT19" s="153"/>
      <c r="FU19" s="153"/>
      <c r="FV19" s="153"/>
      <c r="FW19" s="153"/>
      <c r="FX19" s="153"/>
      <c r="FY19" s="153"/>
      <c r="FZ19" s="153"/>
      <c r="GA19" s="153"/>
      <c r="GB19" s="153"/>
      <c r="GC19" s="153"/>
      <c r="GD19" s="153"/>
      <c r="GE19" s="153"/>
      <c r="GF19" s="153"/>
      <c r="GG19" s="153"/>
      <c r="GH19" s="153"/>
      <c r="GI19" s="153"/>
      <c r="GJ19" s="153"/>
      <c r="GK19" s="153"/>
      <c r="GL19" s="153"/>
      <c r="GM19" s="153"/>
      <c r="GN19" s="153"/>
      <c r="GO19" s="153"/>
      <c r="GP19" s="153"/>
      <c r="GQ19" s="153"/>
      <c r="GR19" s="153"/>
      <c r="GS19" s="153"/>
      <c r="GT19" s="153"/>
      <c r="GU19" s="153"/>
      <c r="GV19" s="153"/>
      <c r="GW19" s="153"/>
      <c r="GX19" s="153"/>
      <c r="GY19" s="153"/>
      <c r="GZ19" s="153"/>
      <c r="HA19" s="153"/>
      <c r="HB19" s="153"/>
      <c r="HC19" s="153"/>
      <c r="HD19" s="153"/>
      <c r="HE19" s="153"/>
      <c r="HF19" s="153"/>
      <c r="HG19" s="153"/>
      <c r="HH19" s="153"/>
      <c r="HI19" s="153"/>
      <c r="HJ19" s="153"/>
      <c r="HK19" s="153"/>
      <c r="HL19" s="153"/>
      <c r="HM19" s="153"/>
      <c r="HN19" s="153"/>
      <c r="HO19" s="153"/>
      <c r="HP19" s="153"/>
      <c r="HQ19" s="153"/>
      <c r="HR19" s="153"/>
      <c r="HS19" s="153"/>
      <c r="HT19" s="153"/>
      <c r="HU19" s="153"/>
      <c r="HV19" s="153"/>
      <c r="HW19" s="153"/>
      <c r="HX19" s="153"/>
      <c r="HY19" s="153"/>
      <c r="HZ19" s="153"/>
      <c r="IA19" s="153"/>
      <c r="IB19" s="153"/>
      <c r="IC19" s="153"/>
      <c r="ID19" s="153"/>
      <c r="IE19" s="153"/>
      <c r="IF19" s="153"/>
      <c r="IG19" s="153"/>
      <c r="IH19" s="153"/>
      <c r="II19" s="153"/>
      <c r="IJ19" s="153"/>
      <c r="IK19" s="153"/>
      <c r="IL19" s="153"/>
      <c r="IM19" s="153"/>
      <c r="IN19" s="153"/>
      <c r="IO19" s="153"/>
      <c r="IP19" s="153"/>
      <c r="IQ19" s="153"/>
      <c r="IR19" s="153"/>
      <c r="IS19" s="153"/>
      <c r="IT19" s="153"/>
      <c r="IU19" s="153"/>
      <c r="IV19" s="153"/>
      <c r="IW19" s="153"/>
      <c r="IX19" s="153"/>
      <c r="IY19" s="153"/>
      <c r="IZ19" s="153"/>
      <c r="JA19" s="153"/>
      <c r="JB19" s="153"/>
      <c r="JC19" s="153"/>
      <c r="JD19" s="153"/>
      <c r="JE19" s="153"/>
      <c r="JF19" s="153"/>
      <c r="JG19" s="153"/>
      <c r="JH19" s="153"/>
      <c r="JI19" s="153"/>
      <c r="JJ19" s="153"/>
      <c r="JK19" s="153"/>
      <c r="JL19" s="153"/>
      <c r="JM19" s="153"/>
      <c r="JN19" s="153"/>
      <c r="JO19" s="153"/>
      <c r="JP19" s="153"/>
      <c r="JQ19" s="153"/>
      <c r="JR19" s="153"/>
      <c r="JS19" s="153"/>
      <c r="JT19" s="153"/>
      <c r="JU19" s="153"/>
      <c r="JV19" s="153"/>
      <c r="JW19" s="153"/>
      <c r="JX19" s="153"/>
      <c r="JY19" s="153"/>
      <c r="JZ19" s="153"/>
      <c r="KA19" s="153"/>
      <c r="KB19" s="153"/>
      <c r="KC19" s="153"/>
      <c r="KD19" s="153"/>
      <c r="KE19" s="153"/>
      <c r="KF19" s="153"/>
      <c r="KG19" s="153"/>
      <c r="KH19" s="153"/>
      <c r="KI19" s="153"/>
      <c r="KJ19" s="153"/>
      <c r="KK19" s="153"/>
      <c r="KL19" s="153"/>
      <c r="KM19" s="153"/>
      <c r="KN19" s="153"/>
      <c r="KO19" s="153"/>
      <c r="KP19" s="153"/>
      <c r="KQ19" s="153"/>
      <c r="KR19" s="153"/>
      <c r="KS19" s="153"/>
      <c r="KT19" s="153"/>
      <c r="KU19" s="153"/>
      <c r="KV19" s="153"/>
      <c r="KW19" s="153"/>
      <c r="KX19" s="153"/>
      <c r="KY19" s="153"/>
      <c r="KZ19" s="153"/>
      <c r="LA19" s="153"/>
      <c r="LB19" s="153"/>
      <c r="LC19" s="153"/>
      <c r="LD19" s="153"/>
      <c r="LE19" s="153"/>
      <c r="LF19" s="153"/>
      <c r="LG19" s="153"/>
      <c r="LH19" s="153"/>
      <c r="LI19" s="153"/>
      <c r="LJ19" s="153"/>
      <c r="LK19" s="153"/>
      <c r="LL19" s="153"/>
      <c r="LM19" s="153"/>
      <c r="LN19" s="153"/>
      <c r="LO19" s="153"/>
      <c r="LP19" s="153"/>
      <c r="LQ19" s="153"/>
      <c r="LR19" s="153"/>
      <c r="LS19" s="153"/>
      <c r="LT19" s="153"/>
      <c r="LU19" s="153"/>
      <c r="LV19" s="153"/>
      <c r="LW19" s="153"/>
      <c r="LX19" s="153"/>
      <c r="LY19" s="153"/>
      <c r="LZ19" s="153"/>
      <c r="MA19" s="153"/>
      <c r="MB19" s="153"/>
      <c r="MC19" s="153"/>
      <c r="MD19" s="153"/>
      <c r="ME19" s="153"/>
      <c r="MF19" s="153"/>
      <c r="MG19" s="153"/>
      <c r="MH19" s="153"/>
      <c r="MI19" s="153"/>
      <c r="MJ19" s="153"/>
      <c r="MK19" s="153"/>
      <c r="ML19" s="153"/>
      <c r="MM19" s="153"/>
      <c r="MN19" s="153"/>
      <c r="MO19" s="153"/>
      <c r="MP19" s="153"/>
      <c r="MQ19" s="153"/>
      <c r="MR19" s="153"/>
      <c r="MS19" s="153"/>
      <c r="MT19" s="153"/>
      <c r="MU19" s="153"/>
      <c r="MV19" s="153"/>
      <c r="MW19" s="153"/>
      <c r="MX19" s="153"/>
      <c r="MY19" s="153"/>
      <c r="MZ19" s="153"/>
      <c r="NA19" s="153"/>
      <c r="NB19" s="153"/>
      <c r="NC19" s="153"/>
      <c r="ND19" s="153"/>
      <c r="NE19" s="153"/>
      <c r="NF19" s="153"/>
      <c r="NG19" s="153"/>
      <c r="NH19" s="153"/>
      <c r="NI19" s="153"/>
      <c r="NJ19" s="153"/>
      <c r="NK19" s="153"/>
      <c r="NL19" s="153"/>
      <c r="NM19" s="153"/>
      <c r="NN19" s="153"/>
      <c r="NO19" s="153"/>
      <c r="NP19" s="153"/>
      <c r="NQ19" s="153"/>
      <c r="NR19" s="153"/>
      <c r="NS19" s="153"/>
      <c r="NT19" s="153"/>
      <c r="NU19" s="153"/>
      <c r="NV19" s="153"/>
      <c r="NW19" s="153"/>
      <c r="NX19" s="153"/>
      <c r="NY19" s="153"/>
      <c r="NZ19" s="153"/>
      <c r="OA19" s="153"/>
      <c r="OB19" s="153"/>
      <c r="OC19" s="153"/>
      <c r="OD19" s="153"/>
      <c r="OE19" s="153"/>
      <c r="OF19" s="153"/>
      <c r="OG19" s="153"/>
      <c r="OH19" s="153"/>
      <c r="OI19" s="153"/>
      <c r="OJ19" s="153"/>
      <c r="OK19" s="153"/>
      <c r="OL19" s="153"/>
      <c r="OM19" s="153"/>
      <c r="ON19" s="153"/>
      <c r="OO19" s="153"/>
      <c r="OP19" s="153"/>
      <c r="OQ19" s="153"/>
      <c r="OR19" s="153"/>
      <c r="OS19" s="153"/>
      <c r="OT19" s="153"/>
      <c r="OU19" s="153"/>
      <c r="OV19" s="153"/>
      <c r="OW19" s="153"/>
      <c r="OX19" s="153"/>
      <c r="OY19" s="153"/>
      <c r="OZ19" s="153"/>
      <c r="PA19" s="153"/>
      <c r="PB19" s="153"/>
      <c r="PC19" s="153"/>
      <c r="PD19" s="153"/>
      <c r="PE19" s="153"/>
      <c r="PF19" s="153"/>
      <c r="PG19" s="153"/>
      <c r="PH19" s="153"/>
      <c r="PI19" s="153"/>
      <c r="PJ19" s="153"/>
      <c r="PK19" s="153"/>
      <c r="PL19" s="153"/>
      <c r="PM19" s="153"/>
      <c r="PN19" s="153"/>
      <c r="PO19" s="153"/>
      <c r="PP19" s="153"/>
      <c r="PQ19" s="153"/>
      <c r="PR19" s="153"/>
      <c r="PS19" s="153"/>
      <c r="PT19" s="153"/>
      <c r="PU19" s="153"/>
      <c r="PV19" s="153"/>
      <c r="PW19" s="153"/>
      <c r="PX19" s="153"/>
      <c r="PY19" s="153"/>
      <c r="PZ19" s="153"/>
      <c r="QA19" s="153"/>
      <c r="QB19" s="153"/>
      <c r="QC19" s="153"/>
      <c r="QD19" s="153"/>
      <c r="QE19" s="153"/>
      <c r="QF19" s="153"/>
      <c r="QG19" s="153"/>
      <c r="QH19" s="153"/>
      <c r="QI19" s="153"/>
      <c r="QJ19" s="153"/>
      <c r="QK19" s="153"/>
      <c r="QL19" s="153"/>
      <c r="QM19" s="153"/>
      <c r="QN19" s="153"/>
      <c r="QO19" s="153"/>
      <c r="QP19" s="153"/>
      <c r="QQ19" s="153"/>
      <c r="QR19" s="153"/>
      <c r="QS19" s="153"/>
      <c r="QT19" s="153"/>
      <c r="QU19" s="153"/>
      <c r="QV19" s="153"/>
      <c r="QW19" s="153"/>
      <c r="QX19" s="153"/>
      <c r="QY19" s="153"/>
      <c r="QZ19" s="153"/>
      <c r="RA19" s="153"/>
      <c r="RB19" s="153"/>
      <c r="RC19" s="153"/>
      <c r="RD19" s="153"/>
      <c r="RE19" s="153"/>
      <c r="RF19" s="153"/>
      <c r="RG19" s="153"/>
      <c r="RH19" s="153"/>
      <c r="RI19" s="153"/>
      <c r="RJ19" s="153"/>
      <c r="RK19" s="153"/>
      <c r="RL19" s="153"/>
      <c r="RM19" s="153"/>
      <c r="RN19" s="153"/>
      <c r="RO19" s="153"/>
      <c r="RP19" s="153"/>
      <c r="RQ19" s="153"/>
      <c r="RR19" s="153"/>
      <c r="RS19" s="153"/>
      <c r="RT19" s="153"/>
      <c r="RU19" s="153"/>
      <c r="RV19" s="153"/>
      <c r="RW19" s="153"/>
      <c r="RX19" s="153"/>
      <c r="RY19" s="153"/>
      <c r="RZ19" s="153"/>
      <c r="SA19" s="153"/>
      <c r="SB19" s="153"/>
      <c r="SC19" s="153"/>
      <c r="SD19" s="153"/>
      <c r="SE19" s="153"/>
      <c r="SF19" s="153"/>
      <c r="SG19" s="153"/>
      <c r="SH19" s="153"/>
      <c r="SI19" s="153"/>
      <c r="SJ19" s="153"/>
      <c r="SK19" s="153"/>
      <c r="SL19" s="153"/>
      <c r="SM19" s="153"/>
      <c r="SN19" s="153"/>
      <c r="SO19" s="153"/>
      <c r="SP19" s="153"/>
      <c r="SQ19" s="153"/>
      <c r="SR19" s="153"/>
      <c r="SS19" s="153"/>
      <c r="ST19" s="153"/>
      <c r="SU19" s="153"/>
      <c r="SV19" s="153"/>
      <c r="SW19" s="153"/>
      <c r="SX19" s="153"/>
      <c r="SY19" s="153"/>
      <c r="SZ19" s="153"/>
      <c r="TA19" s="153"/>
      <c r="TB19" s="153"/>
      <c r="TC19" s="153"/>
      <c r="TD19" s="153"/>
      <c r="TE19" s="153"/>
      <c r="TF19" s="153"/>
      <c r="TG19" s="153"/>
      <c r="TH19" s="153"/>
      <c r="TI19" s="153"/>
      <c r="TJ19" s="153"/>
      <c r="TK19" s="153"/>
      <c r="TL19" s="153"/>
      <c r="TM19" s="153"/>
      <c r="TN19" s="153"/>
      <c r="TO19" s="153"/>
      <c r="TP19" s="153"/>
      <c r="TQ19" s="153"/>
      <c r="TR19" s="153"/>
      <c r="TS19" s="153"/>
      <c r="TT19" s="153"/>
      <c r="TU19" s="153"/>
      <c r="TV19" s="153"/>
      <c r="TW19" s="153"/>
      <c r="TX19" s="153"/>
      <c r="TY19" s="153"/>
      <c r="TZ19" s="153"/>
      <c r="UA19" s="153"/>
      <c r="UB19" s="153"/>
      <c r="UC19" s="153"/>
      <c r="UD19" s="153"/>
      <c r="UE19" s="153"/>
      <c r="UF19" s="153"/>
      <c r="UG19" s="153"/>
      <c r="UH19" s="153"/>
      <c r="UI19" s="153"/>
      <c r="UJ19" s="153"/>
      <c r="UK19" s="153"/>
      <c r="UL19" s="153"/>
      <c r="UM19" s="153"/>
      <c r="UN19" s="153"/>
      <c r="UO19" s="153"/>
      <c r="UP19" s="153"/>
      <c r="UQ19" s="153"/>
      <c r="UR19" s="153"/>
      <c r="US19" s="153"/>
      <c r="UT19" s="153"/>
      <c r="UU19" s="153"/>
      <c r="UV19" s="153"/>
      <c r="UW19" s="153"/>
      <c r="UX19" s="153"/>
      <c r="UY19" s="153"/>
      <c r="UZ19" s="153"/>
      <c r="VA19" s="153"/>
      <c r="VB19" s="153"/>
      <c r="VC19" s="153"/>
      <c r="VD19" s="153"/>
      <c r="VE19" s="153"/>
      <c r="VF19" s="153"/>
      <c r="VG19" s="153"/>
      <c r="VH19" s="153"/>
      <c r="VI19" s="153"/>
      <c r="VJ19" s="153"/>
      <c r="VK19" s="153"/>
      <c r="VL19" s="153"/>
      <c r="VM19" s="153"/>
      <c r="VN19" s="153"/>
      <c r="VO19" s="153"/>
      <c r="VP19" s="153"/>
      <c r="VQ19" s="153"/>
      <c r="VR19" s="153"/>
      <c r="VS19" s="153"/>
      <c r="VT19" s="153"/>
      <c r="VU19" s="153"/>
      <c r="VV19" s="153"/>
      <c r="VW19" s="153"/>
      <c r="VX19" s="153"/>
      <c r="VY19" s="153"/>
      <c r="VZ19" s="153"/>
      <c r="WA19" s="153"/>
      <c r="WB19" s="153"/>
      <c r="WC19" s="153"/>
      <c r="WD19" s="153"/>
      <c r="WE19" s="153"/>
      <c r="WF19" s="153"/>
      <c r="WG19" s="153"/>
      <c r="WH19" s="153"/>
      <c r="WI19" s="153"/>
      <c r="WJ19" s="153"/>
      <c r="WK19" s="153"/>
      <c r="WL19" s="153"/>
      <c r="WM19" s="153"/>
      <c r="WN19" s="153"/>
      <c r="WO19" s="153"/>
      <c r="WP19" s="153"/>
      <c r="WQ19" s="153"/>
      <c r="WR19" s="153"/>
      <c r="WS19" s="153"/>
      <c r="WT19" s="153"/>
      <c r="WU19" s="153"/>
      <c r="WV19" s="153"/>
      <c r="WW19" s="153"/>
      <c r="WX19" s="153"/>
      <c r="WY19" s="153"/>
      <c r="WZ19" s="153"/>
      <c r="XA19" s="153"/>
      <c r="XB19" s="153"/>
      <c r="XC19" s="153"/>
      <c r="XD19" s="153"/>
      <c r="XE19" s="153"/>
      <c r="XF19" s="153"/>
      <c r="XG19" s="153"/>
      <c r="XH19" s="153"/>
      <c r="XI19" s="153"/>
      <c r="XJ19" s="153"/>
      <c r="XK19" s="153"/>
      <c r="XL19" s="153"/>
      <c r="XM19" s="153"/>
      <c r="XN19" s="153"/>
      <c r="XO19" s="153"/>
      <c r="XP19" s="153"/>
      <c r="XQ19" s="153"/>
      <c r="XR19" s="153"/>
      <c r="XS19" s="153"/>
      <c r="XT19" s="153"/>
      <c r="XU19" s="153"/>
      <c r="XV19" s="153"/>
      <c r="XW19" s="153"/>
      <c r="XX19" s="153"/>
      <c r="XY19" s="153"/>
      <c r="XZ19" s="153"/>
      <c r="YA19" s="153"/>
      <c r="YB19" s="153"/>
      <c r="YC19" s="153"/>
      <c r="YD19" s="153"/>
      <c r="YE19" s="153"/>
      <c r="YF19" s="153"/>
      <c r="YG19" s="153"/>
      <c r="YH19" s="153"/>
      <c r="YI19" s="153"/>
      <c r="YJ19" s="153"/>
      <c r="YK19" s="153"/>
      <c r="YL19" s="153"/>
      <c r="YM19" s="153"/>
      <c r="YN19" s="153"/>
      <c r="YO19" s="153"/>
      <c r="YP19" s="153"/>
      <c r="YQ19" s="153"/>
      <c r="YR19" s="153"/>
      <c r="YS19" s="153"/>
      <c r="YT19" s="153"/>
      <c r="YU19" s="153"/>
      <c r="YV19" s="153"/>
      <c r="YW19" s="153"/>
      <c r="YX19" s="153"/>
      <c r="YY19" s="153"/>
      <c r="YZ19" s="153"/>
      <c r="ZA19" s="153"/>
      <c r="ZB19" s="153"/>
      <c r="ZC19" s="153"/>
      <c r="ZD19" s="153"/>
      <c r="ZE19" s="153"/>
      <c r="ZF19" s="153"/>
      <c r="ZG19" s="153"/>
      <c r="ZH19" s="153"/>
      <c r="ZI19" s="153"/>
      <c r="ZJ19" s="153"/>
      <c r="ZK19" s="153"/>
      <c r="ZL19" s="153"/>
      <c r="ZM19" s="153"/>
      <c r="ZN19" s="153"/>
      <c r="ZO19" s="153"/>
      <c r="ZP19" s="153"/>
      <c r="ZQ19" s="153"/>
      <c r="ZR19" s="153"/>
      <c r="ZS19" s="153"/>
      <c r="ZT19" s="153"/>
      <c r="ZU19" s="153"/>
      <c r="ZV19" s="153"/>
      <c r="ZW19" s="153"/>
      <c r="ZX19" s="153"/>
      <c r="ZY19" s="153"/>
      <c r="ZZ19" s="153"/>
      <c r="AAA19" s="153"/>
      <c r="AAB19" s="153"/>
      <c r="AAC19" s="153"/>
      <c r="AAD19" s="153"/>
      <c r="AAE19" s="153"/>
      <c r="AAF19" s="153"/>
      <c r="AAG19" s="153"/>
      <c r="AAH19" s="153"/>
      <c r="AAI19" s="153"/>
      <c r="AAJ19" s="153"/>
      <c r="AAK19" s="153"/>
      <c r="AAL19" s="153"/>
      <c r="AAM19" s="153"/>
      <c r="AAN19" s="153"/>
      <c r="AAO19" s="153"/>
      <c r="AAP19" s="153"/>
      <c r="AAQ19" s="153"/>
      <c r="AAR19" s="153"/>
      <c r="AAS19" s="153"/>
      <c r="AAT19" s="153"/>
      <c r="AAU19" s="153"/>
      <c r="AAV19" s="153"/>
      <c r="AAW19" s="153"/>
      <c r="AAX19" s="153"/>
      <c r="AAY19" s="153"/>
      <c r="AAZ19" s="153"/>
      <c r="ABA19" s="153"/>
      <c r="ABB19" s="153"/>
      <c r="ABC19" s="153"/>
      <c r="ABD19" s="153"/>
      <c r="ABE19" s="153"/>
      <c r="ABF19" s="153"/>
      <c r="ABG19" s="153"/>
      <c r="ABH19" s="153"/>
      <c r="ABI19" s="153"/>
      <c r="ABJ19" s="153"/>
      <c r="ABK19" s="153"/>
      <c r="ABL19" s="153"/>
      <c r="ABM19" s="153"/>
      <c r="ABN19" s="153"/>
      <c r="ABO19" s="153"/>
      <c r="ABP19" s="153"/>
      <c r="ABQ19" s="153"/>
      <c r="ABR19" s="153"/>
      <c r="ABS19" s="153"/>
      <c r="ABT19" s="153"/>
      <c r="ABU19" s="153"/>
      <c r="ABV19" s="153"/>
      <c r="ABW19" s="153"/>
      <c r="ABX19" s="153"/>
      <c r="ABY19" s="153"/>
      <c r="ABZ19" s="153"/>
      <c r="ACA19" s="153"/>
      <c r="ACB19" s="153"/>
      <c r="ACC19" s="153"/>
      <c r="ACD19" s="153"/>
      <c r="ACE19" s="153"/>
      <c r="ACF19" s="153"/>
      <c r="ACG19" s="153"/>
      <c r="ACH19" s="153"/>
      <c r="ACI19" s="153"/>
      <c r="ACJ19" s="153"/>
      <c r="ACK19" s="153"/>
      <c r="ACL19" s="153"/>
      <c r="ACM19" s="153"/>
      <c r="ACN19" s="153"/>
      <c r="ACO19" s="153"/>
      <c r="ACP19" s="153"/>
      <c r="ACQ19" s="153"/>
      <c r="ACR19" s="153"/>
      <c r="ACS19" s="153"/>
      <c r="ACT19" s="153"/>
      <c r="ACU19" s="153"/>
      <c r="ACV19" s="153"/>
      <c r="ACW19" s="153"/>
      <c r="ACX19" s="153"/>
      <c r="ACY19" s="153"/>
      <c r="ACZ19" s="153"/>
      <c r="ADA19" s="153"/>
      <c r="ADB19" s="153"/>
      <c r="ADC19" s="153"/>
      <c r="ADD19" s="153"/>
      <c r="ADE19" s="153"/>
      <c r="ADF19" s="153"/>
      <c r="ADG19" s="153"/>
      <c r="ADH19" s="153"/>
      <c r="ADI19" s="153"/>
      <c r="ADJ19" s="153"/>
      <c r="ADK19" s="153"/>
      <c r="ADL19" s="153"/>
      <c r="ADM19" s="153"/>
      <c r="ADN19" s="153"/>
      <c r="ADO19" s="153"/>
      <c r="ADP19" s="153"/>
      <c r="ADQ19" s="153"/>
      <c r="ADR19" s="153"/>
      <c r="ADS19" s="153"/>
      <c r="ADT19" s="153"/>
      <c r="ADU19" s="153"/>
      <c r="ADV19" s="153"/>
      <c r="ADW19" s="153"/>
      <c r="ADX19" s="153"/>
      <c r="ADY19" s="153"/>
      <c r="ADZ19" s="153"/>
      <c r="AEA19" s="153"/>
      <c r="AEB19" s="153"/>
      <c r="AEC19" s="153"/>
      <c r="AED19" s="153"/>
      <c r="AEE19" s="153"/>
      <c r="AEF19" s="153"/>
      <c r="AEG19" s="153"/>
      <c r="AEH19" s="153"/>
      <c r="AEI19" s="153"/>
      <c r="AEJ19" s="153"/>
      <c r="AEK19" s="153"/>
      <c r="AEL19" s="153"/>
      <c r="AEM19" s="153"/>
      <c r="AEN19" s="153"/>
      <c r="AEO19" s="153"/>
      <c r="AEP19" s="153"/>
      <c r="AEQ19" s="153"/>
      <c r="AER19" s="153"/>
      <c r="AES19" s="153"/>
      <c r="AET19" s="153"/>
      <c r="AEU19" s="153"/>
      <c r="AEV19" s="153"/>
      <c r="AEW19" s="153"/>
      <c r="AEX19" s="153"/>
      <c r="AEY19" s="153"/>
      <c r="AEZ19" s="153"/>
      <c r="AFA19" s="153"/>
      <c r="AFB19" s="153"/>
      <c r="AFC19" s="153"/>
      <c r="AFD19" s="153"/>
      <c r="AFE19" s="153"/>
      <c r="AFF19" s="153"/>
      <c r="AFG19" s="153"/>
      <c r="AFH19" s="153"/>
      <c r="AFI19" s="153"/>
      <c r="AFJ19" s="153"/>
      <c r="AFK19" s="153"/>
      <c r="AFL19" s="153"/>
      <c r="AFM19" s="153"/>
      <c r="AFN19" s="153"/>
      <c r="AFO19" s="153"/>
      <c r="AFP19" s="153"/>
      <c r="AFQ19" s="153"/>
      <c r="AFR19" s="153"/>
      <c r="AFS19" s="153"/>
      <c r="AFT19" s="153"/>
      <c r="AFU19" s="153"/>
      <c r="AFV19" s="153"/>
      <c r="AFW19" s="153"/>
      <c r="AFX19" s="153"/>
      <c r="AFY19" s="153"/>
      <c r="AFZ19" s="153"/>
      <c r="AGA19" s="153"/>
      <c r="AGB19" s="153"/>
      <c r="AGC19" s="153"/>
      <c r="AGD19" s="153"/>
      <c r="AGE19" s="153"/>
      <c r="AGF19" s="153"/>
      <c r="AGG19" s="153"/>
      <c r="AGH19" s="153"/>
      <c r="AGI19" s="153"/>
      <c r="AGJ19" s="153"/>
      <c r="AGK19" s="153"/>
      <c r="AGL19" s="153"/>
      <c r="AGM19" s="153"/>
      <c r="AGN19" s="153"/>
      <c r="AGO19" s="153"/>
      <c r="AGP19" s="153"/>
      <c r="AGQ19" s="153"/>
      <c r="AGR19" s="153"/>
      <c r="AGS19" s="153"/>
      <c r="AGT19" s="153"/>
      <c r="AGU19" s="153"/>
      <c r="AGV19" s="153"/>
      <c r="AGW19" s="153"/>
      <c r="AGX19" s="153"/>
      <c r="AGY19" s="153"/>
      <c r="AGZ19" s="153"/>
      <c r="AHA19" s="153"/>
      <c r="AHB19" s="153"/>
      <c r="AHC19" s="153"/>
      <c r="AHD19" s="153"/>
      <c r="AHE19" s="153"/>
      <c r="AHF19" s="153"/>
      <c r="AHG19" s="153"/>
      <c r="AHH19" s="153"/>
      <c r="AHI19" s="153"/>
      <c r="AHJ19" s="153"/>
      <c r="AHK19" s="153"/>
      <c r="AHL19" s="153"/>
      <c r="AHM19" s="153"/>
      <c r="AHN19" s="153"/>
      <c r="AHO19" s="153"/>
      <c r="AHP19" s="153"/>
      <c r="AHQ19" s="153"/>
      <c r="AHR19" s="153"/>
      <c r="AHS19" s="153"/>
      <c r="AHT19" s="153"/>
      <c r="AHU19" s="153"/>
      <c r="AHV19" s="153"/>
      <c r="AHW19" s="153"/>
      <c r="AHX19" s="153"/>
      <c r="AHY19" s="153"/>
      <c r="AHZ19" s="153"/>
      <c r="AIA19" s="153"/>
      <c r="AIB19" s="153"/>
      <c r="AIC19" s="153"/>
      <c r="AID19" s="153"/>
      <c r="AIE19" s="153"/>
      <c r="AIF19" s="153"/>
      <c r="AIG19" s="153"/>
      <c r="AIH19" s="153"/>
      <c r="AII19" s="153"/>
      <c r="AIJ19" s="153"/>
      <c r="AIK19" s="153"/>
      <c r="AIL19" s="153"/>
      <c r="AIM19" s="153"/>
      <c r="AIN19" s="153"/>
      <c r="AIO19" s="153"/>
      <c r="AIP19" s="153"/>
      <c r="AIQ19" s="153"/>
      <c r="AIR19" s="153"/>
      <c r="AIS19" s="153"/>
      <c r="AIT19" s="153"/>
      <c r="AIU19" s="153"/>
      <c r="AIV19" s="153"/>
      <c r="AIW19" s="153"/>
      <c r="AIX19" s="153"/>
      <c r="AIY19" s="153"/>
      <c r="AIZ19" s="153"/>
      <c r="AJA19" s="153"/>
      <c r="AJB19" s="153"/>
      <c r="AJC19" s="153"/>
      <c r="AJD19" s="153"/>
      <c r="AJE19" s="153"/>
      <c r="AJF19" s="153"/>
      <c r="AJG19" s="153"/>
      <c r="AJH19" s="153"/>
      <c r="AJI19" s="153"/>
      <c r="AJJ19" s="153"/>
      <c r="AJK19" s="153"/>
      <c r="AJL19" s="153"/>
      <c r="AJM19" s="153"/>
      <c r="AJN19" s="153"/>
      <c r="AJO19" s="153"/>
      <c r="AJP19" s="153"/>
      <c r="AJQ19" s="153"/>
      <c r="AJR19" s="153"/>
      <c r="AJS19" s="153"/>
      <c r="AJT19" s="153"/>
      <c r="AJU19" s="153"/>
      <c r="AJV19" s="153"/>
      <c r="AJW19" s="153"/>
      <c r="AJX19" s="153"/>
      <c r="AJY19" s="153"/>
      <c r="AJZ19" s="153"/>
      <c r="AKA19" s="153"/>
      <c r="AKB19" s="153"/>
      <c r="AKC19" s="153"/>
      <c r="AKD19" s="153"/>
      <c r="AKE19" s="153"/>
      <c r="AKF19" s="153"/>
      <c r="AKG19" s="153"/>
      <c r="AKH19" s="153"/>
      <c r="AKI19" s="153"/>
      <c r="AKJ19" s="153"/>
      <c r="AKK19" s="153"/>
      <c r="AKL19" s="153"/>
      <c r="AKM19" s="153"/>
      <c r="AKN19" s="153"/>
      <c r="AKO19" s="153"/>
      <c r="AKP19" s="153"/>
      <c r="AKQ19" s="153"/>
      <c r="AKR19" s="153"/>
      <c r="AKS19" s="153"/>
      <c r="AKT19" s="153"/>
      <c r="AKU19" s="153"/>
      <c r="AKV19" s="153"/>
      <c r="AKW19" s="153"/>
      <c r="AKX19" s="153"/>
      <c r="AKY19" s="153"/>
      <c r="AKZ19" s="153"/>
      <c r="ALA19" s="153"/>
      <c r="ALB19" s="153"/>
      <c r="ALC19" s="153"/>
      <c r="ALD19" s="153"/>
      <c r="ALE19" s="153"/>
      <c r="ALF19" s="153"/>
      <c r="ALG19" s="153"/>
      <c r="ALH19" s="153"/>
      <c r="ALI19" s="153"/>
      <c r="ALJ19" s="153"/>
      <c r="ALK19" s="153"/>
      <c r="ALL19" s="153"/>
      <c r="ALM19" s="153"/>
      <c r="ALN19" s="153"/>
      <c r="ALO19" s="153"/>
      <c r="ALP19" s="153"/>
      <c r="ALQ19" s="153"/>
      <c r="ALR19" s="153"/>
      <c r="ALS19" s="153"/>
      <c r="ALT19" s="153"/>
      <c r="ALU19" s="153"/>
      <c r="ALV19" s="153"/>
      <c r="ALW19" s="153"/>
      <c r="ALX19" s="153"/>
      <c r="ALY19" s="153"/>
      <c r="ALZ19" s="153"/>
      <c r="AMA19" s="153"/>
      <c r="AMB19" s="153"/>
      <c r="AMC19" s="153"/>
      <c r="AMD19" s="153"/>
      <c r="AME19" s="153"/>
      <c r="AMF19" s="153"/>
      <c r="AMG19" s="153"/>
      <c r="AMH19" s="153"/>
      <c r="AMI19" s="153"/>
      <c r="AMJ19" s="153"/>
      <c r="AMK19" s="153"/>
    </row>
    <row r="20" spans="1:1025" s="417" customFormat="1" ht="11.25" x14ac:dyDescent="0.2">
      <c r="A20" s="322"/>
      <c r="B20" s="383" t="s">
        <v>484</v>
      </c>
      <c r="C20" s="384">
        <f>SUM(C8:C19)</f>
        <v>158350904.19</v>
      </c>
      <c r="D20" s="385">
        <f>SUM(D8:D19)</f>
        <v>76490923.120000005</v>
      </c>
      <c r="E20" s="358">
        <f t="shared" ref="E20:K20" si="5">SUM(E8:E19)</f>
        <v>35370032.772</v>
      </c>
      <c r="F20" s="358">
        <f t="shared" si="5"/>
        <v>2749874.5349999997</v>
      </c>
      <c r="G20" s="358">
        <f t="shared" si="5"/>
        <v>5400278.9550000001</v>
      </c>
      <c r="H20" s="361">
        <f t="shared" si="5"/>
        <v>10483015.75625</v>
      </c>
      <c r="I20" s="386">
        <f>SUM(I8:I19)</f>
        <v>-9456488.5699999984</v>
      </c>
      <c r="J20" s="386">
        <f t="shared" si="5"/>
        <v>827240.83199999982</v>
      </c>
      <c r="K20" s="436">
        <f t="shared" si="5"/>
        <v>8842508.193</v>
      </c>
      <c r="L20" s="361">
        <f>SUM(L8:L19)</f>
        <v>7040786.5182499997</v>
      </c>
      <c r="M20" s="336"/>
      <c r="N20" s="336"/>
      <c r="O20" s="337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  <c r="GM20" s="153"/>
      <c r="GN20" s="153"/>
      <c r="GO20" s="153"/>
      <c r="GP20" s="153"/>
      <c r="GQ20" s="153"/>
      <c r="GR20" s="153"/>
      <c r="GS20" s="153"/>
      <c r="GT20" s="153"/>
      <c r="GU20" s="153"/>
      <c r="GV20" s="153"/>
      <c r="GW20" s="153"/>
      <c r="GX20" s="153"/>
      <c r="GY20" s="153"/>
      <c r="GZ20" s="153"/>
      <c r="HA20" s="153"/>
      <c r="HB20" s="153"/>
      <c r="HC20" s="153"/>
      <c r="HD20" s="153"/>
      <c r="HE20" s="153"/>
      <c r="HF20" s="153"/>
      <c r="HG20" s="153"/>
      <c r="HH20" s="153"/>
      <c r="HI20" s="153"/>
      <c r="HJ20" s="153"/>
      <c r="HK20" s="153"/>
      <c r="HL20" s="153"/>
      <c r="HM20" s="153"/>
      <c r="HN20" s="153"/>
      <c r="HO20" s="153"/>
      <c r="HP20" s="153"/>
      <c r="HQ20" s="153"/>
      <c r="HR20" s="153"/>
      <c r="HS20" s="153"/>
      <c r="HT20" s="153"/>
      <c r="HU20" s="153"/>
      <c r="HV20" s="153"/>
      <c r="HW20" s="153"/>
      <c r="HX20" s="153"/>
      <c r="HY20" s="153"/>
      <c r="HZ20" s="153"/>
      <c r="IA20" s="153"/>
      <c r="IB20" s="153"/>
      <c r="IC20" s="153"/>
      <c r="ID20" s="153"/>
      <c r="IE20" s="153"/>
      <c r="IF20" s="153"/>
      <c r="IG20" s="153"/>
      <c r="IH20" s="153"/>
      <c r="II20" s="153"/>
      <c r="IJ20" s="153"/>
      <c r="IK20" s="153"/>
      <c r="IL20" s="153"/>
      <c r="IM20" s="153"/>
      <c r="IN20" s="153"/>
      <c r="IO20" s="153"/>
      <c r="IP20" s="153"/>
      <c r="IQ20" s="153"/>
      <c r="IR20" s="153"/>
      <c r="IS20" s="153"/>
      <c r="IT20" s="153"/>
      <c r="IU20" s="153"/>
      <c r="IV20" s="153"/>
      <c r="IW20" s="153"/>
      <c r="IX20" s="153"/>
      <c r="IY20" s="153"/>
      <c r="IZ20" s="153"/>
      <c r="JA20" s="153"/>
      <c r="JB20" s="153"/>
      <c r="JC20" s="153"/>
      <c r="JD20" s="153"/>
      <c r="JE20" s="153"/>
      <c r="JF20" s="153"/>
      <c r="JG20" s="153"/>
      <c r="JH20" s="153"/>
      <c r="JI20" s="153"/>
      <c r="JJ20" s="153"/>
      <c r="JK20" s="153"/>
      <c r="JL20" s="153"/>
      <c r="JM20" s="153"/>
      <c r="JN20" s="153"/>
      <c r="JO20" s="153"/>
      <c r="JP20" s="153"/>
      <c r="JQ20" s="153"/>
      <c r="JR20" s="153"/>
      <c r="JS20" s="153"/>
      <c r="JT20" s="153"/>
      <c r="JU20" s="153"/>
      <c r="JV20" s="153"/>
      <c r="JW20" s="153"/>
      <c r="JX20" s="153"/>
      <c r="JY20" s="153"/>
      <c r="JZ20" s="153"/>
      <c r="KA20" s="153"/>
      <c r="KB20" s="153"/>
      <c r="KC20" s="153"/>
      <c r="KD20" s="153"/>
      <c r="KE20" s="153"/>
      <c r="KF20" s="153"/>
      <c r="KG20" s="153"/>
      <c r="KH20" s="153"/>
      <c r="KI20" s="153"/>
      <c r="KJ20" s="153"/>
      <c r="KK20" s="153"/>
      <c r="KL20" s="153"/>
      <c r="KM20" s="153"/>
      <c r="KN20" s="153"/>
      <c r="KO20" s="153"/>
      <c r="KP20" s="153"/>
      <c r="KQ20" s="153"/>
      <c r="KR20" s="153"/>
      <c r="KS20" s="153"/>
      <c r="KT20" s="153"/>
      <c r="KU20" s="153"/>
      <c r="KV20" s="153"/>
      <c r="KW20" s="153"/>
      <c r="KX20" s="153"/>
      <c r="KY20" s="153"/>
      <c r="KZ20" s="153"/>
      <c r="LA20" s="153"/>
      <c r="LB20" s="153"/>
      <c r="LC20" s="153"/>
      <c r="LD20" s="153"/>
      <c r="LE20" s="153"/>
      <c r="LF20" s="153"/>
      <c r="LG20" s="153"/>
      <c r="LH20" s="153"/>
      <c r="LI20" s="153"/>
      <c r="LJ20" s="153"/>
      <c r="LK20" s="153"/>
      <c r="LL20" s="153"/>
      <c r="LM20" s="153"/>
      <c r="LN20" s="153"/>
      <c r="LO20" s="153"/>
      <c r="LP20" s="153"/>
      <c r="LQ20" s="153"/>
      <c r="LR20" s="153"/>
      <c r="LS20" s="153"/>
      <c r="LT20" s="153"/>
      <c r="LU20" s="153"/>
      <c r="LV20" s="153"/>
      <c r="LW20" s="153"/>
      <c r="LX20" s="153"/>
      <c r="LY20" s="153"/>
      <c r="LZ20" s="153"/>
      <c r="MA20" s="153"/>
      <c r="MB20" s="153"/>
      <c r="MC20" s="153"/>
      <c r="MD20" s="153"/>
      <c r="ME20" s="153"/>
      <c r="MF20" s="153"/>
      <c r="MG20" s="153"/>
      <c r="MH20" s="153"/>
      <c r="MI20" s="153"/>
      <c r="MJ20" s="153"/>
      <c r="MK20" s="153"/>
      <c r="ML20" s="153"/>
      <c r="MM20" s="153"/>
      <c r="MN20" s="153"/>
      <c r="MO20" s="153"/>
      <c r="MP20" s="153"/>
      <c r="MQ20" s="153"/>
      <c r="MR20" s="153"/>
      <c r="MS20" s="153"/>
      <c r="MT20" s="153"/>
      <c r="MU20" s="153"/>
      <c r="MV20" s="153"/>
      <c r="MW20" s="153"/>
      <c r="MX20" s="153"/>
      <c r="MY20" s="153"/>
      <c r="MZ20" s="153"/>
      <c r="NA20" s="153"/>
      <c r="NB20" s="153"/>
      <c r="NC20" s="153"/>
      <c r="ND20" s="153"/>
      <c r="NE20" s="153"/>
      <c r="NF20" s="153"/>
      <c r="NG20" s="153"/>
      <c r="NH20" s="153"/>
      <c r="NI20" s="153"/>
      <c r="NJ20" s="153"/>
      <c r="NK20" s="153"/>
      <c r="NL20" s="153"/>
      <c r="NM20" s="153"/>
      <c r="NN20" s="153"/>
      <c r="NO20" s="153"/>
      <c r="NP20" s="153"/>
      <c r="NQ20" s="153"/>
      <c r="NR20" s="153"/>
      <c r="NS20" s="153"/>
      <c r="NT20" s="153"/>
      <c r="NU20" s="153"/>
      <c r="NV20" s="153"/>
      <c r="NW20" s="153"/>
      <c r="NX20" s="153"/>
      <c r="NY20" s="153"/>
      <c r="NZ20" s="153"/>
      <c r="OA20" s="153"/>
      <c r="OB20" s="153"/>
      <c r="OC20" s="153"/>
      <c r="OD20" s="153"/>
      <c r="OE20" s="153"/>
      <c r="OF20" s="153"/>
      <c r="OG20" s="153"/>
      <c r="OH20" s="153"/>
      <c r="OI20" s="153"/>
      <c r="OJ20" s="153"/>
      <c r="OK20" s="153"/>
      <c r="OL20" s="153"/>
      <c r="OM20" s="153"/>
      <c r="ON20" s="153"/>
      <c r="OO20" s="153"/>
      <c r="OP20" s="153"/>
      <c r="OQ20" s="153"/>
      <c r="OR20" s="153"/>
      <c r="OS20" s="153"/>
      <c r="OT20" s="153"/>
      <c r="OU20" s="153"/>
      <c r="OV20" s="153"/>
      <c r="OW20" s="153"/>
      <c r="OX20" s="153"/>
      <c r="OY20" s="153"/>
      <c r="OZ20" s="153"/>
      <c r="PA20" s="153"/>
      <c r="PB20" s="153"/>
      <c r="PC20" s="153"/>
      <c r="PD20" s="153"/>
      <c r="PE20" s="153"/>
      <c r="PF20" s="153"/>
      <c r="PG20" s="153"/>
      <c r="PH20" s="153"/>
      <c r="PI20" s="153"/>
      <c r="PJ20" s="153"/>
      <c r="PK20" s="153"/>
      <c r="PL20" s="153"/>
      <c r="PM20" s="153"/>
      <c r="PN20" s="153"/>
      <c r="PO20" s="153"/>
      <c r="PP20" s="153"/>
      <c r="PQ20" s="153"/>
      <c r="PR20" s="153"/>
      <c r="PS20" s="153"/>
      <c r="PT20" s="153"/>
      <c r="PU20" s="153"/>
      <c r="PV20" s="153"/>
      <c r="PW20" s="153"/>
      <c r="PX20" s="153"/>
      <c r="PY20" s="153"/>
      <c r="PZ20" s="153"/>
      <c r="QA20" s="153"/>
      <c r="QB20" s="153"/>
      <c r="QC20" s="153"/>
      <c r="QD20" s="153"/>
      <c r="QE20" s="153"/>
      <c r="QF20" s="153"/>
      <c r="QG20" s="153"/>
      <c r="QH20" s="153"/>
      <c r="QI20" s="153"/>
      <c r="QJ20" s="153"/>
      <c r="QK20" s="153"/>
      <c r="QL20" s="153"/>
      <c r="QM20" s="153"/>
      <c r="QN20" s="153"/>
      <c r="QO20" s="153"/>
      <c r="QP20" s="153"/>
      <c r="QQ20" s="153"/>
      <c r="QR20" s="153"/>
      <c r="QS20" s="153"/>
      <c r="QT20" s="153"/>
      <c r="QU20" s="153"/>
      <c r="QV20" s="153"/>
      <c r="QW20" s="153"/>
      <c r="QX20" s="153"/>
      <c r="QY20" s="153"/>
      <c r="QZ20" s="153"/>
      <c r="RA20" s="153"/>
      <c r="RB20" s="153"/>
      <c r="RC20" s="153"/>
      <c r="RD20" s="153"/>
      <c r="RE20" s="153"/>
      <c r="RF20" s="153"/>
      <c r="RG20" s="153"/>
      <c r="RH20" s="153"/>
      <c r="RI20" s="153"/>
      <c r="RJ20" s="153"/>
      <c r="RK20" s="153"/>
      <c r="RL20" s="153"/>
      <c r="RM20" s="153"/>
      <c r="RN20" s="153"/>
      <c r="RO20" s="153"/>
      <c r="RP20" s="153"/>
      <c r="RQ20" s="153"/>
      <c r="RR20" s="153"/>
      <c r="RS20" s="153"/>
      <c r="RT20" s="153"/>
      <c r="RU20" s="153"/>
      <c r="RV20" s="153"/>
      <c r="RW20" s="153"/>
      <c r="RX20" s="153"/>
      <c r="RY20" s="153"/>
      <c r="RZ20" s="153"/>
      <c r="SA20" s="153"/>
      <c r="SB20" s="153"/>
      <c r="SC20" s="153"/>
      <c r="SD20" s="153"/>
      <c r="SE20" s="153"/>
      <c r="SF20" s="153"/>
      <c r="SG20" s="153"/>
      <c r="SH20" s="153"/>
      <c r="SI20" s="153"/>
      <c r="SJ20" s="153"/>
      <c r="SK20" s="153"/>
      <c r="SL20" s="153"/>
      <c r="SM20" s="153"/>
      <c r="SN20" s="153"/>
      <c r="SO20" s="153"/>
      <c r="SP20" s="153"/>
      <c r="SQ20" s="153"/>
      <c r="SR20" s="153"/>
      <c r="SS20" s="153"/>
      <c r="ST20" s="153"/>
      <c r="SU20" s="153"/>
      <c r="SV20" s="153"/>
      <c r="SW20" s="153"/>
      <c r="SX20" s="153"/>
      <c r="SY20" s="153"/>
      <c r="SZ20" s="153"/>
      <c r="TA20" s="153"/>
      <c r="TB20" s="153"/>
      <c r="TC20" s="153"/>
      <c r="TD20" s="153"/>
      <c r="TE20" s="153"/>
      <c r="TF20" s="153"/>
      <c r="TG20" s="153"/>
      <c r="TH20" s="153"/>
      <c r="TI20" s="153"/>
      <c r="TJ20" s="153"/>
      <c r="TK20" s="153"/>
      <c r="TL20" s="153"/>
      <c r="TM20" s="153"/>
      <c r="TN20" s="153"/>
      <c r="TO20" s="153"/>
      <c r="TP20" s="153"/>
      <c r="TQ20" s="153"/>
      <c r="TR20" s="153"/>
      <c r="TS20" s="153"/>
      <c r="TT20" s="153"/>
      <c r="TU20" s="153"/>
      <c r="TV20" s="153"/>
      <c r="TW20" s="153"/>
      <c r="TX20" s="153"/>
      <c r="TY20" s="153"/>
      <c r="TZ20" s="153"/>
      <c r="UA20" s="153"/>
      <c r="UB20" s="153"/>
      <c r="UC20" s="153"/>
      <c r="UD20" s="153"/>
      <c r="UE20" s="153"/>
      <c r="UF20" s="153"/>
      <c r="UG20" s="153"/>
      <c r="UH20" s="153"/>
      <c r="UI20" s="153"/>
      <c r="UJ20" s="153"/>
      <c r="UK20" s="153"/>
      <c r="UL20" s="153"/>
      <c r="UM20" s="153"/>
      <c r="UN20" s="153"/>
      <c r="UO20" s="153"/>
      <c r="UP20" s="153"/>
      <c r="UQ20" s="153"/>
      <c r="UR20" s="153"/>
      <c r="US20" s="153"/>
      <c r="UT20" s="153"/>
      <c r="UU20" s="153"/>
      <c r="UV20" s="153"/>
      <c r="UW20" s="153"/>
      <c r="UX20" s="153"/>
      <c r="UY20" s="153"/>
      <c r="UZ20" s="153"/>
      <c r="VA20" s="153"/>
      <c r="VB20" s="153"/>
      <c r="VC20" s="153"/>
      <c r="VD20" s="153"/>
      <c r="VE20" s="153"/>
      <c r="VF20" s="153"/>
      <c r="VG20" s="153"/>
      <c r="VH20" s="153"/>
      <c r="VI20" s="153"/>
      <c r="VJ20" s="153"/>
      <c r="VK20" s="153"/>
      <c r="VL20" s="153"/>
      <c r="VM20" s="153"/>
      <c r="VN20" s="153"/>
      <c r="VO20" s="153"/>
      <c r="VP20" s="153"/>
      <c r="VQ20" s="153"/>
      <c r="VR20" s="153"/>
      <c r="VS20" s="153"/>
      <c r="VT20" s="153"/>
      <c r="VU20" s="153"/>
      <c r="VV20" s="153"/>
      <c r="VW20" s="153"/>
      <c r="VX20" s="153"/>
      <c r="VY20" s="153"/>
      <c r="VZ20" s="153"/>
      <c r="WA20" s="153"/>
      <c r="WB20" s="153"/>
      <c r="WC20" s="153"/>
      <c r="WD20" s="153"/>
      <c r="WE20" s="153"/>
      <c r="WF20" s="153"/>
      <c r="WG20" s="153"/>
      <c r="WH20" s="153"/>
      <c r="WI20" s="153"/>
      <c r="WJ20" s="153"/>
      <c r="WK20" s="153"/>
      <c r="WL20" s="153"/>
      <c r="WM20" s="153"/>
      <c r="WN20" s="153"/>
      <c r="WO20" s="153"/>
      <c r="WP20" s="153"/>
      <c r="WQ20" s="153"/>
      <c r="WR20" s="153"/>
      <c r="WS20" s="153"/>
      <c r="WT20" s="153"/>
      <c r="WU20" s="153"/>
      <c r="WV20" s="153"/>
      <c r="WW20" s="153"/>
      <c r="WX20" s="153"/>
      <c r="WY20" s="153"/>
      <c r="WZ20" s="153"/>
      <c r="XA20" s="153"/>
      <c r="XB20" s="153"/>
      <c r="XC20" s="153"/>
      <c r="XD20" s="153"/>
      <c r="XE20" s="153"/>
      <c r="XF20" s="153"/>
      <c r="XG20" s="153"/>
      <c r="XH20" s="153"/>
      <c r="XI20" s="153"/>
      <c r="XJ20" s="153"/>
      <c r="XK20" s="153"/>
      <c r="XL20" s="153"/>
      <c r="XM20" s="153"/>
      <c r="XN20" s="153"/>
      <c r="XO20" s="153"/>
      <c r="XP20" s="153"/>
      <c r="XQ20" s="153"/>
      <c r="XR20" s="153"/>
      <c r="XS20" s="153"/>
      <c r="XT20" s="153"/>
      <c r="XU20" s="153"/>
      <c r="XV20" s="153"/>
      <c r="XW20" s="153"/>
      <c r="XX20" s="153"/>
      <c r="XY20" s="153"/>
      <c r="XZ20" s="153"/>
      <c r="YA20" s="153"/>
      <c r="YB20" s="153"/>
      <c r="YC20" s="153"/>
      <c r="YD20" s="153"/>
      <c r="YE20" s="153"/>
      <c r="YF20" s="153"/>
      <c r="YG20" s="153"/>
      <c r="YH20" s="153"/>
      <c r="YI20" s="153"/>
      <c r="YJ20" s="153"/>
      <c r="YK20" s="153"/>
      <c r="YL20" s="153"/>
      <c r="YM20" s="153"/>
      <c r="YN20" s="153"/>
      <c r="YO20" s="153"/>
      <c r="YP20" s="153"/>
      <c r="YQ20" s="153"/>
      <c r="YR20" s="153"/>
      <c r="YS20" s="153"/>
      <c r="YT20" s="153"/>
      <c r="YU20" s="153"/>
      <c r="YV20" s="153"/>
      <c r="YW20" s="153"/>
      <c r="YX20" s="153"/>
      <c r="YY20" s="153"/>
      <c r="YZ20" s="153"/>
      <c r="ZA20" s="153"/>
      <c r="ZB20" s="153"/>
      <c r="ZC20" s="153"/>
      <c r="ZD20" s="153"/>
      <c r="ZE20" s="153"/>
      <c r="ZF20" s="153"/>
      <c r="ZG20" s="153"/>
      <c r="ZH20" s="153"/>
      <c r="ZI20" s="153"/>
      <c r="ZJ20" s="153"/>
      <c r="ZK20" s="153"/>
      <c r="ZL20" s="153"/>
      <c r="ZM20" s="153"/>
      <c r="ZN20" s="153"/>
      <c r="ZO20" s="153"/>
      <c r="ZP20" s="153"/>
      <c r="ZQ20" s="153"/>
      <c r="ZR20" s="153"/>
      <c r="ZS20" s="153"/>
      <c r="ZT20" s="153"/>
      <c r="ZU20" s="153"/>
      <c r="ZV20" s="153"/>
      <c r="ZW20" s="153"/>
      <c r="ZX20" s="153"/>
      <c r="ZY20" s="153"/>
      <c r="ZZ20" s="153"/>
      <c r="AAA20" s="153"/>
      <c r="AAB20" s="153"/>
      <c r="AAC20" s="153"/>
      <c r="AAD20" s="153"/>
      <c r="AAE20" s="153"/>
      <c r="AAF20" s="153"/>
      <c r="AAG20" s="153"/>
      <c r="AAH20" s="153"/>
      <c r="AAI20" s="153"/>
      <c r="AAJ20" s="153"/>
      <c r="AAK20" s="153"/>
      <c r="AAL20" s="153"/>
      <c r="AAM20" s="153"/>
      <c r="AAN20" s="153"/>
      <c r="AAO20" s="153"/>
      <c r="AAP20" s="153"/>
      <c r="AAQ20" s="153"/>
      <c r="AAR20" s="153"/>
      <c r="AAS20" s="153"/>
      <c r="AAT20" s="153"/>
      <c r="AAU20" s="153"/>
      <c r="AAV20" s="153"/>
      <c r="AAW20" s="153"/>
      <c r="AAX20" s="153"/>
      <c r="AAY20" s="153"/>
      <c r="AAZ20" s="153"/>
      <c r="ABA20" s="153"/>
      <c r="ABB20" s="153"/>
      <c r="ABC20" s="153"/>
      <c r="ABD20" s="153"/>
      <c r="ABE20" s="153"/>
      <c r="ABF20" s="153"/>
      <c r="ABG20" s="153"/>
      <c r="ABH20" s="153"/>
      <c r="ABI20" s="153"/>
      <c r="ABJ20" s="153"/>
      <c r="ABK20" s="153"/>
      <c r="ABL20" s="153"/>
      <c r="ABM20" s="153"/>
      <c r="ABN20" s="153"/>
      <c r="ABO20" s="153"/>
      <c r="ABP20" s="153"/>
      <c r="ABQ20" s="153"/>
      <c r="ABR20" s="153"/>
      <c r="ABS20" s="153"/>
      <c r="ABT20" s="153"/>
      <c r="ABU20" s="153"/>
      <c r="ABV20" s="153"/>
      <c r="ABW20" s="153"/>
      <c r="ABX20" s="153"/>
      <c r="ABY20" s="153"/>
      <c r="ABZ20" s="153"/>
      <c r="ACA20" s="153"/>
      <c r="ACB20" s="153"/>
      <c r="ACC20" s="153"/>
      <c r="ACD20" s="153"/>
      <c r="ACE20" s="153"/>
      <c r="ACF20" s="153"/>
      <c r="ACG20" s="153"/>
      <c r="ACH20" s="153"/>
      <c r="ACI20" s="153"/>
      <c r="ACJ20" s="153"/>
      <c r="ACK20" s="153"/>
      <c r="ACL20" s="153"/>
      <c r="ACM20" s="153"/>
      <c r="ACN20" s="153"/>
      <c r="ACO20" s="153"/>
      <c r="ACP20" s="153"/>
      <c r="ACQ20" s="153"/>
      <c r="ACR20" s="153"/>
      <c r="ACS20" s="153"/>
      <c r="ACT20" s="153"/>
      <c r="ACU20" s="153"/>
      <c r="ACV20" s="153"/>
      <c r="ACW20" s="153"/>
      <c r="ACX20" s="153"/>
      <c r="ACY20" s="153"/>
      <c r="ACZ20" s="153"/>
      <c r="ADA20" s="153"/>
      <c r="ADB20" s="153"/>
      <c r="ADC20" s="153"/>
      <c r="ADD20" s="153"/>
      <c r="ADE20" s="153"/>
      <c r="ADF20" s="153"/>
      <c r="ADG20" s="153"/>
      <c r="ADH20" s="153"/>
      <c r="ADI20" s="153"/>
      <c r="ADJ20" s="153"/>
      <c r="ADK20" s="153"/>
      <c r="ADL20" s="153"/>
      <c r="ADM20" s="153"/>
      <c r="ADN20" s="153"/>
      <c r="ADO20" s="153"/>
      <c r="ADP20" s="153"/>
      <c r="ADQ20" s="153"/>
      <c r="ADR20" s="153"/>
      <c r="ADS20" s="153"/>
      <c r="ADT20" s="153"/>
      <c r="ADU20" s="153"/>
      <c r="ADV20" s="153"/>
      <c r="ADW20" s="153"/>
      <c r="ADX20" s="153"/>
      <c r="ADY20" s="153"/>
      <c r="ADZ20" s="153"/>
      <c r="AEA20" s="153"/>
      <c r="AEB20" s="153"/>
      <c r="AEC20" s="153"/>
      <c r="AED20" s="153"/>
      <c r="AEE20" s="153"/>
      <c r="AEF20" s="153"/>
      <c r="AEG20" s="153"/>
      <c r="AEH20" s="153"/>
      <c r="AEI20" s="153"/>
      <c r="AEJ20" s="153"/>
      <c r="AEK20" s="153"/>
      <c r="AEL20" s="153"/>
      <c r="AEM20" s="153"/>
      <c r="AEN20" s="153"/>
      <c r="AEO20" s="153"/>
      <c r="AEP20" s="153"/>
      <c r="AEQ20" s="153"/>
      <c r="AER20" s="153"/>
      <c r="AES20" s="153"/>
      <c r="AET20" s="153"/>
      <c r="AEU20" s="153"/>
      <c r="AEV20" s="153"/>
      <c r="AEW20" s="153"/>
      <c r="AEX20" s="153"/>
      <c r="AEY20" s="153"/>
      <c r="AEZ20" s="153"/>
      <c r="AFA20" s="153"/>
      <c r="AFB20" s="153"/>
      <c r="AFC20" s="153"/>
      <c r="AFD20" s="153"/>
      <c r="AFE20" s="153"/>
      <c r="AFF20" s="153"/>
      <c r="AFG20" s="153"/>
      <c r="AFH20" s="153"/>
      <c r="AFI20" s="153"/>
      <c r="AFJ20" s="153"/>
      <c r="AFK20" s="153"/>
      <c r="AFL20" s="153"/>
      <c r="AFM20" s="153"/>
      <c r="AFN20" s="153"/>
      <c r="AFO20" s="153"/>
      <c r="AFP20" s="153"/>
      <c r="AFQ20" s="153"/>
      <c r="AFR20" s="153"/>
      <c r="AFS20" s="153"/>
      <c r="AFT20" s="153"/>
      <c r="AFU20" s="153"/>
      <c r="AFV20" s="153"/>
      <c r="AFW20" s="153"/>
      <c r="AFX20" s="153"/>
      <c r="AFY20" s="153"/>
      <c r="AFZ20" s="153"/>
      <c r="AGA20" s="153"/>
      <c r="AGB20" s="153"/>
      <c r="AGC20" s="153"/>
      <c r="AGD20" s="153"/>
      <c r="AGE20" s="153"/>
      <c r="AGF20" s="153"/>
      <c r="AGG20" s="153"/>
      <c r="AGH20" s="153"/>
      <c r="AGI20" s="153"/>
      <c r="AGJ20" s="153"/>
      <c r="AGK20" s="153"/>
      <c r="AGL20" s="153"/>
      <c r="AGM20" s="153"/>
      <c r="AGN20" s="153"/>
      <c r="AGO20" s="153"/>
      <c r="AGP20" s="153"/>
      <c r="AGQ20" s="153"/>
      <c r="AGR20" s="153"/>
      <c r="AGS20" s="153"/>
      <c r="AGT20" s="153"/>
      <c r="AGU20" s="153"/>
      <c r="AGV20" s="153"/>
      <c r="AGW20" s="153"/>
      <c r="AGX20" s="153"/>
      <c r="AGY20" s="153"/>
      <c r="AGZ20" s="153"/>
      <c r="AHA20" s="153"/>
      <c r="AHB20" s="153"/>
      <c r="AHC20" s="153"/>
      <c r="AHD20" s="153"/>
      <c r="AHE20" s="153"/>
      <c r="AHF20" s="153"/>
      <c r="AHG20" s="153"/>
      <c r="AHH20" s="153"/>
      <c r="AHI20" s="153"/>
      <c r="AHJ20" s="153"/>
      <c r="AHK20" s="153"/>
      <c r="AHL20" s="153"/>
      <c r="AHM20" s="153"/>
      <c r="AHN20" s="153"/>
      <c r="AHO20" s="153"/>
      <c r="AHP20" s="153"/>
      <c r="AHQ20" s="153"/>
      <c r="AHR20" s="153"/>
      <c r="AHS20" s="153"/>
      <c r="AHT20" s="153"/>
      <c r="AHU20" s="153"/>
      <c r="AHV20" s="153"/>
      <c r="AHW20" s="153"/>
      <c r="AHX20" s="153"/>
      <c r="AHY20" s="153"/>
      <c r="AHZ20" s="153"/>
      <c r="AIA20" s="153"/>
      <c r="AIB20" s="153"/>
      <c r="AIC20" s="153"/>
      <c r="AID20" s="153"/>
      <c r="AIE20" s="153"/>
      <c r="AIF20" s="153"/>
      <c r="AIG20" s="153"/>
      <c r="AIH20" s="153"/>
      <c r="AII20" s="153"/>
      <c r="AIJ20" s="153"/>
      <c r="AIK20" s="153"/>
      <c r="AIL20" s="153"/>
      <c r="AIM20" s="153"/>
      <c r="AIN20" s="153"/>
      <c r="AIO20" s="153"/>
      <c r="AIP20" s="153"/>
      <c r="AIQ20" s="153"/>
      <c r="AIR20" s="153"/>
      <c r="AIS20" s="153"/>
      <c r="AIT20" s="153"/>
      <c r="AIU20" s="153"/>
      <c r="AIV20" s="153"/>
      <c r="AIW20" s="153"/>
      <c r="AIX20" s="153"/>
      <c r="AIY20" s="153"/>
      <c r="AIZ20" s="153"/>
      <c r="AJA20" s="153"/>
      <c r="AJB20" s="153"/>
      <c r="AJC20" s="153"/>
      <c r="AJD20" s="153"/>
      <c r="AJE20" s="153"/>
      <c r="AJF20" s="153"/>
      <c r="AJG20" s="153"/>
      <c r="AJH20" s="153"/>
      <c r="AJI20" s="153"/>
      <c r="AJJ20" s="153"/>
      <c r="AJK20" s="153"/>
      <c r="AJL20" s="153"/>
      <c r="AJM20" s="153"/>
      <c r="AJN20" s="153"/>
      <c r="AJO20" s="153"/>
      <c r="AJP20" s="153"/>
      <c r="AJQ20" s="153"/>
      <c r="AJR20" s="153"/>
      <c r="AJS20" s="153"/>
      <c r="AJT20" s="153"/>
      <c r="AJU20" s="153"/>
      <c r="AJV20" s="153"/>
      <c r="AJW20" s="153"/>
      <c r="AJX20" s="153"/>
      <c r="AJY20" s="153"/>
      <c r="AJZ20" s="153"/>
      <c r="AKA20" s="153"/>
      <c r="AKB20" s="153"/>
      <c r="AKC20" s="153"/>
      <c r="AKD20" s="153"/>
      <c r="AKE20" s="153"/>
      <c r="AKF20" s="153"/>
      <c r="AKG20" s="153"/>
      <c r="AKH20" s="153"/>
      <c r="AKI20" s="153"/>
      <c r="AKJ20" s="153"/>
      <c r="AKK20" s="153"/>
      <c r="AKL20" s="153"/>
      <c r="AKM20" s="153"/>
      <c r="AKN20" s="153"/>
      <c r="AKO20" s="153"/>
      <c r="AKP20" s="153"/>
      <c r="AKQ20" s="153"/>
      <c r="AKR20" s="153"/>
      <c r="AKS20" s="153"/>
      <c r="AKT20" s="153"/>
      <c r="AKU20" s="153"/>
      <c r="AKV20" s="153"/>
      <c r="AKW20" s="153"/>
      <c r="AKX20" s="153"/>
      <c r="AKY20" s="153"/>
      <c r="AKZ20" s="153"/>
      <c r="ALA20" s="153"/>
      <c r="ALB20" s="153"/>
      <c r="ALC20" s="153"/>
      <c r="ALD20" s="153"/>
      <c r="ALE20" s="153"/>
      <c r="ALF20" s="153"/>
      <c r="ALG20" s="153"/>
      <c r="ALH20" s="153"/>
      <c r="ALI20" s="153"/>
      <c r="ALJ20" s="153"/>
      <c r="ALK20" s="153"/>
      <c r="ALL20" s="153"/>
      <c r="ALM20" s="153"/>
      <c r="ALN20" s="153"/>
      <c r="ALO20" s="153"/>
      <c r="ALP20" s="153"/>
      <c r="ALQ20" s="153"/>
      <c r="ALR20" s="153"/>
      <c r="ALS20" s="153"/>
      <c r="ALT20" s="153"/>
      <c r="ALU20" s="153"/>
      <c r="ALV20" s="153"/>
      <c r="ALW20" s="153"/>
      <c r="ALX20" s="153"/>
      <c r="ALY20" s="153"/>
      <c r="ALZ20" s="153"/>
      <c r="AMA20" s="153"/>
      <c r="AMB20" s="153"/>
      <c r="AMC20" s="153"/>
      <c r="AMD20" s="153"/>
      <c r="AME20" s="153"/>
      <c r="AMF20" s="153"/>
      <c r="AMG20" s="153"/>
      <c r="AMH20" s="153"/>
      <c r="AMI20" s="153"/>
      <c r="AMJ20" s="153"/>
      <c r="AMK20" s="153"/>
    </row>
    <row r="21" spans="1:1025" s="417" customFormat="1" ht="11.25" x14ac:dyDescent="0.2">
      <c r="A21" s="153"/>
      <c r="B21" s="153"/>
      <c r="C21" s="285" t="s">
        <v>836</v>
      </c>
      <c r="D21" s="387">
        <f>D20/C20</f>
        <v>0.48304696150153387</v>
      </c>
      <c r="E21" s="153"/>
      <c r="F21" s="388" t="s">
        <v>782</v>
      </c>
      <c r="G21" s="296" t="s">
        <v>837</v>
      </c>
      <c r="H21" s="153"/>
      <c r="I21" s="339" t="s">
        <v>838</v>
      </c>
      <c r="J21" s="296" t="s">
        <v>839</v>
      </c>
      <c r="K21" s="296" t="s">
        <v>840</v>
      </c>
      <c r="L21" s="296" t="s">
        <v>841</v>
      </c>
      <c r="M21" s="153"/>
      <c r="N21" s="336"/>
      <c r="O21" s="337"/>
      <c r="P21" s="336"/>
      <c r="Q21" s="676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3"/>
      <c r="GK21" s="153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3"/>
      <c r="HI21" s="153"/>
      <c r="HJ21" s="153"/>
      <c r="HK21" s="153"/>
      <c r="HL21" s="153"/>
      <c r="HM21" s="153"/>
      <c r="HN21" s="153"/>
      <c r="HO21" s="153"/>
      <c r="HP21" s="153"/>
      <c r="HQ21" s="153"/>
      <c r="HR21" s="153"/>
      <c r="HS21" s="153"/>
      <c r="HT21" s="153"/>
      <c r="HU21" s="153"/>
      <c r="HV21" s="153"/>
      <c r="HW21" s="153"/>
      <c r="HX21" s="153"/>
      <c r="HY21" s="153"/>
      <c r="HZ21" s="153"/>
      <c r="IA21" s="153"/>
      <c r="IB21" s="153"/>
      <c r="IC21" s="153"/>
      <c r="ID21" s="153"/>
      <c r="IE21" s="153"/>
      <c r="IF21" s="153"/>
      <c r="IG21" s="153"/>
      <c r="IH21" s="153"/>
      <c r="II21" s="153"/>
      <c r="IJ21" s="153"/>
      <c r="IK21" s="153"/>
      <c r="IL21" s="153"/>
      <c r="IM21" s="153"/>
      <c r="IN21" s="153"/>
      <c r="IO21" s="153"/>
      <c r="IP21" s="153"/>
      <c r="IQ21" s="153"/>
      <c r="IR21" s="153"/>
      <c r="IS21" s="153"/>
      <c r="IT21" s="153"/>
      <c r="IU21" s="153"/>
      <c r="IV21" s="153"/>
      <c r="IW21" s="153"/>
      <c r="IX21" s="153"/>
      <c r="IY21" s="153"/>
      <c r="IZ21" s="153"/>
      <c r="JA21" s="153"/>
      <c r="JB21" s="153"/>
      <c r="JC21" s="153"/>
      <c r="JD21" s="153"/>
      <c r="JE21" s="153"/>
      <c r="JF21" s="153"/>
      <c r="JG21" s="153"/>
      <c r="JH21" s="153"/>
      <c r="JI21" s="153"/>
      <c r="JJ21" s="153"/>
      <c r="JK21" s="153"/>
      <c r="JL21" s="153"/>
      <c r="JM21" s="153"/>
      <c r="JN21" s="153"/>
      <c r="JO21" s="153"/>
      <c r="JP21" s="153"/>
      <c r="JQ21" s="153"/>
      <c r="JR21" s="153"/>
      <c r="JS21" s="153"/>
      <c r="JT21" s="153"/>
      <c r="JU21" s="153"/>
      <c r="JV21" s="153"/>
      <c r="JW21" s="153"/>
      <c r="JX21" s="153"/>
      <c r="JY21" s="153"/>
      <c r="JZ21" s="153"/>
      <c r="KA21" s="153"/>
      <c r="KB21" s="153"/>
      <c r="KC21" s="153"/>
      <c r="KD21" s="153"/>
      <c r="KE21" s="153"/>
      <c r="KF21" s="153"/>
      <c r="KG21" s="153"/>
      <c r="KH21" s="153"/>
      <c r="KI21" s="153"/>
      <c r="KJ21" s="153"/>
      <c r="KK21" s="153"/>
      <c r="KL21" s="153"/>
      <c r="KM21" s="153"/>
      <c r="KN21" s="153"/>
      <c r="KO21" s="153"/>
      <c r="KP21" s="153"/>
      <c r="KQ21" s="153"/>
      <c r="KR21" s="153"/>
      <c r="KS21" s="153"/>
      <c r="KT21" s="153"/>
      <c r="KU21" s="153"/>
      <c r="KV21" s="153"/>
      <c r="KW21" s="153"/>
      <c r="KX21" s="153"/>
      <c r="KY21" s="153"/>
      <c r="KZ21" s="153"/>
      <c r="LA21" s="153"/>
      <c r="LB21" s="153"/>
      <c r="LC21" s="153"/>
      <c r="LD21" s="153"/>
      <c r="LE21" s="153"/>
      <c r="LF21" s="153"/>
      <c r="LG21" s="153"/>
      <c r="LH21" s="153"/>
      <c r="LI21" s="153"/>
      <c r="LJ21" s="153"/>
      <c r="LK21" s="153"/>
      <c r="LL21" s="153"/>
      <c r="LM21" s="153"/>
      <c r="LN21" s="153"/>
      <c r="LO21" s="153"/>
      <c r="LP21" s="153"/>
      <c r="LQ21" s="153"/>
      <c r="LR21" s="153"/>
      <c r="LS21" s="153"/>
      <c r="LT21" s="153"/>
      <c r="LU21" s="153"/>
      <c r="LV21" s="153"/>
      <c r="LW21" s="153"/>
      <c r="LX21" s="153"/>
      <c r="LY21" s="153"/>
      <c r="LZ21" s="153"/>
      <c r="MA21" s="153"/>
      <c r="MB21" s="153"/>
      <c r="MC21" s="153"/>
      <c r="MD21" s="153"/>
      <c r="ME21" s="153"/>
      <c r="MF21" s="153"/>
      <c r="MG21" s="153"/>
      <c r="MH21" s="153"/>
      <c r="MI21" s="153"/>
      <c r="MJ21" s="153"/>
      <c r="MK21" s="153"/>
      <c r="ML21" s="153"/>
      <c r="MM21" s="153"/>
      <c r="MN21" s="153"/>
      <c r="MO21" s="153"/>
      <c r="MP21" s="153"/>
      <c r="MQ21" s="153"/>
      <c r="MR21" s="153"/>
      <c r="MS21" s="153"/>
      <c r="MT21" s="153"/>
      <c r="MU21" s="153"/>
      <c r="MV21" s="153"/>
      <c r="MW21" s="153"/>
      <c r="MX21" s="153"/>
      <c r="MY21" s="153"/>
      <c r="MZ21" s="153"/>
      <c r="NA21" s="153"/>
      <c r="NB21" s="153"/>
      <c r="NC21" s="153"/>
      <c r="ND21" s="153"/>
      <c r="NE21" s="153"/>
      <c r="NF21" s="153"/>
      <c r="NG21" s="153"/>
      <c r="NH21" s="153"/>
      <c r="NI21" s="153"/>
      <c r="NJ21" s="153"/>
      <c r="NK21" s="153"/>
      <c r="NL21" s="153"/>
      <c r="NM21" s="153"/>
      <c r="NN21" s="153"/>
      <c r="NO21" s="153"/>
      <c r="NP21" s="153"/>
      <c r="NQ21" s="153"/>
      <c r="NR21" s="153"/>
      <c r="NS21" s="153"/>
      <c r="NT21" s="153"/>
      <c r="NU21" s="153"/>
      <c r="NV21" s="153"/>
      <c r="NW21" s="153"/>
      <c r="NX21" s="153"/>
      <c r="NY21" s="153"/>
      <c r="NZ21" s="153"/>
      <c r="OA21" s="153"/>
      <c r="OB21" s="153"/>
      <c r="OC21" s="153"/>
      <c r="OD21" s="153"/>
      <c r="OE21" s="153"/>
      <c r="OF21" s="153"/>
      <c r="OG21" s="153"/>
      <c r="OH21" s="153"/>
      <c r="OI21" s="153"/>
      <c r="OJ21" s="153"/>
      <c r="OK21" s="153"/>
      <c r="OL21" s="153"/>
      <c r="OM21" s="153"/>
      <c r="ON21" s="153"/>
      <c r="OO21" s="153"/>
      <c r="OP21" s="153"/>
      <c r="OQ21" s="153"/>
      <c r="OR21" s="153"/>
      <c r="OS21" s="153"/>
      <c r="OT21" s="153"/>
      <c r="OU21" s="153"/>
      <c r="OV21" s="153"/>
      <c r="OW21" s="153"/>
      <c r="OX21" s="153"/>
      <c r="OY21" s="153"/>
      <c r="OZ21" s="153"/>
      <c r="PA21" s="153"/>
      <c r="PB21" s="153"/>
      <c r="PC21" s="153"/>
      <c r="PD21" s="153"/>
      <c r="PE21" s="153"/>
      <c r="PF21" s="153"/>
      <c r="PG21" s="153"/>
      <c r="PH21" s="153"/>
      <c r="PI21" s="153"/>
      <c r="PJ21" s="153"/>
      <c r="PK21" s="153"/>
      <c r="PL21" s="153"/>
      <c r="PM21" s="153"/>
      <c r="PN21" s="153"/>
      <c r="PO21" s="153"/>
      <c r="PP21" s="153"/>
      <c r="PQ21" s="153"/>
      <c r="PR21" s="153"/>
      <c r="PS21" s="153"/>
      <c r="PT21" s="153"/>
      <c r="PU21" s="153"/>
      <c r="PV21" s="153"/>
      <c r="PW21" s="153"/>
      <c r="PX21" s="153"/>
      <c r="PY21" s="153"/>
      <c r="PZ21" s="153"/>
      <c r="QA21" s="153"/>
      <c r="QB21" s="153"/>
      <c r="QC21" s="153"/>
      <c r="QD21" s="153"/>
      <c r="QE21" s="153"/>
      <c r="QF21" s="153"/>
      <c r="QG21" s="153"/>
      <c r="QH21" s="153"/>
      <c r="QI21" s="153"/>
      <c r="QJ21" s="153"/>
      <c r="QK21" s="153"/>
      <c r="QL21" s="153"/>
      <c r="QM21" s="153"/>
      <c r="QN21" s="153"/>
      <c r="QO21" s="153"/>
      <c r="QP21" s="153"/>
      <c r="QQ21" s="153"/>
      <c r="QR21" s="153"/>
      <c r="QS21" s="153"/>
      <c r="QT21" s="153"/>
      <c r="QU21" s="153"/>
      <c r="QV21" s="153"/>
      <c r="QW21" s="153"/>
      <c r="QX21" s="153"/>
      <c r="QY21" s="153"/>
      <c r="QZ21" s="153"/>
      <c r="RA21" s="153"/>
      <c r="RB21" s="153"/>
      <c r="RC21" s="153"/>
      <c r="RD21" s="153"/>
      <c r="RE21" s="153"/>
      <c r="RF21" s="153"/>
      <c r="RG21" s="153"/>
      <c r="RH21" s="153"/>
      <c r="RI21" s="153"/>
      <c r="RJ21" s="153"/>
      <c r="RK21" s="153"/>
      <c r="RL21" s="153"/>
      <c r="RM21" s="153"/>
      <c r="RN21" s="153"/>
      <c r="RO21" s="153"/>
      <c r="RP21" s="153"/>
      <c r="RQ21" s="153"/>
      <c r="RR21" s="153"/>
      <c r="RS21" s="153"/>
      <c r="RT21" s="153"/>
      <c r="RU21" s="153"/>
      <c r="RV21" s="153"/>
      <c r="RW21" s="153"/>
      <c r="RX21" s="153"/>
      <c r="RY21" s="153"/>
      <c r="RZ21" s="153"/>
      <c r="SA21" s="153"/>
      <c r="SB21" s="153"/>
      <c r="SC21" s="153"/>
      <c r="SD21" s="153"/>
      <c r="SE21" s="153"/>
      <c r="SF21" s="153"/>
      <c r="SG21" s="153"/>
      <c r="SH21" s="153"/>
      <c r="SI21" s="153"/>
      <c r="SJ21" s="153"/>
      <c r="SK21" s="153"/>
      <c r="SL21" s="153"/>
      <c r="SM21" s="153"/>
      <c r="SN21" s="153"/>
      <c r="SO21" s="153"/>
      <c r="SP21" s="153"/>
      <c r="SQ21" s="153"/>
      <c r="SR21" s="153"/>
      <c r="SS21" s="153"/>
      <c r="ST21" s="153"/>
      <c r="SU21" s="153"/>
      <c r="SV21" s="153"/>
      <c r="SW21" s="153"/>
      <c r="SX21" s="153"/>
      <c r="SY21" s="153"/>
      <c r="SZ21" s="153"/>
      <c r="TA21" s="153"/>
      <c r="TB21" s="153"/>
      <c r="TC21" s="153"/>
      <c r="TD21" s="153"/>
      <c r="TE21" s="153"/>
      <c r="TF21" s="153"/>
      <c r="TG21" s="153"/>
      <c r="TH21" s="153"/>
      <c r="TI21" s="153"/>
      <c r="TJ21" s="153"/>
      <c r="TK21" s="153"/>
      <c r="TL21" s="153"/>
      <c r="TM21" s="153"/>
      <c r="TN21" s="153"/>
      <c r="TO21" s="153"/>
      <c r="TP21" s="153"/>
      <c r="TQ21" s="153"/>
      <c r="TR21" s="153"/>
      <c r="TS21" s="153"/>
      <c r="TT21" s="153"/>
      <c r="TU21" s="153"/>
      <c r="TV21" s="153"/>
      <c r="TW21" s="153"/>
      <c r="TX21" s="153"/>
      <c r="TY21" s="153"/>
      <c r="TZ21" s="153"/>
      <c r="UA21" s="153"/>
      <c r="UB21" s="153"/>
      <c r="UC21" s="153"/>
      <c r="UD21" s="153"/>
      <c r="UE21" s="153"/>
      <c r="UF21" s="153"/>
      <c r="UG21" s="153"/>
      <c r="UH21" s="153"/>
      <c r="UI21" s="153"/>
      <c r="UJ21" s="153"/>
      <c r="UK21" s="153"/>
      <c r="UL21" s="153"/>
      <c r="UM21" s="153"/>
      <c r="UN21" s="153"/>
      <c r="UO21" s="153"/>
      <c r="UP21" s="153"/>
      <c r="UQ21" s="153"/>
      <c r="UR21" s="153"/>
      <c r="US21" s="153"/>
      <c r="UT21" s="153"/>
      <c r="UU21" s="153"/>
      <c r="UV21" s="153"/>
      <c r="UW21" s="153"/>
      <c r="UX21" s="153"/>
      <c r="UY21" s="153"/>
      <c r="UZ21" s="153"/>
      <c r="VA21" s="153"/>
      <c r="VB21" s="153"/>
      <c r="VC21" s="153"/>
      <c r="VD21" s="153"/>
      <c r="VE21" s="153"/>
      <c r="VF21" s="153"/>
      <c r="VG21" s="153"/>
      <c r="VH21" s="153"/>
      <c r="VI21" s="153"/>
      <c r="VJ21" s="153"/>
      <c r="VK21" s="153"/>
      <c r="VL21" s="153"/>
      <c r="VM21" s="153"/>
      <c r="VN21" s="153"/>
      <c r="VO21" s="153"/>
      <c r="VP21" s="153"/>
      <c r="VQ21" s="153"/>
      <c r="VR21" s="153"/>
      <c r="VS21" s="153"/>
      <c r="VT21" s="153"/>
      <c r="VU21" s="153"/>
      <c r="VV21" s="153"/>
      <c r="VW21" s="153"/>
      <c r="VX21" s="153"/>
      <c r="VY21" s="153"/>
      <c r="VZ21" s="153"/>
      <c r="WA21" s="153"/>
      <c r="WB21" s="153"/>
      <c r="WC21" s="153"/>
      <c r="WD21" s="153"/>
      <c r="WE21" s="153"/>
      <c r="WF21" s="153"/>
      <c r="WG21" s="153"/>
      <c r="WH21" s="153"/>
      <c r="WI21" s="153"/>
      <c r="WJ21" s="153"/>
      <c r="WK21" s="153"/>
      <c r="WL21" s="153"/>
      <c r="WM21" s="153"/>
      <c r="WN21" s="153"/>
      <c r="WO21" s="153"/>
      <c r="WP21" s="153"/>
      <c r="WQ21" s="153"/>
      <c r="WR21" s="153"/>
      <c r="WS21" s="153"/>
      <c r="WT21" s="153"/>
      <c r="WU21" s="153"/>
      <c r="WV21" s="153"/>
      <c r="WW21" s="153"/>
      <c r="WX21" s="153"/>
      <c r="WY21" s="153"/>
      <c r="WZ21" s="153"/>
      <c r="XA21" s="153"/>
      <c r="XB21" s="153"/>
      <c r="XC21" s="153"/>
      <c r="XD21" s="153"/>
      <c r="XE21" s="153"/>
      <c r="XF21" s="153"/>
      <c r="XG21" s="153"/>
      <c r="XH21" s="153"/>
      <c r="XI21" s="153"/>
      <c r="XJ21" s="153"/>
      <c r="XK21" s="153"/>
      <c r="XL21" s="153"/>
      <c r="XM21" s="153"/>
      <c r="XN21" s="153"/>
      <c r="XO21" s="153"/>
      <c r="XP21" s="153"/>
      <c r="XQ21" s="153"/>
      <c r="XR21" s="153"/>
      <c r="XS21" s="153"/>
      <c r="XT21" s="153"/>
      <c r="XU21" s="153"/>
      <c r="XV21" s="153"/>
      <c r="XW21" s="153"/>
      <c r="XX21" s="153"/>
      <c r="XY21" s="153"/>
      <c r="XZ21" s="153"/>
      <c r="YA21" s="153"/>
      <c r="YB21" s="153"/>
      <c r="YC21" s="153"/>
      <c r="YD21" s="153"/>
      <c r="YE21" s="153"/>
      <c r="YF21" s="153"/>
      <c r="YG21" s="153"/>
      <c r="YH21" s="153"/>
      <c r="YI21" s="153"/>
      <c r="YJ21" s="153"/>
      <c r="YK21" s="153"/>
      <c r="YL21" s="153"/>
      <c r="YM21" s="153"/>
      <c r="YN21" s="153"/>
      <c r="YO21" s="153"/>
      <c r="YP21" s="153"/>
      <c r="YQ21" s="153"/>
      <c r="YR21" s="153"/>
      <c r="YS21" s="153"/>
      <c r="YT21" s="153"/>
      <c r="YU21" s="153"/>
      <c r="YV21" s="153"/>
      <c r="YW21" s="153"/>
      <c r="YX21" s="153"/>
      <c r="YY21" s="153"/>
      <c r="YZ21" s="153"/>
      <c r="ZA21" s="153"/>
      <c r="ZB21" s="153"/>
      <c r="ZC21" s="153"/>
      <c r="ZD21" s="153"/>
      <c r="ZE21" s="153"/>
      <c r="ZF21" s="153"/>
      <c r="ZG21" s="153"/>
      <c r="ZH21" s="153"/>
      <c r="ZI21" s="153"/>
      <c r="ZJ21" s="153"/>
      <c r="ZK21" s="153"/>
      <c r="ZL21" s="153"/>
      <c r="ZM21" s="153"/>
      <c r="ZN21" s="153"/>
      <c r="ZO21" s="153"/>
      <c r="ZP21" s="153"/>
      <c r="ZQ21" s="153"/>
      <c r="ZR21" s="153"/>
      <c r="ZS21" s="153"/>
      <c r="ZT21" s="153"/>
      <c r="ZU21" s="153"/>
      <c r="ZV21" s="153"/>
      <c r="ZW21" s="153"/>
      <c r="ZX21" s="153"/>
      <c r="ZY21" s="153"/>
      <c r="ZZ21" s="153"/>
      <c r="AAA21" s="153"/>
      <c r="AAB21" s="153"/>
      <c r="AAC21" s="153"/>
      <c r="AAD21" s="153"/>
      <c r="AAE21" s="153"/>
      <c r="AAF21" s="153"/>
      <c r="AAG21" s="153"/>
      <c r="AAH21" s="153"/>
      <c r="AAI21" s="153"/>
      <c r="AAJ21" s="153"/>
      <c r="AAK21" s="153"/>
      <c r="AAL21" s="153"/>
      <c r="AAM21" s="153"/>
      <c r="AAN21" s="153"/>
      <c r="AAO21" s="153"/>
      <c r="AAP21" s="153"/>
      <c r="AAQ21" s="153"/>
      <c r="AAR21" s="153"/>
      <c r="AAS21" s="153"/>
      <c r="AAT21" s="153"/>
      <c r="AAU21" s="153"/>
      <c r="AAV21" s="153"/>
      <c r="AAW21" s="153"/>
      <c r="AAX21" s="153"/>
      <c r="AAY21" s="153"/>
      <c r="AAZ21" s="153"/>
      <c r="ABA21" s="153"/>
      <c r="ABB21" s="153"/>
      <c r="ABC21" s="153"/>
      <c r="ABD21" s="153"/>
      <c r="ABE21" s="153"/>
      <c r="ABF21" s="153"/>
      <c r="ABG21" s="153"/>
      <c r="ABH21" s="153"/>
      <c r="ABI21" s="153"/>
      <c r="ABJ21" s="153"/>
      <c r="ABK21" s="153"/>
      <c r="ABL21" s="153"/>
      <c r="ABM21" s="153"/>
      <c r="ABN21" s="153"/>
      <c r="ABO21" s="153"/>
      <c r="ABP21" s="153"/>
      <c r="ABQ21" s="153"/>
      <c r="ABR21" s="153"/>
      <c r="ABS21" s="153"/>
      <c r="ABT21" s="153"/>
      <c r="ABU21" s="153"/>
      <c r="ABV21" s="153"/>
      <c r="ABW21" s="153"/>
      <c r="ABX21" s="153"/>
      <c r="ABY21" s="153"/>
      <c r="ABZ21" s="153"/>
      <c r="ACA21" s="153"/>
      <c r="ACB21" s="153"/>
      <c r="ACC21" s="153"/>
      <c r="ACD21" s="153"/>
      <c r="ACE21" s="153"/>
      <c r="ACF21" s="153"/>
      <c r="ACG21" s="153"/>
      <c r="ACH21" s="153"/>
      <c r="ACI21" s="153"/>
      <c r="ACJ21" s="153"/>
      <c r="ACK21" s="153"/>
      <c r="ACL21" s="153"/>
      <c r="ACM21" s="153"/>
      <c r="ACN21" s="153"/>
      <c r="ACO21" s="153"/>
      <c r="ACP21" s="153"/>
      <c r="ACQ21" s="153"/>
      <c r="ACR21" s="153"/>
      <c r="ACS21" s="153"/>
      <c r="ACT21" s="153"/>
      <c r="ACU21" s="153"/>
      <c r="ACV21" s="153"/>
      <c r="ACW21" s="153"/>
      <c r="ACX21" s="153"/>
      <c r="ACY21" s="153"/>
      <c r="ACZ21" s="153"/>
      <c r="ADA21" s="153"/>
      <c r="ADB21" s="153"/>
      <c r="ADC21" s="153"/>
      <c r="ADD21" s="153"/>
      <c r="ADE21" s="153"/>
      <c r="ADF21" s="153"/>
      <c r="ADG21" s="153"/>
      <c r="ADH21" s="153"/>
      <c r="ADI21" s="153"/>
      <c r="ADJ21" s="153"/>
      <c r="ADK21" s="153"/>
      <c r="ADL21" s="153"/>
      <c r="ADM21" s="153"/>
      <c r="ADN21" s="153"/>
      <c r="ADO21" s="153"/>
      <c r="ADP21" s="153"/>
      <c r="ADQ21" s="153"/>
      <c r="ADR21" s="153"/>
      <c r="ADS21" s="153"/>
      <c r="ADT21" s="153"/>
      <c r="ADU21" s="153"/>
      <c r="ADV21" s="153"/>
      <c r="ADW21" s="153"/>
      <c r="ADX21" s="153"/>
      <c r="ADY21" s="153"/>
      <c r="ADZ21" s="153"/>
      <c r="AEA21" s="153"/>
      <c r="AEB21" s="153"/>
      <c r="AEC21" s="153"/>
      <c r="AED21" s="153"/>
      <c r="AEE21" s="153"/>
      <c r="AEF21" s="153"/>
      <c r="AEG21" s="153"/>
      <c r="AEH21" s="153"/>
      <c r="AEI21" s="153"/>
      <c r="AEJ21" s="153"/>
      <c r="AEK21" s="153"/>
      <c r="AEL21" s="153"/>
      <c r="AEM21" s="153"/>
      <c r="AEN21" s="153"/>
      <c r="AEO21" s="153"/>
      <c r="AEP21" s="153"/>
      <c r="AEQ21" s="153"/>
      <c r="AER21" s="153"/>
      <c r="AES21" s="153"/>
      <c r="AET21" s="153"/>
      <c r="AEU21" s="153"/>
      <c r="AEV21" s="153"/>
      <c r="AEW21" s="153"/>
      <c r="AEX21" s="153"/>
      <c r="AEY21" s="153"/>
      <c r="AEZ21" s="153"/>
      <c r="AFA21" s="153"/>
      <c r="AFB21" s="153"/>
      <c r="AFC21" s="153"/>
      <c r="AFD21" s="153"/>
      <c r="AFE21" s="153"/>
      <c r="AFF21" s="153"/>
      <c r="AFG21" s="153"/>
      <c r="AFH21" s="153"/>
      <c r="AFI21" s="153"/>
      <c r="AFJ21" s="153"/>
      <c r="AFK21" s="153"/>
      <c r="AFL21" s="153"/>
      <c r="AFM21" s="153"/>
      <c r="AFN21" s="153"/>
      <c r="AFO21" s="153"/>
      <c r="AFP21" s="153"/>
      <c r="AFQ21" s="153"/>
      <c r="AFR21" s="153"/>
      <c r="AFS21" s="153"/>
      <c r="AFT21" s="153"/>
      <c r="AFU21" s="153"/>
      <c r="AFV21" s="153"/>
      <c r="AFW21" s="153"/>
      <c r="AFX21" s="153"/>
      <c r="AFY21" s="153"/>
      <c r="AFZ21" s="153"/>
      <c r="AGA21" s="153"/>
      <c r="AGB21" s="153"/>
      <c r="AGC21" s="153"/>
      <c r="AGD21" s="153"/>
      <c r="AGE21" s="153"/>
      <c r="AGF21" s="153"/>
      <c r="AGG21" s="153"/>
      <c r="AGH21" s="153"/>
      <c r="AGI21" s="153"/>
      <c r="AGJ21" s="153"/>
      <c r="AGK21" s="153"/>
      <c r="AGL21" s="153"/>
      <c r="AGM21" s="153"/>
      <c r="AGN21" s="153"/>
      <c r="AGO21" s="153"/>
      <c r="AGP21" s="153"/>
      <c r="AGQ21" s="153"/>
      <c r="AGR21" s="153"/>
      <c r="AGS21" s="153"/>
      <c r="AGT21" s="153"/>
      <c r="AGU21" s="153"/>
      <c r="AGV21" s="153"/>
      <c r="AGW21" s="153"/>
      <c r="AGX21" s="153"/>
      <c r="AGY21" s="153"/>
      <c r="AGZ21" s="153"/>
      <c r="AHA21" s="153"/>
      <c r="AHB21" s="153"/>
      <c r="AHC21" s="153"/>
      <c r="AHD21" s="153"/>
      <c r="AHE21" s="153"/>
      <c r="AHF21" s="153"/>
      <c r="AHG21" s="153"/>
      <c r="AHH21" s="153"/>
      <c r="AHI21" s="153"/>
      <c r="AHJ21" s="153"/>
      <c r="AHK21" s="153"/>
      <c r="AHL21" s="153"/>
      <c r="AHM21" s="153"/>
      <c r="AHN21" s="153"/>
      <c r="AHO21" s="153"/>
      <c r="AHP21" s="153"/>
      <c r="AHQ21" s="153"/>
      <c r="AHR21" s="153"/>
      <c r="AHS21" s="153"/>
      <c r="AHT21" s="153"/>
      <c r="AHU21" s="153"/>
      <c r="AHV21" s="153"/>
      <c r="AHW21" s="153"/>
      <c r="AHX21" s="153"/>
      <c r="AHY21" s="153"/>
      <c r="AHZ21" s="153"/>
      <c r="AIA21" s="153"/>
      <c r="AIB21" s="153"/>
      <c r="AIC21" s="153"/>
      <c r="AID21" s="153"/>
      <c r="AIE21" s="153"/>
      <c r="AIF21" s="153"/>
      <c r="AIG21" s="153"/>
      <c r="AIH21" s="153"/>
      <c r="AII21" s="153"/>
      <c r="AIJ21" s="153"/>
      <c r="AIK21" s="153"/>
      <c r="AIL21" s="153"/>
      <c r="AIM21" s="153"/>
      <c r="AIN21" s="153"/>
      <c r="AIO21" s="153"/>
      <c r="AIP21" s="153"/>
      <c r="AIQ21" s="153"/>
      <c r="AIR21" s="153"/>
      <c r="AIS21" s="153"/>
      <c r="AIT21" s="153"/>
      <c r="AIU21" s="153"/>
      <c r="AIV21" s="153"/>
      <c r="AIW21" s="153"/>
      <c r="AIX21" s="153"/>
      <c r="AIY21" s="153"/>
      <c r="AIZ21" s="153"/>
      <c r="AJA21" s="153"/>
      <c r="AJB21" s="153"/>
      <c r="AJC21" s="153"/>
      <c r="AJD21" s="153"/>
      <c r="AJE21" s="153"/>
      <c r="AJF21" s="153"/>
      <c r="AJG21" s="153"/>
      <c r="AJH21" s="153"/>
      <c r="AJI21" s="153"/>
      <c r="AJJ21" s="153"/>
      <c r="AJK21" s="153"/>
      <c r="AJL21" s="153"/>
      <c r="AJM21" s="153"/>
      <c r="AJN21" s="153"/>
      <c r="AJO21" s="153"/>
      <c r="AJP21" s="153"/>
      <c r="AJQ21" s="153"/>
      <c r="AJR21" s="153"/>
      <c r="AJS21" s="153"/>
      <c r="AJT21" s="153"/>
      <c r="AJU21" s="153"/>
      <c r="AJV21" s="153"/>
      <c r="AJW21" s="153"/>
      <c r="AJX21" s="153"/>
      <c r="AJY21" s="153"/>
      <c r="AJZ21" s="153"/>
      <c r="AKA21" s="153"/>
      <c r="AKB21" s="153"/>
      <c r="AKC21" s="153"/>
      <c r="AKD21" s="153"/>
      <c r="AKE21" s="153"/>
      <c r="AKF21" s="153"/>
      <c r="AKG21" s="153"/>
      <c r="AKH21" s="153"/>
      <c r="AKI21" s="153"/>
      <c r="AKJ21" s="153"/>
      <c r="AKK21" s="153"/>
      <c r="AKL21" s="153"/>
      <c r="AKM21" s="153"/>
      <c r="AKN21" s="153"/>
      <c r="AKO21" s="153"/>
      <c r="AKP21" s="153"/>
      <c r="AKQ21" s="153"/>
      <c r="AKR21" s="153"/>
      <c r="AKS21" s="153"/>
      <c r="AKT21" s="153"/>
      <c r="AKU21" s="153"/>
      <c r="AKV21" s="153"/>
      <c r="AKW21" s="153"/>
      <c r="AKX21" s="153"/>
      <c r="AKY21" s="153"/>
      <c r="AKZ21" s="153"/>
      <c r="ALA21" s="153"/>
      <c r="ALB21" s="153"/>
      <c r="ALC21" s="153"/>
      <c r="ALD21" s="153"/>
      <c r="ALE21" s="153"/>
      <c r="ALF21" s="153"/>
      <c r="ALG21" s="153"/>
      <c r="ALH21" s="153"/>
      <c r="ALI21" s="153"/>
      <c r="ALJ21" s="153"/>
      <c r="ALK21" s="153"/>
      <c r="ALL21" s="153"/>
      <c r="ALM21" s="153"/>
      <c r="ALN21" s="153"/>
      <c r="ALO21" s="153"/>
      <c r="ALP21" s="153"/>
      <c r="ALQ21" s="153"/>
      <c r="ALR21" s="153"/>
      <c r="ALS21" s="153"/>
      <c r="ALT21" s="153"/>
      <c r="ALU21" s="153"/>
      <c r="ALV21" s="153"/>
      <c r="ALW21" s="153"/>
      <c r="ALX21" s="153"/>
      <c r="ALY21" s="153"/>
      <c r="ALZ21" s="153"/>
      <c r="AMA21" s="153"/>
      <c r="AMB21" s="153"/>
      <c r="AMC21" s="153"/>
      <c r="AMD21" s="153"/>
      <c r="AME21" s="153"/>
      <c r="AMF21" s="153"/>
      <c r="AMG21" s="153"/>
      <c r="AMH21" s="153"/>
      <c r="AMI21" s="153"/>
      <c r="AMJ21" s="153"/>
      <c r="AMK21" s="153"/>
    </row>
    <row r="22" spans="1:1025" s="417" customFormat="1" ht="11.25" x14ac:dyDescent="0.2">
      <c r="A22" s="153"/>
      <c r="B22" s="336"/>
      <c r="C22" s="365" t="s">
        <v>842</v>
      </c>
      <c r="D22" s="387">
        <f>C26/D19</f>
        <v>1.0805187000860306</v>
      </c>
      <c r="E22" s="153"/>
      <c r="F22" s="388" t="s">
        <v>843</v>
      </c>
      <c r="G22" s="390">
        <f>I32+J32</f>
        <v>24228286.989999998</v>
      </c>
      <c r="H22" s="389"/>
      <c r="I22" s="339" t="s">
        <v>635</v>
      </c>
      <c r="J22" s="429">
        <f>D26</f>
        <v>13210047.109999999</v>
      </c>
      <c r="K22" s="388"/>
      <c r="L22" s="137">
        <f>SUM(J22:K22)</f>
        <v>13210047.109999999</v>
      </c>
      <c r="M22" s="153"/>
      <c r="N22" s="336"/>
      <c r="O22" s="337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  <c r="EC22" s="153"/>
      <c r="ED22" s="153"/>
      <c r="EE22" s="153"/>
      <c r="EF22" s="153"/>
      <c r="EG22" s="153"/>
      <c r="EH22" s="153"/>
      <c r="EI22" s="153"/>
      <c r="EJ22" s="153"/>
      <c r="EK22" s="153"/>
      <c r="EL22" s="153"/>
      <c r="EM22" s="153"/>
      <c r="EN22" s="153"/>
      <c r="EO22" s="153"/>
      <c r="EP22" s="153"/>
      <c r="EQ22" s="153"/>
      <c r="ER22" s="153"/>
      <c r="ES22" s="153"/>
      <c r="ET22" s="153"/>
      <c r="EU22" s="153"/>
      <c r="EV22" s="153"/>
      <c r="EW22" s="153"/>
      <c r="EX22" s="153"/>
      <c r="EY22" s="153"/>
      <c r="EZ22" s="153"/>
      <c r="FA22" s="153"/>
      <c r="FB22" s="153"/>
      <c r="FC22" s="153"/>
      <c r="FD22" s="153"/>
      <c r="FE22" s="153"/>
      <c r="FF22" s="153"/>
      <c r="FG22" s="153"/>
      <c r="FH22" s="153"/>
      <c r="FI22" s="153"/>
      <c r="FJ22" s="153"/>
      <c r="FK22" s="153"/>
      <c r="FL22" s="153"/>
      <c r="FM22" s="153"/>
      <c r="FN22" s="153"/>
      <c r="FO22" s="153"/>
      <c r="FP22" s="153"/>
      <c r="FQ22" s="153"/>
      <c r="FR22" s="153"/>
      <c r="FS22" s="153"/>
      <c r="FT22" s="153"/>
      <c r="FU22" s="153"/>
      <c r="FV22" s="153"/>
      <c r="FW22" s="153"/>
      <c r="FX22" s="153"/>
      <c r="FY22" s="153"/>
      <c r="FZ22" s="153"/>
      <c r="GA22" s="153"/>
      <c r="GB22" s="153"/>
      <c r="GC22" s="153"/>
      <c r="GD22" s="153"/>
      <c r="GE22" s="153"/>
      <c r="GF22" s="153"/>
      <c r="GG22" s="153"/>
      <c r="GH22" s="153"/>
      <c r="GI22" s="153"/>
      <c r="GJ22" s="153"/>
      <c r="GK22" s="153"/>
      <c r="GL22" s="153"/>
      <c r="GM22" s="153"/>
      <c r="GN22" s="153"/>
      <c r="GO22" s="153"/>
      <c r="GP22" s="153"/>
      <c r="GQ22" s="153"/>
      <c r="GR22" s="153"/>
      <c r="GS22" s="153"/>
      <c r="GT22" s="153"/>
      <c r="GU22" s="153"/>
      <c r="GV22" s="153"/>
      <c r="GW22" s="153"/>
      <c r="GX22" s="153"/>
      <c r="GY22" s="153"/>
      <c r="GZ22" s="153"/>
      <c r="HA22" s="153"/>
      <c r="HB22" s="153"/>
      <c r="HC22" s="153"/>
      <c r="HD22" s="153"/>
      <c r="HE22" s="153"/>
      <c r="HF22" s="153"/>
      <c r="HG22" s="153"/>
      <c r="HH22" s="153"/>
      <c r="HI22" s="153"/>
      <c r="HJ22" s="153"/>
      <c r="HK22" s="153"/>
      <c r="HL22" s="153"/>
      <c r="HM22" s="153"/>
      <c r="HN22" s="153"/>
      <c r="HO22" s="153"/>
      <c r="HP22" s="153"/>
      <c r="HQ22" s="153"/>
      <c r="HR22" s="153"/>
      <c r="HS22" s="153"/>
      <c r="HT22" s="153"/>
      <c r="HU22" s="153"/>
      <c r="HV22" s="153"/>
      <c r="HW22" s="153"/>
      <c r="HX22" s="153"/>
      <c r="HY22" s="153"/>
      <c r="HZ22" s="153"/>
      <c r="IA22" s="153"/>
      <c r="IB22" s="153"/>
      <c r="IC22" s="153"/>
      <c r="ID22" s="153"/>
      <c r="IE22" s="153"/>
      <c r="IF22" s="153"/>
      <c r="IG22" s="153"/>
      <c r="IH22" s="153"/>
      <c r="II22" s="153"/>
      <c r="IJ22" s="153"/>
      <c r="IK22" s="153"/>
      <c r="IL22" s="153"/>
      <c r="IM22" s="153"/>
      <c r="IN22" s="153"/>
      <c r="IO22" s="153"/>
      <c r="IP22" s="153"/>
      <c r="IQ22" s="153"/>
      <c r="IR22" s="153"/>
      <c r="IS22" s="153"/>
      <c r="IT22" s="153"/>
      <c r="IU22" s="153"/>
      <c r="IV22" s="153"/>
      <c r="IW22" s="153"/>
      <c r="IX22" s="153"/>
      <c r="IY22" s="153"/>
      <c r="IZ22" s="153"/>
      <c r="JA22" s="153"/>
      <c r="JB22" s="153"/>
      <c r="JC22" s="153"/>
      <c r="JD22" s="153"/>
      <c r="JE22" s="153"/>
      <c r="JF22" s="153"/>
      <c r="JG22" s="153"/>
      <c r="JH22" s="153"/>
      <c r="JI22" s="153"/>
      <c r="JJ22" s="153"/>
      <c r="JK22" s="153"/>
      <c r="JL22" s="153"/>
      <c r="JM22" s="153"/>
      <c r="JN22" s="153"/>
      <c r="JO22" s="153"/>
      <c r="JP22" s="153"/>
      <c r="JQ22" s="153"/>
      <c r="JR22" s="153"/>
      <c r="JS22" s="153"/>
      <c r="JT22" s="153"/>
      <c r="JU22" s="153"/>
      <c r="JV22" s="153"/>
      <c r="JW22" s="153"/>
      <c r="JX22" s="153"/>
      <c r="JY22" s="153"/>
      <c r="JZ22" s="153"/>
      <c r="KA22" s="153"/>
      <c r="KB22" s="153"/>
      <c r="KC22" s="153"/>
      <c r="KD22" s="153"/>
      <c r="KE22" s="153"/>
      <c r="KF22" s="153"/>
      <c r="KG22" s="153"/>
      <c r="KH22" s="153"/>
      <c r="KI22" s="153"/>
      <c r="KJ22" s="153"/>
      <c r="KK22" s="153"/>
      <c r="KL22" s="153"/>
      <c r="KM22" s="153"/>
      <c r="KN22" s="153"/>
      <c r="KO22" s="153"/>
      <c r="KP22" s="153"/>
      <c r="KQ22" s="153"/>
      <c r="KR22" s="153"/>
      <c r="KS22" s="153"/>
      <c r="KT22" s="153"/>
      <c r="KU22" s="153"/>
      <c r="KV22" s="153"/>
      <c r="KW22" s="153"/>
      <c r="KX22" s="153"/>
      <c r="KY22" s="153"/>
      <c r="KZ22" s="153"/>
      <c r="LA22" s="153"/>
      <c r="LB22" s="153"/>
      <c r="LC22" s="153"/>
      <c r="LD22" s="153"/>
      <c r="LE22" s="153"/>
      <c r="LF22" s="153"/>
      <c r="LG22" s="153"/>
      <c r="LH22" s="153"/>
      <c r="LI22" s="153"/>
      <c r="LJ22" s="153"/>
      <c r="LK22" s="153"/>
      <c r="LL22" s="153"/>
      <c r="LM22" s="153"/>
      <c r="LN22" s="153"/>
      <c r="LO22" s="153"/>
      <c r="LP22" s="153"/>
      <c r="LQ22" s="153"/>
      <c r="LR22" s="153"/>
      <c r="LS22" s="153"/>
      <c r="LT22" s="153"/>
      <c r="LU22" s="153"/>
      <c r="LV22" s="153"/>
      <c r="LW22" s="153"/>
      <c r="LX22" s="153"/>
      <c r="LY22" s="153"/>
      <c r="LZ22" s="153"/>
      <c r="MA22" s="153"/>
      <c r="MB22" s="153"/>
      <c r="MC22" s="153"/>
      <c r="MD22" s="153"/>
      <c r="ME22" s="153"/>
      <c r="MF22" s="153"/>
      <c r="MG22" s="153"/>
      <c r="MH22" s="153"/>
      <c r="MI22" s="153"/>
      <c r="MJ22" s="153"/>
      <c r="MK22" s="153"/>
      <c r="ML22" s="153"/>
      <c r="MM22" s="153"/>
      <c r="MN22" s="153"/>
      <c r="MO22" s="153"/>
      <c r="MP22" s="153"/>
      <c r="MQ22" s="153"/>
      <c r="MR22" s="153"/>
      <c r="MS22" s="153"/>
      <c r="MT22" s="153"/>
      <c r="MU22" s="153"/>
      <c r="MV22" s="153"/>
      <c r="MW22" s="153"/>
      <c r="MX22" s="153"/>
      <c r="MY22" s="153"/>
      <c r="MZ22" s="153"/>
      <c r="NA22" s="153"/>
      <c r="NB22" s="153"/>
      <c r="NC22" s="153"/>
      <c r="ND22" s="153"/>
      <c r="NE22" s="153"/>
      <c r="NF22" s="153"/>
      <c r="NG22" s="153"/>
      <c r="NH22" s="153"/>
      <c r="NI22" s="153"/>
      <c r="NJ22" s="153"/>
      <c r="NK22" s="153"/>
      <c r="NL22" s="153"/>
      <c r="NM22" s="153"/>
      <c r="NN22" s="153"/>
      <c r="NO22" s="153"/>
      <c r="NP22" s="153"/>
      <c r="NQ22" s="153"/>
      <c r="NR22" s="153"/>
      <c r="NS22" s="153"/>
      <c r="NT22" s="153"/>
      <c r="NU22" s="153"/>
      <c r="NV22" s="153"/>
      <c r="NW22" s="153"/>
      <c r="NX22" s="153"/>
      <c r="NY22" s="153"/>
      <c r="NZ22" s="153"/>
      <c r="OA22" s="153"/>
      <c r="OB22" s="153"/>
      <c r="OC22" s="153"/>
      <c r="OD22" s="153"/>
      <c r="OE22" s="153"/>
      <c r="OF22" s="153"/>
      <c r="OG22" s="153"/>
      <c r="OH22" s="153"/>
      <c r="OI22" s="153"/>
      <c r="OJ22" s="153"/>
      <c r="OK22" s="153"/>
      <c r="OL22" s="153"/>
      <c r="OM22" s="153"/>
      <c r="ON22" s="153"/>
      <c r="OO22" s="153"/>
      <c r="OP22" s="153"/>
      <c r="OQ22" s="153"/>
      <c r="OR22" s="153"/>
      <c r="OS22" s="153"/>
      <c r="OT22" s="153"/>
      <c r="OU22" s="153"/>
      <c r="OV22" s="153"/>
      <c r="OW22" s="153"/>
      <c r="OX22" s="153"/>
      <c r="OY22" s="153"/>
      <c r="OZ22" s="153"/>
      <c r="PA22" s="153"/>
      <c r="PB22" s="153"/>
      <c r="PC22" s="153"/>
      <c r="PD22" s="153"/>
      <c r="PE22" s="153"/>
      <c r="PF22" s="153"/>
      <c r="PG22" s="153"/>
      <c r="PH22" s="153"/>
      <c r="PI22" s="153"/>
      <c r="PJ22" s="153"/>
      <c r="PK22" s="153"/>
      <c r="PL22" s="153"/>
      <c r="PM22" s="153"/>
      <c r="PN22" s="153"/>
      <c r="PO22" s="153"/>
      <c r="PP22" s="153"/>
      <c r="PQ22" s="153"/>
      <c r="PR22" s="153"/>
      <c r="PS22" s="153"/>
      <c r="PT22" s="153"/>
      <c r="PU22" s="153"/>
      <c r="PV22" s="153"/>
      <c r="PW22" s="153"/>
      <c r="PX22" s="153"/>
      <c r="PY22" s="153"/>
      <c r="PZ22" s="153"/>
      <c r="QA22" s="153"/>
      <c r="QB22" s="153"/>
      <c r="QC22" s="153"/>
      <c r="QD22" s="153"/>
      <c r="QE22" s="153"/>
      <c r="QF22" s="153"/>
      <c r="QG22" s="153"/>
      <c r="QH22" s="153"/>
      <c r="QI22" s="153"/>
      <c r="QJ22" s="153"/>
      <c r="QK22" s="153"/>
      <c r="QL22" s="153"/>
      <c r="QM22" s="153"/>
      <c r="QN22" s="153"/>
      <c r="QO22" s="153"/>
      <c r="QP22" s="153"/>
      <c r="QQ22" s="153"/>
      <c r="QR22" s="153"/>
      <c r="QS22" s="153"/>
      <c r="QT22" s="153"/>
      <c r="QU22" s="153"/>
      <c r="QV22" s="153"/>
      <c r="QW22" s="153"/>
      <c r="QX22" s="153"/>
      <c r="QY22" s="153"/>
      <c r="QZ22" s="153"/>
      <c r="RA22" s="153"/>
      <c r="RB22" s="153"/>
      <c r="RC22" s="153"/>
      <c r="RD22" s="153"/>
      <c r="RE22" s="153"/>
      <c r="RF22" s="153"/>
      <c r="RG22" s="153"/>
      <c r="RH22" s="153"/>
      <c r="RI22" s="153"/>
      <c r="RJ22" s="153"/>
      <c r="RK22" s="153"/>
      <c r="RL22" s="153"/>
      <c r="RM22" s="153"/>
      <c r="RN22" s="153"/>
      <c r="RO22" s="153"/>
      <c r="RP22" s="153"/>
      <c r="RQ22" s="153"/>
      <c r="RR22" s="153"/>
      <c r="RS22" s="153"/>
      <c r="RT22" s="153"/>
      <c r="RU22" s="153"/>
      <c r="RV22" s="153"/>
      <c r="RW22" s="153"/>
      <c r="RX22" s="153"/>
      <c r="RY22" s="153"/>
      <c r="RZ22" s="153"/>
      <c r="SA22" s="153"/>
      <c r="SB22" s="153"/>
      <c r="SC22" s="153"/>
      <c r="SD22" s="153"/>
      <c r="SE22" s="153"/>
      <c r="SF22" s="153"/>
      <c r="SG22" s="153"/>
      <c r="SH22" s="153"/>
      <c r="SI22" s="153"/>
      <c r="SJ22" s="153"/>
      <c r="SK22" s="153"/>
      <c r="SL22" s="153"/>
      <c r="SM22" s="153"/>
      <c r="SN22" s="153"/>
      <c r="SO22" s="153"/>
      <c r="SP22" s="153"/>
      <c r="SQ22" s="153"/>
      <c r="SR22" s="153"/>
      <c r="SS22" s="153"/>
      <c r="ST22" s="153"/>
      <c r="SU22" s="153"/>
      <c r="SV22" s="153"/>
      <c r="SW22" s="153"/>
      <c r="SX22" s="153"/>
      <c r="SY22" s="153"/>
      <c r="SZ22" s="153"/>
      <c r="TA22" s="153"/>
      <c r="TB22" s="153"/>
      <c r="TC22" s="153"/>
      <c r="TD22" s="153"/>
      <c r="TE22" s="153"/>
      <c r="TF22" s="153"/>
      <c r="TG22" s="153"/>
      <c r="TH22" s="153"/>
      <c r="TI22" s="153"/>
      <c r="TJ22" s="153"/>
      <c r="TK22" s="153"/>
      <c r="TL22" s="153"/>
      <c r="TM22" s="153"/>
      <c r="TN22" s="153"/>
      <c r="TO22" s="153"/>
      <c r="TP22" s="153"/>
      <c r="TQ22" s="153"/>
      <c r="TR22" s="153"/>
      <c r="TS22" s="153"/>
      <c r="TT22" s="153"/>
      <c r="TU22" s="153"/>
      <c r="TV22" s="153"/>
      <c r="TW22" s="153"/>
      <c r="TX22" s="153"/>
      <c r="TY22" s="153"/>
      <c r="TZ22" s="153"/>
      <c r="UA22" s="153"/>
      <c r="UB22" s="153"/>
      <c r="UC22" s="153"/>
      <c r="UD22" s="153"/>
      <c r="UE22" s="153"/>
      <c r="UF22" s="153"/>
      <c r="UG22" s="153"/>
      <c r="UH22" s="153"/>
      <c r="UI22" s="153"/>
      <c r="UJ22" s="153"/>
      <c r="UK22" s="153"/>
      <c r="UL22" s="153"/>
      <c r="UM22" s="153"/>
      <c r="UN22" s="153"/>
      <c r="UO22" s="153"/>
      <c r="UP22" s="153"/>
      <c r="UQ22" s="153"/>
      <c r="UR22" s="153"/>
      <c r="US22" s="153"/>
      <c r="UT22" s="153"/>
      <c r="UU22" s="153"/>
      <c r="UV22" s="153"/>
      <c r="UW22" s="153"/>
      <c r="UX22" s="153"/>
      <c r="UY22" s="153"/>
      <c r="UZ22" s="153"/>
      <c r="VA22" s="153"/>
      <c r="VB22" s="153"/>
      <c r="VC22" s="153"/>
      <c r="VD22" s="153"/>
      <c r="VE22" s="153"/>
      <c r="VF22" s="153"/>
      <c r="VG22" s="153"/>
      <c r="VH22" s="153"/>
      <c r="VI22" s="153"/>
      <c r="VJ22" s="153"/>
      <c r="VK22" s="153"/>
      <c r="VL22" s="153"/>
      <c r="VM22" s="153"/>
      <c r="VN22" s="153"/>
      <c r="VO22" s="153"/>
      <c r="VP22" s="153"/>
      <c r="VQ22" s="153"/>
      <c r="VR22" s="153"/>
      <c r="VS22" s="153"/>
      <c r="VT22" s="153"/>
      <c r="VU22" s="153"/>
      <c r="VV22" s="153"/>
      <c r="VW22" s="153"/>
      <c r="VX22" s="153"/>
      <c r="VY22" s="153"/>
      <c r="VZ22" s="153"/>
      <c r="WA22" s="153"/>
      <c r="WB22" s="153"/>
      <c r="WC22" s="153"/>
      <c r="WD22" s="153"/>
      <c r="WE22" s="153"/>
      <c r="WF22" s="153"/>
      <c r="WG22" s="153"/>
      <c r="WH22" s="153"/>
      <c r="WI22" s="153"/>
      <c r="WJ22" s="153"/>
      <c r="WK22" s="153"/>
      <c r="WL22" s="153"/>
      <c r="WM22" s="153"/>
      <c r="WN22" s="153"/>
      <c r="WO22" s="153"/>
      <c r="WP22" s="153"/>
      <c r="WQ22" s="153"/>
      <c r="WR22" s="153"/>
      <c r="WS22" s="153"/>
      <c r="WT22" s="153"/>
      <c r="WU22" s="153"/>
      <c r="WV22" s="153"/>
      <c r="WW22" s="153"/>
      <c r="WX22" s="153"/>
      <c r="WY22" s="153"/>
      <c r="WZ22" s="153"/>
      <c r="XA22" s="153"/>
      <c r="XB22" s="153"/>
      <c r="XC22" s="153"/>
      <c r="XD22" s="153"/>
      <c r="XE22" s="153"/>
      <c r="XF22" s="153"/>
      <c r="XG22" s="153"/>
      <c r="XH22" s="153"/>
      <c r="XI22" s="153"/>
      <c r="XJ22" s="153"/>
      <c r="XK22" s="153"/>
      <c r="XL22" s="153"/>
      <c r="XM22" s="153"/>
      <c r="XN22" s="153"/>
      <c r="XO22" s="153"/>
      <c r="XP22" s="153"/>
      <c r="XQ22" s="153"/>
      <c r="XR22" s="153"/>
      <c r="XS22" s="153"/>
      <c r="XT22" s="153"/>
      <c r="XU22" s="153"/>
      <c r="XV22" s="153"/>
      <c r="XW22" s="153"/>
      <c r="XX22" s="153"/>
      <c r="XY22" s="153"/>
      <c r="XZ22" s="153"/>
      <c r="YA22" s="153"/>
      <c r="YB22" s="153"/>
      <c r="YC22" s="153"/>
      <c r="YD22" s="153"/>
      <c r="YE22" s="153"/>
      <c r="YF22" s="153"/>
      <c r="YG22" s="153"/>
      <c r="YH22" s="153"/>
      <c r="YI22" s="153"/>
      <c r="YJ22" s="153"/>
      <c r="YK22" s="153"/>
      <c r="YL22" s="153"/>
      <c r="YM22" s="153"/>
      <c r="YN22" s="153"/>
      <c r="YO22" s="153"/>
      <c r="YP22" s="153"/>
      <c r="YQ22" s="153"/>
      <c r="YR22" s="153"/>
      <c r="YS22" s="153"/>
      <c r="YT22" s="153"/>
      <c r="YU22" s="153"/>
      <c r="YV22" s="153"/>
      <c r="YW22" s="153"/>
      <c r="YX22" s="153"/>
      <c r="YY22" s="153"/>
      <c r="YZ22" s="153"/>
      <c r="ZA22" s="153"/>
      <c r="ZB22" s="153"/>
      <c r="ZC22" s="153"/>
      <c r="ZD22" s="153"/>
      <c r="ZE22" s="153"/>
      <c r="ZF22" s="153"/>
      <c r="ZG22" s="153"/>
      <c r="ZH22" s="153"/>
      <c r="ZI22" s="153"/>
      <c r="ZJ22" s="153"/>
      <c r="ZK22" s="153"/>
      <c r="ZL22" s="153"/>
      <c r="ZM22" s="153"/>
      <c r="ZN22" s="153"/>
      <c r="ZO22" s="153"/>
      <c r="ZP22" s="153"/>
      <c r="ZQ22" s="153"/>
      <c r="ZR22" s="153"/>
      <c r="ZS22" s="153"/>
      <c r="ZT22" s="153"/>
      <c r="ZU22" s="153"/>
      <c r="ZV22" s="153"/>
      <c r="ZW22" s="153"/>
      <c r="ZX22" s="153"/>
      <c r="ZY22" s="153"/>
      <c r="ZZ22" s="153"/>
      <c r="AAA22" s="153"/>
      <c r="AAB22" s="153"/>
      <c r="AAC22" s="153"/>
      <c r="AAD22" s="153"/>
      <c r="AAE22" s="153"/>
      <c r="AAF22" s="153"/>
      <c r="AAG22" s="153"/>
      <c r="AAH22" s="153"/>
      <c r="AAI22" s="153"/>
      <c r="AAJ22" s="153"/>
      <c r="AAK22" s="153"/>
      <c r="AAL22" s="153"/>
      <c r="AAM22" s="153"/>
      <c r="AAN22" s="153"/>
      <c r="AAO22" s="153"/>
      <c r="AAP22" s="153"/>
      <c r="AAQ22" s="153"/>
      <c r="AAR22" s="153"/>
      <c r="AAS22" s="153"/>
      <c r="AAT22" s="153"/>
      <c r="AAU22" s="153"/>
      <c r="AAV22" s="153"/>
      <c r="AAW22" s="153"/>
      <c r="AAX22" s="153"/>
      <c r="AAY22" s="153"/>
      <c r="AAZ22" s="153"/>
      <c r="ABA22" s="153"/>
      <c r="ABB22" s="153"/>
      <c r="ABC22" s="153"/>
      <c r="ABD22" s="153"/>
      <c r="ABE22" s="153"/>
      <c r="ABF22" s="153"/>
      <c r="ABG22" s="153"/>
      <c r="ABH22" s="153"/>
      <c r="ABI22" s="153"/>
      <c r="ABJ22" s="153"/>
      <c r="ABK22" s="153"/>
      <c r="ABL22" s="153"/>
      <c r="ABM22" s="153"/>
      <c r="ABN22" s="153"/>
      <c r="ABO22" s="153"/>
      <c r="ABP22" s="153"/>
      <c r="ABQ22" s="153"/>
      <c r="ABR22" s="153"/>
      <c r="ABS22" s="153"/>
      <c r="ABT22" s="153"/>
      <c r="ABU22" s="153"/>
      <c r="ABV22" s="153"/>
      <c r="ABW22" s="153"/>
      <c r="ABX22" s="153"/>
      <c r="ABY22" s="153"/>
      <c r="ABZ22" s="153"/>
      <c r="ACA22" s="153"/>
      <c r="ACB22" s="153"/>
      <c r="ACC22" s="153"/>
      <c r="ACD22" s="153"/>
      <c r="ACE22" s="153"/>
      <c r="ACF22" s="153"/>
      <c r="ACG22" s="153"/>
      <c r="ACH22" s="153"/>
      <c r="ACI22" s="153"/>
      <c r="ACJ22" s="153"/>
      <c r="ACK22" s="153"/>
      <c r="ACL22" s="153"/>
      <c r="ACM22" s="153"/>
      <c r="ACN22" s="153"/>
      <c r="ACO22" s="153"/>
      <c r="ACP22" s="153"/>
      <c r="ACQ22" s="153"/>
      <c r="ACR22" s="153"/>
      <c r="ACS22" s="153"/>
      <c r="ACT22" s="153"/>
      <c r="ACU22" s="153"/>
      <c r="ACV22" s="153"/>
      <c r="ACW22" s="153"/>
      <c r="ACX22" s="153"/>
      <c r="ACY22" s="153"/>
      <c r="ACZ22" s="153"/>
      <c r="ADA22" s="153"/>
      <c r="ADB22" s="153"/>
      <c r="ADC22" s="153"/>
      <c r="ADD22" s="153"/>
      <c r="ADE22" s="153"/>
      <c r="ADF22" s="153"/>
      <c r="ADG22" s="153"/>
      <c r="ADH22" s="153"/>
      <c r="ADI22" s="153"/>
      <c r="ADJ22" s="153"/>
      <c r="ADK22" s="153"/>
      <c r="ADL22" s="153"/>
      <c r="ADM22" s="153"/>
      <c r="ADN22" s="153"/>
      <c r="ADO22" s="153"/>
      <c r="ADP22" s="153"/>
      <c r="ADQ22" s="153"/>
      <c r="ADR22" s="153"/>
      <c r="ADS22" s="153"/>
      <c r="ADT22" s="153"/>
      <c r="ADU22" s="153"/>
      <c r="ADV22" s="153"/>
      <c r="ADW22" s="153"/>
      <c r="ADX22" s="153"/>
      <c r="ADY22" s="153"/>
      <c r="ADZ22" s="153"/>
      <c r="AEA22" s="153"/>
      <c r="AEB22" s="153"/>
      <c r="AEC22" s="153"/>
      <c r="AED22" s="153"/>
      <c r="AEE22" s="153"/>
      <c r="AEF22" s="153"/>
      <c r="AEG22" s="153"/>
      <c r="AEH22" s="153"/>
      <c r="AEI22" s="153"/>
      <c r="AEJ22" s="153"/>
      <c r="AEK22" s="153"/>
      <c r="AEL22" s="153"/>
      <c r="AEM22" s="153"/>
      <c r="AEN22" s="153"/>
      <c r="AEO22" s="153"/>
      <c r="AEP22" s="153"/>
      <c r="AEQ22" s="153"/>
      <c r="AER22" s="153"/>
      <c r="AES22" s="153"/>
      <c r="AET22" s="153"/>
      <c r="AEU22" s="153"/>
      <c r="AEV22" s="153"/>
      <c r="AEW22" s="153"/>
      <c r="AEX22" s="153"/>
      <c r="AEY22" s="153"/>
      <c r="AEZ22" s="153"/>
      <c r="AFA22" s="153"/>
      <c r="AFB22" s="153"/>
      <c r="AFC22" s="153"/>
      <c r="AFD22" s="153"/>
      <c r="AFE22" s="153"/>
      <c r="AFF22" s="153"/>
      <c r="AFG22" s="153"/>
      <c r="AFH22" s="153"/>
      <c r="AFI22" s="153"/>
      <c r="AFJ22" s="153"/>
      <c r="AFK22" s="153"/>
      <c r="AFL22" s="153"/>
      <c r="AFM22" s="153"/>
      <c r="AFN22" s="153"/>
      <c r="AFO22" s="153"/>
      <c r="AFP22" s="153"/>
      <c r="AFQ22" s="153"/>
      <c r="AFR22" s="153"/>
      <c r="AFS22" s="153"/>
      <c r="AFT22" s="153"/>
      <c r="AFU22" s="153"/>
      <c r="AFV22" s="153"/>
      <c r="AFW22" s="153"/>
      <c r="AFX22" s="153"/>
      <c r="AFY22" s="153"/>
      <c r="AFZ22" s="153"/>
      <c r="AGA22" s="153"/>
      <c r="AGB22" s="153"/>
      <c r="AGC22" s="153"/>
      <c r="AGD22" s="153"/>
      <c r="AGE22" s="153"/>
      <c r="AGF22" s="153"/>
      <c r="AGG22" s="153"/>
      <c r="AGH22" s="153"/>
      <c r="AGI22" s="153"/>
      <c r="AGJ22" s="153"/>
      <c r="AGK22" s="153"/>
      <c r="AGL22" s="153"/>
      <c r="AGM22" s="153"/>
      <c r="AGN22" s="153"/>
      <c r="AGO22" s="153"/>
      <c r="AGP22" s="153"/>
      <c r="AGQ22" s="153"/>
      <c r="AGR22" s="153"/>
      <c r="AGS22" s="153"/>
      <c r="AGT22" s="153"/>
      <c r="AGU22" s="153"/>
      <c r="AGV22" s="153"/>
      <c r="AGW22" s="153"/>
      <c r="AGX22" s="153"/>
      <c r="AGY22" s="153"/>
      <c r="AGZ22" s="153"/>
      <c r="AHA22" s="153"/>
      <c r="AHB22" s="153"/>
      <c r="AHC22" s="153"/>
      <c r="AHD22" s="153"/>
      <c r="AHE22" s="153"/>
      <c r="AHF22" s="153"/>
      <c r="AHG22" s="153"/>
      <c r="AHH22" s="153"/>
      <c r="AHI22" s="153"/>
      <c r="AHJ22" s="153"/>
      <c r="AHK22" s="153"/>
      <c r="AHL22" s="153"/>
      <c r="AHM22" s="153"/>
      <c r="AHN22" s="153"/>
      <c r="AHO22" s="153"/>
      <c r="AHP22" s="153"/>
      <c r="AHQ22" s="153"/>
      <c r="AHR22" s="153"/>
      <c r="AHS22" s="153"/>
      <c r="AHT22" s="153"/>
      <c r="AHU22" s="153"/>
      <c r="AHV22" s="153"/>
      <c r="AHW22" s="153"/>
      <c r="AHX22" s="153"/>
      <c r="AHY22" s="153"/>
      <c r="AHZ22" s="153"/>
      <c r="AIA22" s="153"/>
      <c r="AIB22" s="153"/>
      <c r="AIC22" s="153"/>
      <c r="AID22" s="153"/>
      <c r="AIE22" s="153"/>
      <c r="AIF22" s="153"/>
      <c r="AIG22" s="153"/>
      <c r="AIH22" s="153"/>
      <c r="AII22" s="153"/>
      <c r="AIJ22" s="153"/>
      <c r="AIK22" s="153"/>
      <c r="AIL22" s="153"/>
      <c r="AIM22" s="153"/>
      <c r="AIN22" s="153"/>
      <c r="AIO22" s="153"/>
      <c r="AIP22" s="153"/>
      <c r="AIQ22" s="153"/>
      <c r="AIR22" s="153"/>
      <c r="AIS22" s="153"/>
      <c r="AIT22" s="153"/>
      <c r="AIU22" s="153"/>
      <c r="AIV22" s="153"/>
      <c r="AIW22" s="153"/>
      <c r="AIX22" s="153"/>
      <c r="AIY22" s="153"/>
      <c r="AIZ22" s="153"/>
      <c r="AJA22" s="153"/>
      <c r="AJB22" s="153"/>
      <c r="AJC22" s="153"/>
      <c r="AJD22" s="153"/>
      <c r="AJE22" s="153"/>
      <c r="AJF22" s="153"/>
      <c r="AJG22" s="153"/>
      <c r="AJH22" s="153"/>
      <c r="AJI22" s="153"/>
      <c r="AJJ22" s="153"/>
      <c r="AJK22" s="153"/>
      <c r="AJL22" s="153"/>
      <c r="AJM22" s="153"/>
      <c r="AJN22" s="153"/>
      <c r="AJO22" s="153"/>
      <c r="AJP22" s="153"/>
      <c r="AJQ22" s="153"/>
      <c r="AJR22" s="153"/>
      <c r="AJS22" s="153"/>
      <c r="AJT22" s="153"/>
      <c r="AJU22" s="153"/>
      <c r="AJV22" s="153"/>
      <c r="AJW22" s="153"/>
      <c r="AJX22" s="153"/>
      <c r="AJY22" s="153"/>
      <c r="AJZ22" s="153"/>
      <c r="AKA22" s="153"/>
      <c r="AKB22" s="153"/>
      <c r="AKC22" s="153"/>
      <c r="AKD22" s="153"/>
      <c r="AKE22" s="153"/>
      <c r="AKF22" s="153"/>
      <c r="AKG22" s="153"/>
      <c r="AKH22" s="153"/>
      <c r="AKI22" s="153"/>
      <c r="AKJ22" s="153"/>
      <c r="AKK22" s="153"/>
      <c r="AKL22" s="153"/>
      <c r="AKM22" s="153"/>
      <c r="AKN22" s="153"/>
      <c r="AKO22" s="153"/>
      <c r="AKP22" s="153"/>
      <c r="AKQ22" s="153"/>
      <c r="AKR22" s="153"/>
      <c r="AKS22" s="153"/>
      <c r="AKT22" s="153"/>
      <c r="AKU22" s="153"/>
      <c r="AKV22" s="153"/>
      <c r="AKW22" s="153"/>
      <c r="AKX22" s="153"/>
      <c r="AKY22" s="153"/>
      <c r="AKZ22" s="153"/>
      <c r="ALA22" s="153"/>
      <c r="ALB22" s="153"/>
      <c r="ALC22" s="153"/>
      <c r="ALD22" s="153"/>
      <c r="ALE22" s="153"/>
      <c r="ALF22" s="153"/>
      <c r="ALG22" s="153"/>
      <c r="ALH22" s="153"/>
      <c r="ALI22" s="153"/>
      <c r="ALJ22" s="153"/>
      <c r="ALK22" s="153"/>
      <c r="ALL22" s="153"/>
      <c r="ALM22" s="153"/>
      <c r="ALN22" s="153"/>
      <c r="ALO22" s="153"/>
      <c r="ALP22" s="153"/>
      <c r="ALQ22" s="153"/>
      <c r="ALR22" s="153"/>
      <c r="ALS22" s="153"/>
      <c r="ALT22" s="153"/>
      <c r="ALU22" s="153"/>
      <c r="ALV22" s="153"/>
      <c r="ALW22" s="153"/>
      <c r="ALX22" s="153"/>
      <c r="ALY22" s="153"/>
      <c r="ALZ22" s="153"/>
      <c r="AMA22" s="153"/>
      <c r="AMB22" s="153"/>
      <c r="AMC22" s="153"/>
      <c r="AMD22" s="153"/>
      <c r="AME22" s="153"/>
      <c r="AMF22" s="153"/>
      <c r="AMG22" s="153"/>
      <c r="AMH22" s="153"/>
      <c r="AMI22" s="153"/>
      <c r="AMJ22" s="153"/>
      <c r="AMK22" s="153"/>
    </row>
    <row r="23" spans="1:1025" s="417" customFormat="1" ht="11.25" x14ac:dyDescent="0.2">
      <c r="A23" s="337"/>
      <c r="B23" s="366"/>
      <c r="C23" s="153"/>
      <c r="D23" s="336"/>
      <c r="E23" s="153"/>
      <c r="F23" s="388" t="s">
        <v>844</v>
      </c>
      <c r="G23" s="390">
        <f>D19+I20</f>
        <v>8084379.9300000016</v>
      </c>
      <c r="H23" s="337"/>
      <c r="I23" s="391" t="s">
        <v>845</v>
      </c>
      <c r="J23" s="388"/>
      <c r="K23" s="388"/>
      <c r="L23" s="388">
        <f>SUM(J23:K23)</f>
        <v>0</v>
      </c>
      <c r="M23" s="153"/>
      <c r="N23" s="336"/>
      <c r="O23" s="337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3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53"/>
      <c r="DF23" s="153"/>
      <c r="DG23" s="153"/>
      <c r="DH23" s="153"/>
      <c r="DI23" s="153"/>
      <c r="DJ23" s="153"/>
      <c r="DK23" s="153"/>
      <c r="DL23" s="153"/>
      <c r="DM23" s="153"/>
      <c r="DN23" s="153"/>
      <c r="DO23" s="153"/>
      <c r="DP23" s="153"/>
      <c r="DQ23" s="153"/>
      <c r="DR23" s="153"/>
      <c r="DS23" s="153"/>
      <c r="DT23" s="153"/>
      <c r="DU23" s="153"/>
      <c r="DV23" s="153"/>
      <c r="DW23" s="153"/>
      <c r="DX23" s="153"/>
      <c r="DY23" s="153"/>
      <c r="DZ23" s="153"/>
      <c r="EA23" s="153"/>
      <c r="EB23" s="153"/>
      <c r="EC23" s="153"/>
      <c r="ED23" s="153"/>
      <c r="EE23" s="153"/>
      <c r="EF23" s="153"/>
      <c r="EG23" s="153"/>
      <c r="EH23" s="153"/>
      <c r="EI23" s="153"/>
      <c r="EJ23" s="153"/>
      <c r="EK23" s="153"/>
      <c r="EL23" s="153"/>
      <c r="EM23" s="153"/>
      <c r="EN23" s="153"/>
      <c r="EO23" s="153"/>
      <c r="EP23" s="153"/>
      <c r="EQ23" s="153"/>
      <c r="ER23" s="153"/>
      <c r="ES23" s="153"/>
      <c r="ET23" s="153"/>
      <c r="EU23" s="153"/>
      <c r="EV23" s="153"/>
      <c r="EW23" s="153"/>
      <c r="EX23" s="153"/>
      <c r="EY23" s="153"/>
      <c r="EZ23" s="153"/>
      <c r="FA23" s="153"/>
      <c r="FB23" s="153"/>
      <c r="FC23" s="153"/>
      <c r="FD23" s="153"/>
      <c r="FE23" s="153"/>
      <c r="FF23" s="153"/>
      <c r="FG23" s="153"/>
      <c r="FH23" s="153"/>
      <c r="FI23" s="153"/>
      <c r="FJ23" s="153"/>
      <c r="FK23" s="153"/>
      <c r="FL23" s="153"/>
      <c r="FM23" s="153"/>
      <c r="FN23" s="153"/>
      <c r="FO23" s="153"/>
      <c r="FP23" s="153"/>
      <c r="FQ23" s="153"/>
      <c r="FR23" s="153"/>
      <c r="FS23" s="153"/>
      <c r="FT23" s="153"/>
      <c r="FU23" s="153"/>
      <c r="FV23" s="153"/>
      <c r="FW23" s="153"/>
      <c r="FX23" s="153"/>
      <c r="FY23" s="153"/>
      <c r="FZ23" s="153"/>
      <c r="GA23" s="153"/>
      <c r="GB23" s="153"/>
      <c r="GC23" s="153"/>
      <c r="GD23" s="153"/>
      <c r="GE23" s="153"/>
      <c r="GF23" s="153"/>
      <c r="GG23" s="153"/>
      <c r="GH23" s="153"/>
      <c r="GI23" s="153"/>
      <c r="GJ23" s="153"/>
      <c r="GK23" s="153"/>
      <c r="GL23" s="153"/>
      <c r="GM23" s="153"/>
      <c r="GN23" s="153"/>
      <c r="GO23" s="153"/>
      <c r="GP23" s="153"/>
      <c r="GQ23" s="153"/>
      <c r="GR23" s="153"/>
      <c r="GS23" s="153"/>
      <c r="GT23" s="153"/>
      <c r="GU23" s="153"/>
      <c r="GV23" s="153"/>
      <c r="GW23" s="153"/>
      <c r="GX23" s="153"/>
      <c r="GY23" s="153"/>
      <c r="GZ23" s="153"/>
      <c r="HA23" s="153"/>
      <c r="HB23" s="153"/>
      <c r="HC23" s="153"/>
      <c r="HD23" s="153"/>
      <c r="HE23" s="153"/>
      <c r="HF23" s="153"/>
      <c r="HG23" s="153"/>
      <c r="HH23" s="153"/>
      <c r="HI23" s="153"/>
      <c r="HJ23" s="153"/>
      <c r="HK23" s="153"/>
      <c r="HL23" s="153"/>
      <c r="HM23" s="153"/>
      <c r="HN23" s="153"/>
      <c r="HO23" s="153"/>
      <c r="HP23" s="153"/>
      <c r="HQ23" s="153"/>
      <c r="HR23" s="153"/>
      <c r="HS23" s="153"/>
      <c r="HT23" s="153"/>
      <c r="HU23" s="153"/>
      <c r="HV23" s="153"/>
      <c r="HW23" s="153"/>
      <c r="HX23" s="153"/>
      <c r="HY23" s="153"/>
      <c r="HZ23" s="153"/>
      <c r="IA23" s="153"/>
      <c r="IB23" s="153"/>
      <c r="IC23" s="153"/>
      <c r="ID23" s="153"/>
      <c r="IE23" s="153"/>
      <c r="IF23" s="153"/>
      <c r="IG23" s="153"/>
      <c r="IH23" s="153"/>
      <c r="II23" s="153"/>
      <c r="IJ23" s="153"/>
      <c r="IK23" s="153"/>
      <c r="IL23" s="153"/>
      <c r="IM23" s="153"/>
      <c r="IN23" s="153"/>
      <c r="IO23" s="153"/>
      <c r="IP23" s="153"/>
      <c r="IQ23" s="153"/>
      <c r="IR23" s="153"/>
      <c r="IS23" s="153"/>
      <c r="IT23" s="153"/>
      <c r="IU23" s="153"/>
      <c r="IV23" s="153"/>
      <c r="IW23" s="153"/>
      <c r="IX23" s="153"/>
      <c r="IY23" s="153"/>
      <c r="IZ23" s="153"/>
      <c r="JA23" s="153"/>
      <c r="JB23" s="153"/>
      <c r="JC23" s="153"/>
      <c r="JD23" s="153"/>
      <c r="JE23" s="153"/>
      <c r="JF23" s="153"/>
      <c r="JG23" s="153"/>
      <c r="JH23" s="153"/>
      <c r="JI23" s="153"/>
      <c r="JJ23" s="153"/>
      <c r="JK23" s="153"/>
      <c r="JL23" s="153"/>
      <c r="JM23" s="153"/>
      <c r="JN23" s="153"/>
      <c r="JO23" s="153"/>
      <c r="JP23" s="153"/>
      <c r="JQ23" s="153"/>
      <c r="JR23" s="153"/>
      <c r="JS23" s="153"/>
      <c r="JT23" s="153"/>
      <c r="JU23" s="153"/>
      <c r="JV23" s="153"/>
      <c r="JW23" s="153"/>
      <c r="JX23" s="153"/>
      <c r="JY23" s="153"/>
      <c r="JZ23" s="153"/>
      <c r="KA23" s="153"/>
      <c r="KB23" s="153"/>
      <c r="KC23" s="153"/>
      <c r="KD23" s="153"/>
      <c r="KE23" s="153"/>
      <c r="KF23" s="153"/>
      <c r="KG23" s="153"/>
      <c r="KH23" s="153"/>
      <c r="KI23" s="153"/>
      <c r="KJ23" s="153"/>
      <c r="KK23" s="153"/>
      <c r="KL23" s="153"/>
      <c r="KM23" s="153"/>
      <c r="KN23" s="153"/>
      <c r="KO23" s="153"/>
      <c r="KP23" s="153"/>
      <c r="KQ23" s="153"/>
      <c r="KR23" s="153"/>
      <c r="KS23" s="153"/>
      <c r="KT23" s="153"/>
      <c r="KU23" s="153"/>
      <c r="KV23" s="153"/>
      <c r="KW23" s="153"/>
      <c r="KX23" s="153"/>
      <c r="KY23" s="153"/>
      <c r="KZ23" s="153"/>
      <c r="LA23" s="153"/>
      <c r="LB23" s="153"/>
      <c r="LC23" s="153"/>
      <c r="LD23" s="153"/>
      <c r="LE23" s="153"/>
      <c r="LF23" s="153"/>
      <c r="LG23" s="153"/>
      <c r="LH23" s="153"/>
      <c r="LI23" s="153"/>
      <c r="LJ23" s="153"/>
      <c r="LK23" s="153"/>
      <c r="LL23" s="153"/>
      <c r="LM23" s="153"/>
      <c r="LN23" s="153"/>
      <c r="LO23" s="153"/>
      <c r="LP23" s="153"/>
      <c r="LQ23" s="153"/>
      <c r="LR23" s="153"/>
      <c r="LS23" s="153"/>
      <c r="LT23" s="153"/>
      <c r="LU23" s="153"/>
      <c r="LV23" s="153"/>
      <c r="LW23" s="153"/>
      <c r="LX23" s="153"/>
      <c r="LY23" s="153"/>
      <c r="LZ23" s="153"/>
      <c r="MA23" s="153"/>
      <c r="MB23" s="153"/>
      <c r="MC23" s="153"/>
      <c r="MD23" s="153"/>
      <c r="ME23" s="153"/>
      <c r="MF23" s="153"/>
      <c r="MG23" s="153"/>
      <c r="MH23" s="153"/>
      <c r="MI23" s="153"/>
      <c r="MJ23" s="153"/>
      <c r="MK23" s="153"/>
      <c r="ML23" s="153"/>
      <c r="MM23" s="153"/>
      <c r="MN23" s="153"/>
      <c r="MO23" s="153"/>
      <c r="MP23" s="153"/>
      <c r="MQ23" s="153"/>
      <c r="MR23" s="153"/>
      <c r="MS23" s="153"/>
      <c r="MT23" s="153"/>
      <c r="MU23" s="153"/>
      <c r="MV23" s="153"/>
      <c r="MW23" s="153"/>
      <c r="MX23" s="153"/>
      <c r="MY23" s="153"/>
      <c r="MZ23" s="153"/>
      <c r="NA23" s="153"/>
      <c r="NB23" s="153"/>
      <c r="NC23" s="153"/>
      <c r="ND23" s="153"/>
      <c r="NE23" s="153"/>
      <c r="NF23" s="153"/>
      <c r="NG23" s="153"/>
      <c r="NH23" s="153"/>
      <c r="NI23" s="153"/>
      <c r="NJ23" s="153"/>
      <c r="NK23" s="153"/>
      <c r="NL23" s="153"/>
      <c r="NM23" s="153"/>
      <c r="NN23" s="153"/>
      <c r="NO23" s="153"/>
      <c r="NP23" s="153"/>
      <c r="NQ23" s="153"/>
      <c r="NR23" s="153"/>
      <c r="NS23" s="153"/>
      <c r="NT23" s="153"/>
      <c r="NU23" s="153"/>
      <c r="NV23" s="153"/>
      <c r="NW23" s="153"/>
      <c r="NX23" s="153"/>
      <c r="NY23" s="153"/>
      <c r="NZ23" s="153"/>
      <c r="OA23" s="153"/>
      <c r="OB23" s="153"/>
      <c r="OC23" s="153"/>
      <c r="OD23" s="153"/>
      <c r="OE23" s="153"/>
      <c r="OF23" s="153"/>
      <c r="OG23" s="153"/>
      <c r="OH23" s="153"/>
      <c r="OI23" s="153"/>
      <c r="OJ23" s="153"/>
      <c r="OK23" s="153"/>
      <c r="OL23" s="153"/>
      <c r="OM23" s="153"/>
      <c r="ON23" s="153"/>
      <c r="OO23" s="153"/>
      <c r="OP23" s="153"/>
      <c r="OQ23" s="153"/>
      <c r="OR23" s="153"/>
      <c r="OS23" s="153"/>
      <c r="OT23" s="153"/>
      <c r="OU23" s="153"/>
      <c r="OV23" s="153"/>
      <c r="OW23" s="153"/>
      <c r="OX23" s="153"/>
      <c r="OY23" s="153"/>
      <c r="OZ23" s="153"/>
      <c r="PA23" s="153"/>
      <c r="PB23" s="153"/>
      <c r="PC23" s="153"/>
      <c r="PD23" s="153"/>
      <c r="PE23" s="153"/>
      <c r="PF23" s="153"/>
      <c r="PG23" s="153"/>
      <c r="PH23" s="153"/>
      <c r="PI23" s="153"/>
      <c r="PJ23" s="153"/>
      <c r="PK23" s="153"/>
      <c r="PL23" s="153"/>
      <c r="PM23" s="153"/>
      <c r="PN23" s="153"/>
      <c r="PO23" s="153"/>
      <c r="PP23" s="153"/>
      <c r="PQ23" s="153"/>
      <c r="PR23" s="153"/>
      <c r="PS23" s="153"/>
      <c r="PT23" s="153"/>
      <c r="PU23" s="153"/>
      <c r="PV23" s="153"/>
      <c r="PW23" s="153"/>
      <c r="PX23" s="153"/>
      <c r="PY23" s="153"/>
      <c r="PZ23" s="153"/>
      <c r="QA23" s="153"/>
      <c r="QB23" s="153"/>
      <c r="QC23" s="153"/>
      <c r="QD23" s="153"/>
      <c r="QE23" s="153"/>
      <c r="QF23" s="153"/>
      <c r="QG23" s="153"/>
      <c r="QH23" s="153"/>
      <c r="QI23" s="153"/>
      <c r="QJ23" s="153"/>
      <c r="QK23" s="153"/>
      <c r="QL23" s="153"/>
      <c r="QM23" s="153"/>
      <c r="QN23" s="153"/>
      <c r="QO23" s="153"/>
      <c r="QP23" s="153"/>
      <c r="QQ23" s="153"/>
      <c r="QR23" s="153"/>
      <c r="QS23" s="153"/>
      <c r="QT23" s="153"/>
      <c r="QU23" s="153"/>
      <c r="QV23" s="153"/>
      <c r="QW23" s="153"/>
      <c r="QX23" s="153"/>
      <c r="QY23" s="153"/>
      <c r="QZ23" s="153"/>
      <c r="RA23" s="153"/>
      <c r="RB23" s="153"/>
      <c r="RC23" s="153"/>
      <c r="RD23" s="153"/>
      <c r="RE23" s="153"/>
      <c r="RF23" s="153"/>
      <c r="RG23" s="153"/>
      <c r="RH23" s="153"/>
      <c r="RI23" s="153"/>
      <c r="RJ23" s="153"/>
      <c r="RK23" s="153"/>
      <c r="RL23" s="153"/>
      <c r="RM23" s="153"/>
      <c r="RN23" s="153"/>
      <c r="RO23" s="153"/>
      <c r="RP23" s="153"/>
      <c r="RQ23" s="153"/>
      <c r="RR23" s="153"/>
      <c r="RS23" s="153"/>
      <c r="RT23" s="153"/>
      <c r="RU23" s="153"/>
      <c r="RV23" s="153"/>
      <c r="RW23" s="153"/>
      <c r="RX23" s="153"/>
      <c r="RY23" s="153"/>
      <c r="RZ23" s="153"/>
      <c r="SA23" s="153"/>
      <c r="SB23" s="153"/>
      <c r="SC23" s="153"/>
      <c r="SD23" s="153"/>
      <c r="SE23" s="153"/>
      <c r="SF23" s="153"/>
      <c r="SG23" s="153"/>
      <c r="SH23" s="153"/>
      <c r="SI23" s="153"/>
      <c r="SJ23" s="153"/>
      <c r="SK23" s="153"/>
      <c r="SL23" s="153"/>
      <c r="SM23" s="153"/>
      <c r="SN23" s="153"/>
      <c r="SO23" s="153"/>
      <c r="SP23" s="153"/>
      <c r="SQ23" s="153"/>
      <c r="SR23" s="153"/>
      <c r="SS23" s="153"/>
      <c r="ST23" s="153"/>
      <c r="SU23" s="153"/>
      <c r="SV23" s="153"/>
      <c r="SW23" s="153"/>
      <c r="SX23" s="153"/>
      <c r="SY23" s="153"/>
      <c r="SZ23" s="153"/>
      <c r="TA23" s="153"/>
      <c r="TB23" s="153"/>
      <c r="TC23" s="153"/>
      <c r="TD23" s="153"/>
      <c r="TE23" s="153"/>
      <c r="TF23" s="153"/>
      <c r="TG23" s="153"/>
      <c r="TH23" s="153"/>
      <c r="TI23" s="153"/>
      <c r="TJ23" s="153"/>
      <c r="TK23" s="153"/>
      <c r="TL23" s="153"/>
      <c r="TM23" s="153"/>
      <c r="TN23" s="153"/>
      <c r="TO23" s="153"/>
      <c r="TP23" s="153"/>
      <c r="TQ23" s="153"/>
      <c r="TR23" s="153"/>
      <c r="TS23" s="153"/>
      <c r="TT23" s="153"/>
      <c r="TU23" s="153"/>
      <c r="TV23" s="153"/>
      <c r="TW23" s="153"/>
      <c r="TX23" s="153"/>
      <c r="TY23" s="153"/>
      <c r="TZ23" s="153"/>
      <c r="UA23" s="153"/>
      <c r="UB23" s="153"/>
      <c r="UC23" s="153"/>
      <c r="UD23" s="153"/>
      <c r="UE23" s="153"/>
      <c r="UF23" s="153"/>
      <c r="UG23" s="153"/>
      <c r="UH23" s="153"/>
      <c r="UI23" s="153"/>
      <c r="UJ23" s="153"/>
      <c r="UK23" s="153"/>
      <c r="UL23" s="153"/>
      <c r="UM23" s="153"/>
      <c r="UN23" s="153"/>
      <c r="UO23" s="153"/>
      <c r="UP23" s="153"/>
      <c r="UQ23" s="153"/>
      <c r="UR23" s="153"/>
      <c r="US23" s="153"/>
      <c r="UT23" s="153"/>
      <c r="UU23" s="153"/>
      <c r="UV23" s="153"/>
      <c r="UW23" s="153"/>
      <c r="UX23" s="153"/>
      <c r="UY23" s="153"/>
      <c r="UZ23" s="153"/>
      <c r="VA23" s="153"/>
      <c r="VB23" s="153"/>
      <c r="VC23" s="153"/>
      <c r="VD23" s="153"/>
      <c r="VE23" s="153"/>
      <c r="VF23" s="153"/>
      <c r="VG23" s="153"/>
      <c r="VH23" s="153"/>
      <c r="VI23" s="153"/>
      <c r="VJ23" s="153"/>
      <c r="VK23" s="153"/>
      <c r="VL23" s="153"/>
      <c r="VM23" s="153"/>
      <c r="VN23" s="153"/>
      <c r="VO23" s="153"/>
      <c r="VP23" s="153"/>
      <c r="VQ23" s="153"/>
      <c r="VR23" s="153"/>
      <c r="VS23" s="153"/>
      <c r="VT23" s="153"/>
      <c r="VU23" s="153"/>
      <c r="VV23" s="153"/>
      <c r="VW23" s="153"/>
      <c r="VX23" s="153"/>
      <c r="VY23" s="153"/>
      <c r="VZ23" s="153"/>
      <c r="WA23" s="153"/>
      <c r="WB23" s="153"/>
      <c r="WC23" s="153"/>
      <c r="WD23" s="153"/>
      <c r="WE23" s="153"/>
      <c r="WF23" s="153"/>
      <c r="WG23" s="153"/>
      <c r="WH23" s="153"/>
      <c r="WI23" s="153"/>
      <c r="WJ23" s="153"/>
      <c r="WK23" s="153"/>
      <c r="WL23" s="153"/>
      <c r="WM23" s="153"/>
      <c r="WN23" s="153"/>
      <c r="WO23" s="153"/>
      <c r="WP23" s="153"/>
      <c r="WQ23" s="153"/>
      <c r="WR23" s="153"/>
      <c r="WS23" s="153"/>
      <c r="WT23" s="153"/>
      <c r="WU23" s="153"/>
      <c r="WV23" s="153"/>
      <c r="WW23" s="153"/>
      <c r="WX23" s="153"/>
      <c r="WY23" s="153"/>
      <c r="WZ23" s="153"/>
      <c r="XA23" s="153"/>
      <c r="XB23" s="153"/>
      <c r="XC23" s="153"/>
      <c r="XD23" s="153"/>
      <c r="XE23" s="153"/>
      <c r="XF23" s="153"/>
      <c r="XG23" s="153"/>
      <c r="XH23" s="153"/>
      <c r="XI23" s="153"/>
      <c r="XJ23" s="153"/>
      <c r="XK23" s="153"/>
      <c r="XL23" s="153"/>
      <c r="XM23" s="153"/>
      <c r="XN23" s="153"/>
      <c r="XO23" s="153"/>
      <c r="XP23" s="153"/>
      <c r="XQ23" s="153"/>
      <c r="XR23" s="153"/>
      <c r="XS23" s="153"/>
      <c r="XT23" s="153"/>
      <c r="XU23" s="153"/>
      <c r="XV23" s="153"/>
      <c r="XW23" s="153"/>
      <c r="XX23" s="153"/>
      <c r="XY23" s="153"/>
      <c r="XZ23" s="153"/>
      <c r="YA23" s="153"/>
      <c r="YB23" s="153"/>
      <c r="YC23" s="153"/>
      <c r="YD23" s="153"/>
      <c r="YE23" s="153"/>
      <c r="YF23" s="153"/>
      <c r="YG23" s="153"/>
      <c r="YH23" s="153"/>
      <c r="YI23" s="153"/>
      <c r="YJ23" s="153"/>
      <c r="YK23" s="153"/>
      <c r="YL23" s="153"/>
      <c r="YM23" s="153"/>
      <c r="YN23" s="153"/>
      <c r="YO23" s="153"/>
      <c r="YP23" s="153"/>
      <c r="YQ23" s="153"/>
      <c r="YR23" s="153"/>
      <c r="YS23" s="153"/>
      <c r="YT23" s="153"/>
      <c r="YU23" s="153"/>
      <c r="YV23" s="153"/>
      <c r="YW23" s="153"/>
      <c r="YX23" s="153"/>
      <c r="YY23" s="153"/>
      <c r="YZ23" s="153"/>
      <c r="ZA23" s="153"/>
      <c r="ZB23" s="153"/>
      <c r="ZC23" s="153"/>
      <c r="ZD23" s="153"/>
      <c r="ZE23" s="153"/>
      <c r="ZF23" s="153"/>
      <c r="ZG23" s="153"/>
      <c r="ZH23" s="153"/>
      <c r="ZI23" s="153"/>
      <c r="ZJ23" s="153"/>
      <c r="ZK23" s="153"/>
      <c r="ZL23" s="153"/>
      <c r="ZM23" s="153"/>
      <c r="ZN23" s="153"/>
      <c r="ZO23" s="153"/>
      <c r="ZP23" s="153"/>
      <c r="ZQ23" s="153"/>
      <c r="ZR23" s="153"/>
      <c r="ZS23" s="153"/>
      <c r="ZT23" s="153"/>
      <c r="ZU23" s="153"/>
      <c r="ZV23" s="153"/>
      <c r="ZW23" s="153"/>
      <c r="ZX23" s="153"/>
      <c r="ZY23" s="153"/>
      <c r="ZZ23" s="153"/>
      <c r="AAA23" s="153"/>
      <c r="AAB23" s="153"/>
      <c r="AAC23" s="153"/>
      <c r="AAD23" s="153"/>
      <c r="AAE23" s="153"/>
      <c r="AAF23" s="153"/>
      <c r="AAG23" s="153"/>
      <c r="AAH23" s="153"/>
      <c r="AAI23" s="153"/>
      <c r="AAJ23" s="153"/>
      <c r="AAK23" s="153"/>
      <c r="AAL23" s="153"/>
      <c r="AAM23" s="153"/>
      <c r="AAN23" s="153"/>
      <c r="AAO23" s="153"/>
      <c r="AAP23" s="153"/>
      <c r="AAQ23" s="153"/>
      <c r="AAR23" s="153"/>
      <c r="AAS23" s="153"/>
      <c r="AAT23" s="153"/>
      <c r="AAU23" s="153"/>
      <c r="AAV23" s="153"/>
      <c r="AAW23" s="153"/>
      <c r="AAX23" s="153"/>
      <c r="AAY23" s="153"/>
      <c r="AAZ23" s="153"/>
      <c r="ABA23" s="153"/>
      <c r="ABB23" s="153"/>
      <c r="ABC23" s="153"/>
      <c r="ABD23" s="153"/>
      <c r="ABE23" s="153"/>
      <c r="ABF23" s="153"/>
      <c r="ABG23" s="153"/>
      <c r="ABH23" s="153"/>
      <c r="ABI23" s="153"/>
      <c r="ABJ23" s="153"/>
      <c r="ABK23" s="153"/>
      <c r="ABL23" s="153"/>
      <c r="ABM23" s="153"/>
      <c r="ABN23" s="153"/>
      <c r="ABO23" s="153"/>
      <c r="ABP23" s="153"/>
      <c r="ABQ23" s="153"/>
      <c r="ABR23" s="153"/>
      <c r="ABS23" s="153"/>
      <c r="ABT23" s="153"/>
      <c r="ABU23" s="153"/>
      <c r="ABV23" s="153"/>
      <c r="ABW23" s="153"/>
      <c r="ABX23" s="153"/>
      <c r="ABY23" s="153"/>
      <c r="ABZ23" s="153"/>
      <c r="ACA23" s="153"/>
      <c r="ACB23" s="153"/>
      <c r="ACC23" s="153"/>
      <c r="ACD23" s="153"/>
      <c r="ACE23" s="153"/>
      <c r="ACF23" s="153"/>
      <c r="ACG23" s="153"/>
      <c r="ACH23" s="153"/>
      <c r="ACI23" s="153"/>
      <c r="ACJ23" s="153"/>
      <c r="ACK23" s="153"/>
      <c r="ACL23" s="153"/>
      <c r="ACM23" s="153"/>
      <c r="ACN23" s="153"/>
      <c r="ACO23" s="153"/>
      <c r="ACP23" s="153"/>
      <c r="ACQ23" s="153"/>
      <c r="ACR23" s="153"/>
      <c r="ACS23" s="153"/>
      <c r="ACT23" s="153"/>
      <c r="ACU23" s="153"/>
      <c r="ACV23" s="153"/>
      <c r="ACW23" s="153"/>
      <c r="ACX23" s="153"/>
      <c r="ACY23" s="153"/>
      <c r="ACZ23" s="153"/>
      <c r="ADA23" s="153"/>
      <c r="ADB23" s="153"/>
      <c r="ADC23" s="153"/>
      <c r="ADD23" s="153"/>
      <c r="ADE23" s="153"/>
      <c r="ADF23" s="153"/>
      <c r="ADG23" s="153"/>
      <c r="ADH23" s="153"/>
      <c r="ADI23" s="153"/>
      <c r="ADJ23" s="153"/>
      <c r="ADK23" s="153"/>
      <c r="ADL23" s="153"/>
      <c r="ADM23" s="153"/>
      <c r="ADN23" s="153"/>
      <c r="ADO23" s="153"/>
      <c r="ADP23" s="153"/>
      <c r="ADQ23" s="153"/>
      <c r="ADR23" s="153"/>
      <c r="ADS23" s="153"/>
      <c r="ADT23" s="153"/>
      <c r="ADU23" s="153"/>
      <c r="ADV23" s="153"/>
      <c r="ADW23" s="153"/>
      <c r="ADX23" s="153"/>
      <c r="ADY23" s="153"/>
      <c r="ADZ23" s="153"/>
      <c r="AEA23" s="153"/>
      <c r="AEB23" s="153"/>
      <c r="AEC23" s="153"/>
      <c r="AED23" s="153"/>
      <c r="AEE23" s="153"/>
      <c r="AEF23" s="153"/>
      <c r="AEG23" s="153"/>
      <c r="AEH23" s="153"/>
      <c r="AEI23" s="153"/>
      <c r="AEJ23" s="153"/>
      <c r="AEK23" s="153"/>
      <c r="AEL23" s="153"/>
      <c r="AEM23" s="153"/>
      <c r="AEN23" s="153"/>
      <c r="AEO23" s="153"/>
      <c r="AEP23" s="153"/>
      <c r="AEQ23" s="153"/>
      <c r="AER23" s="153"/>
      <c r="AES23" s="153"/>
      <c r="AET23" s="153"/>
      <c r="AEU23" s="153"/>
      <c r="AEV23" s="153"/>
      <c r="AEW23" s="153"/>
      <c r="AEX23" s="153"/>
      <c r="AEY23" s="153"/>
      <c r="AEZ23" s="153"/>
      <c r="AFA23" s="153"/>
      <c r="AFB23" s="153"/>
      <c r="AFC23" s="153"/>
      <c r="AFD23" s="153"/>
      <c r="AFE23" s="153"/>
      <c r="AFF23" s="153"/>
      <c r="AFG23" s="153"/>
      <c r="AFH23" s="153"/>
      <c r="AFI23" s="153"/>
      <c r="AFJ23" s="153"/>
      <c r="AFK23" s="153"/>
      <c r="AFL23" s="153"/>
      <c r="AFM23" s="153"/>
      <c r="AFN23" s="153"/>
      <c r="AFO23" s="153"/>
      <c r="AFP23" s="153"/>
      <c r="AFQ23" s="153"/>
      <c r="AFR23" s="153"/>
      <c r="AFS23" s="153"/>
      <c r="AFT23" s="153"/>
      <c r="AFU23" s="153"/>
      <c r="AFV23" s="153"/>
      <c r="AFW23" s="153"/>
      <c r="AFX23" s="153"/>
      <c r="AFY23" s="153"/>
      <c r="AFZ23" s="153"/>
      <c r="AGA23" s="153"/>
      <c r="AGB23" s="153"/>
      <c r="AGC23" s="153"/>
      <c r="AGD23" s="153"/>
      <c r="AGE23" s="153"/>
      <c r="AGF23" s="153"/>
      <c r="AGG23" s="153"/>
      <c r="AGH23" s="153"/>
      <c r="AGI23" s="153"/>
      <c r="AGJ23" s="153"/>
      <c r="AGK23" s="153"/>
      <c r="AGL23" s="153"/>
      <c r="AGM23" s="153"/>
      <c r="AGN23" s="153"/>
      <c r="AGO23" s="153"/>
      <c r="AGP23" s="153"/>
      <c r="AGQ23" s="153"/>
      <c r="AGR23" s="153"/>
      <c r="AGS23" s="153"/>
      <c r="AGT23" s="153"/>
      <c r="AGU23" s="153"/>
      <c r="AGV23" s="153"/>
      <c r="AGW23" s="153"/>
      <c r="AGX23" s="153"/>
      <c r="AGY23" s="153"/>
      <c r="AGZ23" s="153"/>
      <c r="AHA23" s="153"/>
      <c r="AHB23" s="153"/>
      <c r="AHC23" s="153"/>
      <c r="AHD23" s="153"/>
      <c r="AHE23" s="153"/>
      <c r="AHF23" s="153"/>
      <c r="AHG23" s="153"/>
      <c r="AHH23" s="153"/>
      <c r="AHI23" s="153"/>
      <c r="AHJ23" s="153"/>
      <c r="AHK23" s="153"/>
      <c r="AHL23" s="153"/>
      <c r="AHM23" s="153"/>
      <c r="AHN23" s="153"/>
      <c r="AHO23" s="153"/>
      <c r="AHP23" s="153"/>
      <c r="AHQ23" s="153"/>
      <c r="AHR23" s="153"/>
      <c r="AHS23" s="153"/>
      <c r="AHT23" s="153"/>
      <c r="AHU23" s="153"/>
      <c r="AHV23" s="153"/>
      <c r="AHW23" s="153"/>
      <c r="AHX23" s="153"/>
      <c r="AHY23" s="153"/>
      <c r="AHZ23" s="153"/>
      <c r="AIA23" s="153"/>
      <c r="AIB23" s="153"/>
      <c r="AIC23" s="153"/>
      <c r="AID23" s="153"/>
      <c r="AIE23" s="153"/>
      <c r="AIF23" s="153"/>
      <c r="AIG23" s="153"/>
      <c r="AIH23" s="153"/>
      <c r="AII23" s="153"/>
      <c r="AIJ23" s="153"/>
      <c r="AIK23" s="153"/>
      <c r="AIL23" s="153"/>
      <c r="AIM23" s="153"/>
      <c r="AIN23" s="153"/>
      <c r="AIO23" s="153"/>
      <c r="AIP23" s="153"/>
      <c r="AIQ23" s="153"/>
      <c r="AIR23" s="153"/>
      <c r="AIS23" s="153"/>
      <c r="AIT23" s="153"/>
      <c r="AIU23" s="153"/>
      <c r="AIV23" s="153"/>
      <c r="AIW23" s="153"/>
      <c r="AIX23" s="153"/>
      <c r="AIY23" s="153"/>
      <c r="AIZ23" s="153"/>
      <c r="AJA23" s="153"/>
      <c r="AJB23" s="153"/>
      <c r="AJC23" s="153"/>
      <c r="AJD23" s="153"/>
      <c r="AJE23" s="153"/>
      <c r="AJF23" s="153"/>
      <c r="AJG23" s="153"/>
      <c r="AJH23" s="153"/>
      <c r="AJI23" s="153"/>
      <c r="AJJ23" s="153"/>
      <c r="AJK23" s="153"/>
      <c r="AJL23" s="153"/>
      <c r="AJM23" s="153"/>
      <c r="AJN23" s="153"/>
      <c r="AJO23" s="153"/>
      <c r="AJP23" s="153"/>
      <c r="AJQ23" s="153"/>
      <c r="AJR23" s="153"/>
      <c r="AJS23" s="153"/>
      <c r="AJT23" s="153"/>
      <c r="AJU23" s="153"/>
      <c r="AJV23" s="153"/>
      <c r="AJW23" s="153"/>
      <c r="AJX23" s="153"/>
      <c r="AJY23" s="153"/>
      <c r="AJZ23" s="153"/>
      <c r="AKA23" s="153"/>
      <c r="AKB23" s="153"/>
      <c r="AKC23" s="153"/>
      <c r="AKD23" s="153"/>
      <c r="AKE23" s="153"/>
      <c r="AKF23" s="153"/>
      <c r="AKG23" s="153"/>
      <c r="AKH23" s="153"/>
      <c r="AKI23" s="153"/>
      <c r="AKJ23" s="153"/>
      <c r="AKK23" s="153"/>
      <c r="AKL23" s="153"/>
      <c r="AKM23" s="153"/>
      <c r="AKN23" s="153"/>
      <c r="AKO23" s="153"/>
      <c r="AKP23" s="153"/>
      <c r="AKQ23" s="153"/>
      <c r="AKR23" s="153"/>
      <c r="AKS23" s="153"/>
      <c r="AKT23" s="153"/>
      <c r="AKU23" s="153"/>
      <c r="AKV23" s="153"/>
      <c r="AKW23" s="153"/>
      <c r="AKX23" s="153"/>
      <c r="AKY23" s="153"/>
      <c r="AKZ23" s="153"/>
      <c r="ALA23" s="153"/>
      <c r="ALB23" s="153"/>
      <c r="ALC23" s="153"/>
      <c r="ALD23" s="153"/>
      <c r="ALE23" s="153"/>
      <c r="ALF23" s="153"/>
      <c r="ALG23" s="153"/>
      <c r="ALH23" s="153"/>
      <c r="ALI23" s="153"/>
      <c r="ALJ23" s="153"/>
      <c r="ALK23" s="153"/>
      <c r="ALL23" s="153"/>
      <c r="ALM23" s="153"/>
      <c r="ALN23" s="153"/>
      <c r="ALO23" s="153"/>
      <c r="ALP23" s="153"/>
      <c r="ALQ23" s="153"/>
      <c r="ALR23" s="153"/>
      <c r="ALS23" s="153"/>
      <c r="ALT23" s="153"/>
      <c r="ALU23" s="153"/>
      <c r="ALV23" s="153"/>
      <c r="ALW23" s="153"/>
      <c r="ALX23" s="153"/>
      <c r="ALY23" s="153"/>
      <c r="ALZ23" s="153"/>
      <c r="AMA23" s="153"/>
      <c r="AMB23" s="153"/>
      <c r="AMC23" s="153"/>
      <c r="AMD23" s="153"/>
      <c r="AME23" s="153"/>
      <c r="AMF23" s="153"/>
      <c r="AMG23" s="153"/>
      <c r="AMH23" s="153"/>
      <c r="AMI23" s="153"/>
      <c r="AMJ23" s="153"/>
      <c r="AMK23" s="153"/>
    </row>
    <row r="24" spans="1:1025" s="417" customFormat="1" ht="11.25" x14ac:dyDescent="0.2">
      <c r="A24" s="391" t="s">
        <v>635</v>
      </c>
      <c r="B24" s="296" t="s">
        <v>846</v>
      </c>
      <c r="C24" s="296" t="s">
        <v>847</v>
      </c>
      <c r="D24" s="296" t="s">
        <v>848</v>
      </c>
      <c r="E24" s="392"/>
      <c r="F24" s="391" t="s">
        <v>849</v>
      </c>
      <c r="G24" s="388">
        <f>B33</f>
        <v>1065.97</v>
      </c>
      <c r="H24" s="337"/>
      <c r="I24" s="391" t="s">
        <v>850</v>
      </c>
      <c r="J24" s="388">
        <f>147446.34</f>
        <v>147446.34</v>
      </c>
      <c r="K24" s="339"/>
      <c r="L24" s="388">
        <f>SUM(J24:K24)</f>
        <v>147446.34</v>
      </c>
      <c r="M24" s="153"/>
      <c r="N24" s="366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3"/>
      <c r="BZ24" s="153"/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3"/>
      <c r="DL24" s="153"/>
      <c r="DM24" s="153"/>
      <c r="DN24" s="153"/>
      <c r="DO24" s="153"/>
      <c r="DP24" s="153"/>
      <c r="DQ24" s="153"/>
      <c r="DR24" s="153"/>
      <c r="DS24" s="153"/>
      <c r="DT24" s="153"/>
      <c r="DU24" s="153"/>
      <c r="DV24" s="153"/>
      <c r="DW24" s="153"/>
      <c r="DX24" s="153"/>
      <c r="DY24" s="153"/>
      <c r="DZ24" s="153"/>
      <c r="EA24" s="153"/>
      <c r="EB24" s="153"/>
      <c r="EC24" s="153"/>
      <c r="ED24" s="153"/>
      <c r="EE24" s="153"/>
      <c r="EF24" s="153"/>
      <c r="EG24" s="153"/>
      <c r="EH24" s="153"/>
      <c r="EI24" s="153"/>
      <c r="EJ24" s="153"/>
      <c r="EK24" s="153"/>
      <c r="EL24" s="153"/>
      <c r="EM24" s="153"/>
      <c r="EN24" s="153"/>
      <c r="EO24" s="153"/>
      <c r="EP24" s="153"/>
      <c r="EQ24" s="153"/>
      <c r="ER24" s="153"/>
      <c r="ES24" s="153"/>
      <c r="ET24" s="153"/>
      <c r="EU24" s="153"/>
      <c r="EV24" s="153"/>
      <c r="EW24" s="153"/>
      <c r="EX24" s="153"/>
      <c r="EY24" s="153"/>
      <c r="EZ24" s="153"/>
      <c r="FA24" s="153"/>
      <c r="FB24" s="153"/>
      <c r="FC24" s="153"/>
      <c r="FD24" s="153"/>
      <c r="FE24" s="153"/>
      <c r="FF24" s="153"/>
      <c r="FG24" s="153"/>
      <c r="FH24" s="153"/>
      <c r="FI24" s="153"/>
      <c r="FJ24" s="153"/>
      <c r="FK24" s="153"/>
      <c r="FL24" s="153"/>
      <c r="FM24" s="153"/>
      <c r="FN24" s="153"/>
      <c r="FO24" s="153"/>
      <c r="FP24" s="153"/>
      <c r="FQ24" s="153"/>
      <c r="FR24" s="153"/>
      <c r="FS24" s="153"/>
      <c r="FT24" s="153"/>
      <c r="FU24" s="153"/>
      <c r="FV24" s="153"/>
      <c r="FW24" s="153"/>
      <c r="FX24" s="153"/>
      <c r="FY24" s="153"/>
      <c r="FZ24" s="153"/>
      <c r="GA24" s="153"/>
      <c r="GB24" s="153"/>
      <c r="GC24" s="153"/>
      <c r="GD24" s="153"/>
      <c r="GE24" s="153"/>
      <c r="GF24" s="153"/>
      <c r="GG24" s="153"/>
      <c r="GH24" s="153"/>
      <c r="GI24" s="153"/>
      <c r="GJ24" s="153"/>
      <c r="GK24" s="153"/>
      <c r="GL24" s="153"/>
      <c r="GM24" s="153"/>
      <c r="GN24" s="153"/>
      <c r="GO24" s="153"/>
      <c r="GP24" s="153"/>
      <c r="GQ24" s="153"/>
      <c r="GR24" s="153"/>
      <c r="GS24" s="153"/>
      <c r="GT24" s="153"/>
      <c r="GU24" s="153"/>
      <c r="GV24" s="153"/>
      <c r="GW24" s="153"/>
      <c r="GX24" s="153"/>
      <c r="GY24" s="153"/>
      <c r="GZ24" s="153"/>
      <c r="HA24" s="153"/>
      <c r="HB24" s="153"/>
      <c r="HC24" s="153"/>
      <c r="HD24" s="153"/>
      <c r="HE24" s="153"/>
      <c r="HF24" s="153"/>
      <c r="HG24" s="153"/>
      <c r="HH24" s="153"/>
      <c r="HI24" s="153"/>
      <c r="HJ24" s="153"/>
      <c r="HK24" s="153"/>
      <c r="HL24" s="153"/>
      <c r="HM24" s="153"/>
      <c r="HN24" s="153"/>
      <c r="HO24" s="153"/>
      <c r="HP24" s="153"/>
      <c r="HQ24" s="153"/>
      <c r="HR24" s="153"/>
      <c r="HS24" s="153"/>
      <c r="HT24" s="153"/>
      <c r="HU24" s="153"/>
      <c r="HV24" s="153"/>
      <c r="HW24" s="153"/>
      <c r="HX24" s="153"/>
      <c r="HY24" s="153"/>
      <c r="HZ24" s="153"/>
      <c r="IA24" s="153"/>
      <c r="IB24" s="153"/>
      <c r="IC24" s="153"/>
      <c r="ID24" s="153"/>
      <c r="IE24" s="153"/>
      <c r="IF24" s="153"/>
      <c r="IG24" s="153"/>
      <c r="IH24" s="153"/>
      <c r="II24" s="153"/>
      <c r="IJ24" s="153"/>
      <c r="IK24" s="153"/>
      <c r="IL24" s="153"/>
      <c r="IM24" s="153"/>
      <c r="IN24" s="153"/>
      <c r="IO24" s="153"/>
      <c r="IP24" s="153"/>
      <c r="IQ24" s="153"/>
      <c r="IR24" s="153"/>
      <c r="IS24" s="153"/>
      <c r="IT24" s="153"/>
      <c r="IU24" s="153"/>
      <c r="IV24" s="153"/>
      <c r="IW24" s="153"/>
      <c r="IX24" s="153"/>
      <c r="IY24" s="153"/>
      <c r="IZ24" s="153"/>
      <c r="JA24" s="153"/>
      <c r="JB24" s="153"/>
      <c r="JC24" s="153"/>
      <c r="JD24" s="153"/>
      <c r="JE24" s="153"/>
      <c r="JF24" s="153"/>
      <c r="JG24" s="153"/>
      <c r="JH24" s="153"/>
      <c r="JI24" s="153"/>
      <c r="JJ24" s="153"/>
      <c r="JK24" s="153"/>
      <c r="JL24" s="153"/>
      <c r="JM24" s="153"/>
      <c r="JN24" s="153"/>
      <c r="JO24" s="153"/>
      <c r="JP24" s="153"/>
      <c r="JQ24" s="153"/>
      <c r="JR24" s="153"/>
      <c r="JS24" s="153"/>
      <c r="JT24" s="153"/>
      <c r="JU24" s="153"/>
      <c r="JV24" s="153"/>
      <c r="JW24" s="153"/>
      <c r="JX24" s="153"/>
      <c r="JY24" s="153"/>
      <c r="JZ24" s="153"/>
      <c r="KA24" s="153"/>
      <c r="KB24" s="153"/>
      <c r="KC24" s="153"/>
      <c r="KD24" s="153"/>
      <c r="KE24" s="153"/>
      <c r="KF24" s="153"/>
      <c r="KG24" s="153"/>
      <c r="KH24" s="153"/>
      <c r="KI24" s="153"/>
      <c r="KJ24" s="153"/>
      <c r="KK24" s="153"/>
      <c r="KL24" s="153"/>
      <c r="KM24" s="153"/>
      <c r="KN24" s="153"/>
      <c r="KO24" s="153"/>
      <c r="KP24" s="153"/>
      <c r="KQ24" s="153"/>
      <c r="KR24" s="153"/>
      <c r="KS24" s="153"/>
      <c r="KT24" s="153"/>
      <c r="KU24" s="153"/>
      <c r="KV24" s="153"/>
      <c r="KW24" s="153"/>
      <c r="KX24" s="153"/>
      <c r="KY24" s="153"/>
      <c r="KZ24" s="153"/>
      <c r="LA24" s="153"/>
      <c r="LB24" s="153"/>
      <c r="LC24" s="153"/>
      <c r="LD24" s="153"/>
      <c r="LE24" s="153"/>
      <c r="LF24" s="153"/>
      <c r="LG24" s="153"/>
      <c r="LH24" s="153"/>
      <c r="LI24" s="153"/>
      <c r="LJ24" s="153"/>
      <c r="LK24" s="153"/>
      <c r="LL24" s="153"/>
      <c r="LM24" s="153"/>
      <c r="LN24" s="153"/>
      <c r="LO24" s="153"/>
      <c r="LP24" s="153"/>
      <c r="LQ24" s="153"/>
      <c r="LR24" s="153"/>
      <c r="LS24" s="153"/>
      <c r="LT24" s="153"/>
      <c r="LU24" s="153"/>
      <c r="LV24" s="153"/>
      <c r="LW24" s="153"/>
      <c r="LX24" s="153"/>
      <c r="LY24" s="153"/>
      <c r="LZ24" s="153"/>
      <c r="MA24" s="153"/>
      <c r="MB24" s="153"/>
      <c r="MC24" s="153"/>
      <c r="MD24" s="153"/>
      <c r="ME24" s="153"/>
      <c r="MF24" s="153"/>
      <c r="MG24" s="153"/>
      <c r="MH24" s="153"/>
      <c r="MI24" s="153"/>
      <c r="MJ24" s="153"/>
      <c r="MK24" s="153"/>
      <c r="ML24" s="153"/>
      <c r="MM24" s="153"/>
      <c r="MN24" s="153"/>
      <c r="MO24" s="153"/>
      <c r="MP24" s="153"/>
      <c r="MQ24" s="153"/>
      <c r="MR24" s="153"/>
      <c r="MS24" s="153"/>
      <c r="MT24" s="153"/>
      <c r="MU24" s="153"/>
      <c r="MV24" s="153"/>
      <c r="MW24" s="153"/>
      <c r="MX24" s="153"/>
      <c r="MY24" s="153"/>
      <c r="MZ24" s="153"/>
      <c r="NA24" s="153"/>
      <c r="NB24" s="153"/>
      <c r="NC24" s="153"/>
      <c r="ND24" s="153"/>
      <c r="NE24" s="153"/>
      <c r="NF24" s="153"/>
      <c r="NG24" s="153"/>
      <c r="NH24" s="153"/>
      <c r="NI24" s="153"/>
      <c r="NJ24" s="153"/>
      <c r="NK24" s="153"/>
      <c r="NL24" s="153"/>
      <c r="NM24" s="153"/>
      <c r="NN24" s="153"/>
      <c r="NO24" s="153"/>
      <c r="NP24" s="153"/>
      <c r="NQ24" s="153"/>
      <c r="NR24" s="153"/>
      <c r="NS24" s="153"/>
      <c r="NT24" s="153"/>
      <c r="NU24" s="153"/>
      <c r="NV24" s="153"/>
      <c r="NW24" s="153"/>
      <c r="NX24" s="153"/>
      <c r="NY24" s="153"/>
      <c r="NZ24" s="153"/>
      <c r="OA24" s="153"/>
      <c r="OB24" s="153"/>
      <c r="OC24" s="153"/>
      <c r="OD24" s="153"/>
      <c r="OE24" s="153"/>
      <c r="OF24" s="153"/>
      <c r="OG24" s="153"/>
      <c r="OH24" s="153"/>
      <c r="OI24" s="153"/>
      <c r="OJ24" s="153"/>
      <c r="OK24" s="153"/>
      <c r="OL24" s="153"/>
      <c r="OM24" s="153"/>
      <c r="ON24" s="153"/>
      <c r="OO24" s="153"/>
      <c r="OP24" s="153"/>
      <c r="OQ24" s="153"/>
      <c r="OR24" s="153"/>
      <c r="OS24" s="153"/>
      <c r="OT24" s="153"/>
      <c r="OU24" s="153"/>
      <c r="OV24" s="153"/>
      <c r="OW24" s="153"/>
      <c r="OX24" s="153"/>
      <c r="OY24" s="153"/>
      <c r="OZ24" s="153"/>
      <c r="PA24" s="153"/>
      <c r="PB24" s="153"/>
      <c r="PC24" s="153"/>
      <c r="PD24" s="153"/>
      <c r="PE24" s="153"/>
      <c r="PF24" s="153"/>
      <c r="PG24" s="153"/>
      <c r="PH24" s="153"/>
      <c r="PI24" s="153"/>
      <c r="PJ24" s="153"/>
      <c r="PK24" s="153"/>
      <c r="PL24" s="153"/>
      <c r="PM24" s="153"/>
      <c r="PN24" s="153"/>
      <c r="PO24" s="153"/>
      <c r="PP24" s="153"/>
      <c r="PQ24" s="153"/>
      <c r="PR24" s="153"/>
      <c r="PS24" s="153"/>
      <c r="PT24" s="153"/>
      <c r="PU24" s="153"/>
      <c r="PV24" s="153"/>
      <c r="PW24" s="153"/>
      <c r="PX24" s="153"/>
      <c r="PY24" s="153"/>
      <c r="PZ24" s="153"/>
      <c r="QA24" s="153"/>
      <c r="QB24" s="153"/>
      <c r="QC24" s="153"/>
      <c r="QD24" s="153"/>
      <c r="QE24" s="153"/>
      <c r="QF24" s="153"/>
      <c r="QG24" s="153"/>
      <c r="QH24" s="153"/>
      <c r="QI24" s="153"/>
      <c r="QJ24" s="153"/>
      <c r="QK24" s="153"/>
      <c r="QL24" s="153"/>
      <c r="QM24" s="153"/>
      <c r="QN24" s="153"/>
      <c r="QO24" s="153"/>
      <c r="QP24" s="153"/>
      <c r="QQ24" s="153"/>
      <c r="QR24" s="153"/>
      <c r="QS24" s="153"/>
      <c r="QT24" s="153"/>
      <c r="QU24" s="153"/>
      <c r="QV24" s="153"/>
      <c r="QW24" s="153"/>
      <c r="QX24" s="153"/>
      <c r="QY24" s="153"/>
      <c r="QZ24" s="153"/>
      <c r="RA24" s="153"/>
      <c r="RB24" s="153"/>
      <c r="RC24" s="153"/>
      <c r="RD24" s="153"/>
      <c r="RE24" s="153"/>
      <c r="RF24" s="153"/>
      <c r="RG24" s="153"/>
      <c r="RH24" s="153"/>
      <c r="RI24" s="153"/>
      <c r="RJ24" s="153"/>
      <c r="RK24" s="153"/>
      <c r="RL24" s="153"/>
      <c r="RM24" s="153"/>
      <c r="RN24" s="153"/>
      <c r="RO24" s="153"/>
      <c r="RP24" s="153"/>
      <c r="RQ24" s="153"/>
      <c r="RR24" s="153"/>
      <c r="RS24" s="153"/>
      <c r="RT24" s="153"/>
      <c r="RU24" s="153"/>
      <c r="RV24" s="153"/>
      <c r="RW24" s="153"/>
      <c r="RX24" s="153"/>
      <c r="RY24" s="153"/>
      <c r="RZ24" s="153"/>
      <c r="SA24" s="153"/>
      <c r="SB24" s="153"/>
      <c r="SC24" s="153"/>
      <c r="SD24" s="153"/>
      <c r="SE24" s="153"/>
      <c r="SF24" s="153"/>
      <c r="SG24" s="153"/>
      <c r="SH24" s="153"/>
      <c r="SI24" s="153"/>
      <c r="SJ24" s="153"/>
      <c r="SK24" s="153"/>
      <c r="SL24" s="153"/>
      <c r="SM24" s="153"/>
      <c r="SN24" s="153"/>
      <c r="SO24" s="153"/>
      <c r="SP24" s="153"/>
      <c r="SQ24" s="153"/>
      <c r="SR24" s="153"/>
      <c r="SS24" s="153"/>
      <c r="ST24" s="153"/>
      <c r="SU24" s="153"/>
      <c r="SV24" s="153"/>
      <c r="SW24" s="153"/>
      <c r="SX24" s="153"/>
      <c r="SY24" s="153"/>
      <c r="SZ24" s="153"/>
      <c r="TA24" s="153"/>
      <c r="TB24" s="153"/>
      <c r="TC24" s="153"/>
      <c r="TD24" s="153"/>
      <c r="TE24" s="153"/>
      <c r="TF24" s="153"/>
      <c r="TG24" s="153"/>
      <c r="TH24" s="153"/>
      <c r="TI24" s="153"/>
      <c r="TJ24" s="153"/>
      <c r="TK24" s="153"/>
      <c r="TL24" s="153"/>
      <c r="TM24" s="153"/>
      <c r="TN24" s="153"/>
      <c r="TO24" s="153"/>
      <c r="TP24" s="153"/>
      <c r="TQ24" s="153"/>
      <c r="TR24" s="153"/>
      <c r="TS24" s="153"/>
      <c r="TT24" s="153"/>
      <c r="TU24" s="153"/>
      <c r="TV24" s="153"/>
      <c r="TW24" s="153"/>
      <c r="TX24" s="153"/>
      <c r="TY24" s="153"/>
      <c r="TZ24" s="153"/>
      <c r="UA24" s="153"/>
      <c r="UB24" s="153"/>
      <c r="UC24" s="153"/>
      <c r="UD24" s="153"/>
      <c r="UE24" s="153"/>
      <c r="UF24" s="153"/>
      <c r="UG24" s="153"/>
      <c r="UH24" s="153"/>
      <c r="UI24" s="153"/>
      <c r="UJ24" s="153"/>
      <c r="UK24" s="153"/>
      <c r="UL24" s="153"/>
      <c r="UM24" s="153"/>
      <c r="UN24" s="153"/>
      <c r="UO24" s="153"/>
      <c r="UP24" s="153"/>
      <c r="UQ24" s="153"/>
      <c r="UR24" s="153"/>
      <c r="US24" s="153"/>
      <c r="UT24" s="153"/>
      <c r="UU24" s="153"/>
      <c r="UV24" s="153"/>
      <c r="UW24" s="153"/>
      <c r="UX24" s="153"/>
      <c r="UY24" s="153"/>
      <c r="UZ24" s="153"/>
      <c r="VA24" s="153"/>
      <c r="VB24" s="153"/>
      <c r="VC24" s="153"/>
      <c r="VD24" s="153"/>
      <c r="VE24" s="153"/>
      <c r="VF24" s="153"/>
      <c r="VG24" s="153"/>
      <c r="VH24" s="153"/>
      <c r="VI24" s="153"/>
      <c r="VJ24" s="153"/>
      <c r="VK24" s="153"/>
      <c r="VL24" s="153"/>
      <c r="VM24" s="153"/>
      <c r="VN24" s="153"/>
      <c r="VO24" s="153"/>
      <c r="VP24" s="153"/>
      <c r="VQ24" s="153"/>
      <c r="VR24" s="153"/>
      <c r="VS24" s="153"/>
      <c r="VT24" s="153"/>
      <c r="VU24" s="153"/>
      <c r="VV24" s="153"/>
      <c r="VW24" s="153"/>
      <c r="VX24" s="153"/>
      <c r="VY24" s="153"/>
      <c r="VZ24" s="153"/>
      <c r="WA24" s="153"/>
      <c r="WB24" s="153"/>
      <c r="WC24" s="153"/>
      <c r="WD24" s="153"/>
      <c r="WE24" s="153"/>
      <c r="WF24" s="153"/>
      <c r="WG24" s="153"/>
      <c r="WH24" s="153"/>
      <c r="WI24" s="153"/>
      <c r="WJ24" s="153"/>
      <c r="WK24" s="153"/>
      <c r="WL24" s="153"/>
      <c r="WM24" s="153"/>
      <c r="WN24" s="153"/>
      <c r="WO24" s="153"/>
      <c r="WP24" s="153"/>
      <c r="WQ24" s="153"/>
      <c r="WR24" s="153"/>
      <c r="WS24" s="153"/>
      <c r="WT24" s="153"/>
      <c r="WU24" s="153"/>
      <c r="WV24" s="153"/>
      <c r="WW24" s="153"/>
      <c r="WX24" s="153"/>
      <c r="WY24" s="153"/>
      <c r="WZ24" s="153"/>
      <c r="XA24" s="153"/>
      <c r="XB24" s="153"/>
      <c r="XC24" s="153"/>
      <c r="XD24" s="153"/>
      <c r="XE24" s="153"/>
      <c r="XF24" s="153"/>
      <c r="XG24" s="153"/>
      <c r="XH24" s="153"/>
      <c r="XI24" s="153"/>
      <c r="XJ24" s="153"/>
      <c r="XK24" s="153"/>
      <c r="XL24" s="153"/>
      <c r="XM24" s="153"/>
      <c r="XN24" s="153"/>
      <c r="XO24" s="153"/>
      <c r="XP24" s="153"/>
      <c r="XQ24" s="153"/>
      <c r="XR24" s="153"/>
      <c r="XS24" s="153"/>
      <c r="XT24" s="153"/>
      <c r="XU24" s="153"/>
      <c r="XV24" s="153"/>
      <c r="XW24" s="153"/>
      <c r="XX24" s="153"/>
      <c r="XY24" s="153"/>
      <c r="XZ24" s="153"/>
      <c r="YA24" s="153"/>
      <c r="YB24" s="153"/>
      <c r="YC24" s="153"/>
      <c r="YD24" s="153"/>
      <c r="YE24" s="153"/>
      <c r="YF24" s="153"/>
      <c r="YG24" s="153"/>
      <c r="YH24" s="153"/>
      <c r="YI24" s="153"/>
      <c r="YJ24" s="153"/>
      <c r="YK24" s="153"/>
      <c r="YL24" s="153"/>
      <c r="YM24" s="153"/>
      <c r="YN24" s="153"/>
      <c r="YO24" s="153"/>
      <c r="YP24" s="153"/>
      <c r="YQ24" s="153"/>
      <c r="YR24" s="153"/>
      <c r="YS24" s="153"/>
      <c r="YT24" s="153"/>
      <c r="YU24" s="153"/>
      <c r="YV24" s="153"/>
      <c r="YW24" s="153"/>
      <c r="YX24" s="153"/>
      <c r="YY24" s="153"/>
      <c r="YZ24" s="153"/>
      <c r="ZA24" s="153"/>
      <c r="ZB24" s="153"/>
      <c r="ZC24" s="153"/>
      <c r="ZD24" s="153"/>
      <c r="ZE24" s="153"/>
      <c r="ZF24" s="153"/>
      <c r="ZG24" s="153"/>
      <c r="ZH24" s="153"/>
      <c r="ZI24" s="153"/>
      <c r="ZJ24" s="153"/>
      <c r="ZK24" s="153"/>
      <c r="ZL24" s="153"/>
      <c r="ZM24" s="153"/>
      <c r="ZN24" s="153"/>
      <c r="ZO24" s="153"/>
      <c r="ZP24" s="153"/>
      <c r="ZQ24" s="153"/>
      <c r="ZR24" s="153"/>
      <c r="ZS24" s="153"/>
      <c r="ZT24" s="153"/>
      <c r="ZU24" s="153"/>
      <c r="ZV24" s="153"/>
      <c r="ZW24" s="153"/>
      <c r="ZX24" s="153"/>
      <c r="ZY24" s="153"/>
      <c r="ZZ24" s="153"/>
      <c r="AAA24" s="153"/>
      <c r="AAB24" s="153"/>
      <c r="AAC24" s="153"/>
      <c r="AAD24" s="153"/>
      <c r="AAE24" s="153"/>
      <c r="AAF24" s="153"/>
      <c r="AAG24" s="153"/>
      <c r="AAH24" s="153"/>
      <c r="AAI24" s="153"/>
      <c r="AAJ24" s="153"/>
      <c r="AAK24" s="153"/>
      <c r="AAL24" s="153"/>
      <c r="AAM24" s="153"/>
      <c r="AAN24" s="153"/>
      <c r="AAO24" s="153"/>
      <c r="AAP24" s="153"/>
      <c r="AAQ24" s="153"/>
      <c r="AAR24" s="153"/>
      <c r="AAS24" s="153"/>
      <c r="AAT24" s="153"/>
      <c r="AAU24" s="153"/>
      <c r="AAV24" s="153"/>
      <c r="AAW24" s="153"/>
      <c r="AAX24" s="153"/>
      <c r="AAY24" s="153"/>
      <c r="AAZ24" s="153"/>
      <c r="ABA24" s="153"/>
      <c r="ABB24" s="153"/>
      <c r="ABC24" s="153"/>
      <c r="ABD24" s="153"/>
      <c r="ABE24" s="153"/>
      <c r="ABF24" s="153"/>
      <c r="ABG24" s="153"/>
      <c r="ABH24" s="153"/>
      <c r="ABI24" s="153"/>
      <c r="ABJ24" s="153"/>
      <c r="ABK24" s="153"/>
      <c r="ABL24" s="153"/>
      <c r="ABM24" s="153"/>
      <c r="ABN24" s="153"/>
      <c r="ABO24" s="153"/>
      <c r="ABP24" s="153"/>
      <c r="ABQ24" s="153"/>
      <c r="ABR24" s="153"/>
      <c r="ABS24" s="153"/>
      <c r="ABT24" s="153"/>
      <c r="ABU24" s="153"/>
      <c r="ABV24" s="153"/>
      <c r="ABW24" s="153"/>
      <c r="ABX24" s="153"/>
      <c r="ABY24" s="153"/>
      <c r="ABZ24" s="153"/>
      <c r="ACA24" s="153"/>
      <c r="ACB24" s="153"/>
      <c r="ACC24" s="153"/>
      <c r="ACD24" s="153"/>
      <c r="ACE24" s="153"/>
      <c r="ACF24" s="153"/>
      <c r="ACG24" s="153"/>
      <c r="ACH24" s="153"/>
      <c r="ACI24" s="153"/>
      <c r="ACJ24" s="153"/>
      <c r="ACK24" s="153"/>
      <c r="ACL24" s="153"/>
      <c r="ACM24" s="153"/>
      <c r="ACN24" s="153"/>
      <c r="ACO24" s="153"/>
      <c r="ACP24" s="153"/>
      <c r="ACQ24" s="153"/>
      <c r="ACR24" s="153"/>
      <c r="ACS24" s="153"/>
      <c r="ACT24" s="153"/>
      <c r="ACU24" s="153"/>
      <c r="ACV24" s="153"/>
      <c r="ACW24" s="153"/>
      <c r="ACX24" s="153"/>
      <c r="ACY24" s="153"/>
      <c r="ACZ24" s="153"/>
      <c r="ADA24" s="153"/>
      <c r="ADB24" s="153"/>
      <c r="ADC24" s="153"/>
      <c r="ADD24" s="153"/>
      <c r="ADE24" s="153"/>
      <c r="ADF24" s="153"/>
      <c r="ADG24" s="153"/>
      <c r="ADH24" s="153"/>
      <c r="ADI24" s="153"/>
      <c r="ADJ24" s="153"/>
      <c r="ADK24" s="153"/>
      <c r="ADL24" s="153"/>
      <c r="ADM24" s="153"/>
      <c r="ADN24" s="153"/>
      <c r="ADO24" s="153"/>
      <c r="ADP24" s="153"/>
      <c r="ADQ24" s="153"/>
      <c r="ADR24" s="153"/>
      <c r="ADS24" s="153"/>
      <c r="ADT24" s="153"/>
      <c r="ADU24" s="153"/>
      <c r="ADV24" s="153"/>
      <c r="ADW24" s="153"/>
      <c r="ADX24" s="153"/>
      <c r="ADY24" s="153"/>
      <c r="ADZ24" s="153"/>
      <c r="AEA24" s="153"/>
      <c r="AEB24" s="153"/>
      <c r="AEC24" s="153"/>
      <c r="AED24" s="153"/>
      <c r="AEE24" s="153"/>
      <c r="AEF24" s="153"/>
      <c r="AEG24" s="153"/>
      <c r="AEH24" s="153"/>
      <c r="AEI24" s="153"/>
      <c r="AEJ24" s="153"/>
      <c r="AEK24" s="153"/>
      <c r="AEL24" s="153"/>
      <c r="AEM24" s="153"/>
      <c r="AEN24" s="153"/>
      <c r="AEO24" s="153"/>
      <c r="AEP24" s="153"/>
      <c r="AEQ24" s="153"/>
      <c r="AER24" s="153"/>
      <c r="AES24" s="153"/>
      <c r="AET24" s="153"/>
      <c r="AEU24" s="153"/>
      <c r="AEV24" s="153"/>
      <c r="AEW24" s="153"/>
      <c r="AEX24" s="153"/>
      <c r="AEY24" s="153"/>
      <c r="AEZ24" s="153"/>
      <c r="AFA24" s="153"/>
      <c r="AFB24" s="153"/>
      <c r="AFC24" s="153"/>
      <c r="AFD24" s="153"/>
      <c r="AFE24" s="153"/>
      <c r="AFF24" s="153"/>
      <c r="AFG24" s="153"/>
      <c r="AFH24" s="153"/>
      <c r="AFI24" s="153"/>
      <c r="AFJ24" s="153"/>
      <c r="AFK24" s="153"/>
      <c r="AFL24" s="153"/>
      <c r="AFM24" s="153"/>
      <c r="AFN24" s="153"/>
      <c r="AFO24" s="153"/>
      <c r="AFP24" s="153"/>
      <c r="AFQ24" s="153"/>
      <c r="AFR24" s="153"/>
      <c r="AFS24" s="153"/>
      <c r="AFT24" s="153"/>
      <c r="AFU24" s="153"/>
      <c r="AFV24" s="153"/>
      <c r="AFW24" s="153"/>
      <c r="AFX24" s="153"/>
      <c r="AFY24" s="153"/>
      <c r="AFZ24" s="153"/>
      <c r="AGA24" s="153"/>
      <c r="AGB24" s="153"/>
      <c r="AGC24" s="153"/>
      <c r="AGD24" s="153"/>
      <c r="AGE24" s="153"/>
      <c r="AGF24" s="153"/>
      <c r="AGG24" s="153"/>
      <c r="AGH24" s="153"/>
      <c r="AGI24" s="153"/>
      <c r="AGJ24" s="153"/>
      <c r="AGK24" s="153"/>
      <c r="AGL24" s="153"/>
      <c r="AGM24" s="153"/>
      <c r="AGN24" s="153"/>
      <c r="AGO24" s="153"/>
      <c r="AGP24" s="153"/>
      <c r="AGQ24" s="153"/>
      <c r="AGR24" s="153"/>
      <c r="AGS24" s="153"/>
      <c r="AGT24" s="153"/>
      <c r="AGU24" s="153"/>
      <c r="AGV24" s="153"/>
      <c r="AGW24" s="153"/>
      <c r="AGX24" s="153"/>
      <c r="AGY24" s="153"/>
      <c r="AGZ24" s="153"/>
      <c r="AHA24" s="153"/>
      <c r="AHB24" s="153"/>
      <c r="AHC24" s="153"/>
      <c r="AHD24" s="153"/>
      <c r="AHE24" s="153"/>
      <c r="AHF24" s="153"/>
      <c r="AHG24" s="153"/>
      <c r="AHH24" s="153"/>
      <c r="AHI24" s="153"/>
      <c r="AHJ24" s="153"/>
      <c r="AHK24" s="153"/>
      <c r="AHL24" s="153"/>
      <c r="AHM24" s="153"/>
      <c r="AHN24" s="153"/>
      <c r="AHO24" s="153"/>
      <c r="AHP24" s="153"/>
      <c r="AHQ24" s="153"/>
      <c r="AHR24" s="153"/>
      <c r="AHS24" s="153"/>
      <c r="AHT24" s="153"/>
      <c r="AHU24" s="153"/>
      <c r="AHV24" s="153"/>
      <c r="AHW24" s="153"/>
      <c r="AHX24" s="153"/>
      <c r="AHY24" s="153"/>
      <c r="AHZ24" s="153"/>
      <c r="AIA24" s="153"/>
      <c r="AIB24" s="153"/>
      <c r="AIC24" s="153"/>
      <c r="AID24" s="153"/>
      <c r="AIE24" s="153"/>
      <c r="AIF24" s="153"/>
      <c r="AIG24" s="153"/>
      <c r="AIH24" s="153"/>
      <c r="AII24" s="153"/>
      <c r="AIJ24" s="153"/>
      <c r="AIK24" s="153"/>
      <c r="AIL24" s="153"/>
      <c r="AIM24" s="153"/>
      <c r="AIN24" s="153"/>
      <c r="AIO24" s="153"/>
      <c r="AIP24" s="153"/>
      <c r="AIQ24" s="153"/>
      <c r="AIR24" s="153"/>
      <c r="AIS24" s="153"/>
      <c r="AIT24" s="153"/>
      <c r="AIU24" s="153"/>
      <c r="AIV24" s="153"/>
      <c r="AIW24" s="153"/>
      <c r="AIX24" s="153"/>
      <c r="AIY24" s="153"/>
      <c r="AIZ24" s="153"/>
      <c r="AJA24" s="153"/>
      <c r="AJB24" s="153"/>
      <c r="AJC24" s="153"/>
      <c r="AJD24" s="153"/>
      <c r="AJE24" s="153"/>
      <c r="AJF24" s="153"/>
      <c r="AJG24" s="153"/>
      <c r="AJH24" s="153"/>
      <c r="AJI24" s="153"/>
      <c r="AJJ24" s="153"/>
      <c r="AJK24" s="153"/>
      <c r="AJL24" s="153"/>
      <c r="AJM24" s="153"/>
      <c r="AJN24" s="153"/>
      <c r="AJO24" s="153"/>
      <c r="AJP24" s="153"/>
      <c r="AJQ24" s="153"/>
      <c r="AJR24" s="153"/>
      <c r="AJS24" s="153"/>
      <c r="AJT24" s="153"/>
      <c r="AJU24" s="153"/>
      <c r="AJV24" s="153"/>
      <c r="AJW24" s="153"/>
      <c r="AJX24" s="153"/>
      <c r="AJY24" s="153"/>
      <c r="AJZ24" s="153"/>
      <c r="AKA24" s="153"/>
      <c r="AKB24" s="153"/>
      <c r="AKC24" s="153"/>
      <c r="AKD24" s="153"/>
      <c r="AKE24" s="153"/>
      <c r="AKF24" s="153"/>
      <c r="AKG24" s="153"/>
      <c r="AKH24" s="153"/>
      <c r="AKI24" s="153"/>
      <c r="AKJ24" s="153"/>
      <c r="AKK24" s="153"/>
      <c r="AKL24" s="153"/>
      <c r="AKM24" s="153"/>
      <c r="AKN24" s="153"/>
      <c r="AKO24" s="153"/>
      <c r="AKP24" s="153"/>
      <c r="AKQ24" s="153"/>
      <c r="AKR24" s="153"/>
      <c r="AKS24" s="153"/>
      <c r="AKT24" s="153"/>
      <c r="AKU24" s="153"/>
      <c r="AKV24" s="153"/>
      <c r="AKW24" s="153"/>
      <c r="AKX24" s="153"/>
      <c r="AKY24" s="153"/>
      <c r="AKZ24" s="153"/>
      <c r="ALA24" s="153"/>
      <c r="ALB24" s="153"/>
      <c r="ALC24" s="153"/>
      <c r="ALD24" s="153"/>
      <c r="ALE24" s="153"/>
      <c r="ALF24" s="153"/>
      <c r="ALG24" s="153"/>
      <c r="ALH24" s="153"/>
      <c r="ALI24" s="153"/>
      <c r="ALJ24" s="153"/>
      <c r="ALK24" s="153"/>
      <c r="ALL24" s="153"/>
      <c r="ALM24" s="153"/>
      <c r="ALN24" s="153"/>
      <c r="ALO24" s="153"/>
      <c r="ALP24" s="153"/>
      <c r="ALQ24" s="153"/>
      <c r="ALR24" s="153"/>
      <c r="ALS24" s="153"/>
      <c r="ALT24" s="153"/>
      <c r="ALU24" s="153"/>
      <c r="ALV24" s="153"/>
      <c r="ALW24" s="153"/>
      <c r="ALX24" s="153"/>
      <c r="ALY24" s="153"/>
      <c r="ALZ24" s="153"/>
      <c r="AMA24" s="153"/>
      <c r="AMB24" s="153"/>
      <c r="AMC24" s="153"/>
      <c r="AMD24" s="153"/>
      <c r="AME24" s="153"/>
      <c r="AMF24" s="153"/>
      <c r="AMG24" s="153"/>
      <c r="AMH24" s="153"/>
      <c r="AMI24" s="153"/>
      <c r="AMJ24" s="153"/>
      <c r="AMK24" s="153"/>
    </row>
    <row r="25" spans="1:1025" s="417" customFormat="1" ht="11.25" x14ac:dyDescent="0.2">
      <c r="A25" s="391" t="s">
        <v>851</v>
      </c>
      <c r="B25" s="125">
        <v>5275050.5599999996</v>
      </c>
      <c r="C25" s="388">
        <v>18953236.43</v>
      </c>
      <c r="D25" s="388">
        <v>16578039.869999999</v>
      </c>
      <c r="E25" s="387"/>
      <c r="F25" s="424" t="s">
        <v>852</v>
      </c>
      <c r="G25" s="388">
        <f>C33</f>
        <v>58364.08</v>
      </c>
      <c r="H25" s="153"/>
      <c r="I25" s="393" t="s">
        <v>853</v>
      </c>
      <c r="J25" s="388">
        <f>D33</f>
        <v>4778.16</v>
      </c>
      <c r="K25" s="388"/>
      <c r="L25" s="388">
        <f>SUM(J25:K25)</f>
        <v>4778.16</v>
      </c>
      <c r="M25" s="153"/>
      <c r="N25" s="395"/>
      <c r="O25" s="337"/>
      <c r="P25" s="336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3"/>
      <c r="GG25" s="153"/>
      <c r="GH25" s="153"/>
      <c r="GI25" s="153"/>
      <c r="GJ25" s="153"/>
      <c r="GK25" s="153"/>
      <c r="GL25" s="153"/>
      <c r="GM25" s="153"/>
      <c r="GN25" s="153"/>
      <c r="GO25" s="153"/>
      <c r="GP25" s="153"/>
      <c r="GQ25" s="153"/>
      <c r="GR25" s="153"/>
      <c r="GS25" s="153"/>
      <c r="GT25" s="153"/>
      <c r="GU25" s="153"/>
      <c r="GV25" s="153"/>
      <c r="GW25" s="153"/>
      <c r="GX25" s="153"/>
      <c r="GY25" s="153"/>
      <c r="GZ25" s="153"/>
      <c r="HA25" s="153"/>
      <c r="HB25" s="153"/>
      <c r="HC25" s="153"/>
      <c r="HD25" s="153"/>
      <c r="HE25" s="153"/>
      <c r="HF25" s="153"/>
      <c r="HG25" s="153"/>
      <c r="HH25" s="153"/>
      <c r="HI25" s="153"/>
      <c r="HJ25" s="153"/>
      <c r="HK25" s="153"/>
      <c r="HL25" s="153"/>
      <c r="HM25" s="153"/>
      <c r="HN25" s="153"/>
      <c r="HO25" s="153"/>
      <c r="HP25" s="153"/>
      <c r="HQ25" s="153"/>
      <c r="HR25" s="153"/>
      <c r="HS25" s="153"/>
      <c r="HT25" s="153"/>
      <c r="HU25" s="153"/>
      <c r="HV25" s="153"/>
      <c r="HW25" s="153"/>
      <c r="HX25" s="153"/>
      <c r="HY25" s="153"/>
      <c r="HZ25" s="153"/>
      <c r="IA25" s="153"/>
      <c r="IB25" s="153"/>
      <c r="IC25" s="153"/>
      <c r="ID25" s="153"/>
      <c r="IE25" s="153"/>
      <c r="IF25" s="153"/>
      <c r="IG25" s="153"/>
      <c r="IH25" s="153"/>
      <c r="II25" s="153"/>
      <c r="IJ25" s="153"/>
      <c r="IK25" s="153"/>
      <c r="IL25" s="153"/>
      <c r="IM25" s="153"/>
      <c r="IN25" s="153"/>
      <c r="IO25" s="153"/>
      <c r="IP25" s="153"/>
      <c r="IQ25" s="153"/>
      <c r="IR25" s="153"/>
      <c r="IS25" s="153"/>
      <c r="IT25" s="153"/>
      <c r="IU25" s="153"/>
      <c r="IV25" s="153"/>
      <c r="IW25" s="153"/>
      <c r="IX25" s="153"/>
      <c r="IY25" s="153"/>
      <c r="IZ25" s="153"/>
      <c r="JA25" s="153"/>
      <c r="JB25" s="153"/>
      <c r="JC25" s="153"/>
      <c r="JD25" s="153"/>
      <c r="JE25" s="153"/>
      <c r="JF25" s="153"/>
      <c r="JG25" s="153"/>
      <c r="JH25" s="153"/>
      <c r="JI25" s="153"/>
      <c r="JJ25" s="153"/>
      <c r="JK25" s="153"/>
      <c r="JL25" s="153"/>
      <c r="JM25" s="153"/>
      <c r="JN25" s="153"/>
      <c r="JO25" s="153"/>
      <c r="JP25" s="153"/>
      <c r="JQ25" s="153"/>
      <c r="JR25" s="153"/>
      <c r="JS25" s="153"/>
      <c r="JT25" s="153"/>
      <c r="JU25" s="153"/>
      <c r="JV25" s="153"/>
      <c r="JW25" s="153"/>
      <c r="JX25" s="153"/>
      <c r="JY25" s="153"/>
      <c r="JZ25" s="153"/>
      <c r="KA25" s="153"/>
      <c r="KB25" s="153"/>
      <c r="KC25" s="153"/>
      <c r="KD25" s="153"/>
      <c r="KE25" s="153"/>
      <c r="KF25" s="153"/>
      <c r="KG25" s="153"/>
      <c r="KH25" s="153"/>
      <c r="KI25" s="153"/>
      <c r="KJ25" s="153"/>
      <c r="KK25" s="153"/>
      <c r="KL25" s="153"/>
      <c r="KM25" s="153"/>
      <c r="KN25" s="153"/>
      <c r="KO25" s="153"/>
      <c r="KP25" s="153"/>
      <c r="KQ25" s="153"/>
      <c r="KR25" s="153"/>
      <c r="KS25" s="153"/>
      <c r="KT25" s="153"/>
      <c r="KU25" s="153"/>
      <c r="KV25" s="153"/>
      <c r="KW25" s="153"/>
      <c r="KX25" s="153"/>
      <c r="KY25" s="153"/>
      <c r="KZ25" s="153"/>
      <c r="LA25" s="153"/>
      <c r="LB25" s="153"/>
      <c r="LC25" s="153"/>
      <c r="LD25" s="153"/>
      <c r="LE25" s="153"/>
      <c r="LF25" s="153"/>
      <c r="LG25" s="153"/>
      <c r="LH25" s="153"/>
      <c r="LI25" s="153"/>
      <c r="LJ25" s="153"/>
      <c r="LK25" s="153"/>
      <c r="LL25" s="153"/>
      <c r="LM25" s="153"/>
      <c r="LN25" s="153"/>
      <c r="LO25" s="153"/>
      <c r="LP25" s="153"/>
      <c r="LQ25" s="153"/>
      <c r="LR25" s="153"/>
      <c r="LS25" s="153"/>
      <c r="LT25" s="153"/>
      <c r="LU25" s="153"/>
      <c r="LV25" s="153"/>
      <c r="LW25" s="153"/>
      <c r="LX25" s="153"/>
      <c r="LY25" s="153"/>
      <c r="LZ25" s="153"/>
      <c r="MA25" s="153"/>
      <c r="MB25" s="153"/>
      <c r="MC25" s="153"/>
      <c r="MD25" s="153"/>
      <c r="ME25" s="153"/>
      <c r="MF25" s="153"/>
      <c r="MG25" s="153"/>
      <c r="MH25" s="153"/>
      <c r="MI25" s="153"/>
      <c r="MJ25" s="153"/>
      <c r="MK25" s="153"/>
      <c r="ML25" s="153"/>
      <c r="MM25" s="153"/>
      <c r="MN25" s="153"/>
      <c r="MO25" s="153"/>
      <c r="MP25" s="153"/>
      <c r="MQ25" s="153"/>
      <c r="MR25" s="153"/>
      <c r="MS25" s="153"/>
      <c r="MT25" s="153"/>
      <c r="MU25" s="153"/>
      <c r="MV25" s="153"/>
      <c r="MW25" s="153"/>
      <c r="MX25" s="153"/>
      <c r="MY25" s="153"/>
      <c r="MZ25" s="153"/>
      <c r="NA25" s="153"/>
      <c r="NB25" s="153"/>
      <c r="NC25" s="153"/>
      <c r="ND25" s="153"/>
      <c r="NE25" s="153"/>
      <c r="NF25" s="153"/>
      <c r="NG25" s="153"/>
      <c r="NH25" s="153"/>
      <c r="NI25" s="153"/>
      <c r="NJ25" s="153"/>
      <c r="NK25" s="153"/>
      <c r="NL25" s="153"/>
      <c r="NM25" s="153"/>
      <c r="NN25" s="153"/>
      <c r="NO25" s="153"/>
      <c r="NP25" s="153"/>
      <c r="NQ25" s="153"/>
      <c r="NR25" s="153"/>
      <c r="NS25" s="153"/>
      <c r="NT25" s="153"/>
      <c r="NU25" s="153"/>
      <c r="NV25" s="153"/>
      <c r="NW25" s="153"/>
      <c r="NX25" s="153"/>
      <c r="NY25" s="153"/>
      <c r="NZ25" s="153"/>
      <c r="OA25" s="153"/>
      <c r="OB25" s="153"/>
      <c r="OC25" s="153"/>
      <c r="OD25" s="153"/>
      <c r="OE25" s="153"/>
      <c r="OF25" s="153"/>
      <c r="OG25" s="153"/>
      <c r="OH25" s="153"/>
      <c r="OI25" s="153"/>
      <c r="OJ25" s="153"/>
      <c r="OK25" s="153"/>
      <c r="OL25" s="153"/>
      <c r="OM25" s="153"/>
      <c r="ON25" s="153"/>
      <c r="OO25" s="153"/>
      <c r="OP25" s="153"/>
      <c r="OQ25" s="153"/>
      <c r="OR25" s="153"/>
      <c r="OS25" s="153"/>
      <c r="OT25" s="153"/>
      <c r="OU25" s="153"/>
      <c r="OV25" s="153"/>
      <c r="OW25" s="153"/>
      <c r="OX25" s="153"/>
      <c r="OY25" s="153"/>
      <c r="OZ25" s="153"/>
      <c r="PA25" s="153"/>
      <c r="PB25" s="153"/>
      <c r="PC25" s="153"/>
      <c r="PD25" s="153"/>
      <c r="PE25" s="153"/>
      <c r="PF25" s="153"/>
      <c r="PG25" s="153"/>
      <c r="PH25" s="153"/>
      <c r="PI25" s="153"/>
      <c r="PJ25" s="153"/>
      <c r="PK25" s="153"/>
      <c r="PL25" s="153"/>
      <c r="PM25" s="153"/>
      <c r="PN25" s="153"/>
      <c r="PO25" s="153"/>
      <c r="PP25" s="153"/>
      <c r="PQ25" s="153"/>
      <c r="PR25" s="153"/>
      <c r="PS25" s="153"/>
      <c r="PT25" s="153"/>
      <c r="PU25" s="153"/>
      <c r="PV25" s="153"/>
      <c r="PW25" s="153"/>
      <c r="PX25" s="153"/>
      <c r="PY25" s="153"/>
      <c r="PZ25" s="153"/>
      <c r="QA25" s="153"/>
      <c r="QB25" s="153"/>
      <c r="QC25" s="153"/>
      <c r="QD25" s="153"/>
      <c r="QE25" s="153"/>
      <c r="QF25" s="153"/>
      <c r="QG25" s="153"/>
      <c r="QH25" s="153"/>
      <c r="QI25" s="153"/>
      <c r="QJ25" s="153"/>
      <c r="QK25" s="153"/>
      <c r="QL25" s="153"/>
      <c r="QM25" s="153"/>
      <c r="QN25" s="153"/>
      <c r="QO25" s="153"/>
      <c r="QP25" s="153"/>
      <c r="QQ25" s="153"/>
      <c r="QR25" s="153"/>
      <c r="QS25" s="153"/>
      <c r="QT25" s="153"/>
      <c r="QU25" s="153"/>
      <c r="QV25" s="153"/>
      <c r="QW25" s="153"/>
      <c r="QX25" s="153"/>
      <c r="QY25" s="153"/>
      <c r="QZ25" s="153"/>
      <c r="RA25" s="153"/>
      <c r="RB25" s="153"/>
      <c r="RC25" s="153"/>
      <c r="RD25" s="153"/>
      <c r="RE25" s="153"/>
      <c r="RF25" s="153"/>
      <c r="RG25" s="153"/>
      <c r="RH25" s="153"/>
      <c r="RI25" s="153"/>
      <c r="RJ25" s="153"/>
      <c r="RK25" s="153"/>
      <c r="RL25" s="153"/>
      <c r="RM25" s="153"/>
      <c r="RN25" s="153"/>
      <c r="RO25" s="153"/>
      <c r="RP25" s="153"/>
      <c r="RQ25" s="153"/>
      <c r="RR25" s="153"/>
      <c r="RS25" s="153"/>
      <c r="RT25" s="153"/>
      <c r="RU25" s="153"/>
      <c r="RV25" s="153"/>
      <c r="RW25" s="153"/>
      <c r="RX25" s="153"/>
      <c r="RY25" s="153"/>
      <c r="RZ25" s="153"/>
      <c r="SA25" s="153"/>
      <c r="SB25" s="153"/>
      <c r="SC25" s="153"/>
      <c r="SD25" s="153"/>
      <c r="SE25" s="153"/>
      <c r="SF25" s="153"/>
      <c r="SG25" s="153"/>
      <c r="SH25" s="153"/>
      <c r="SI25" s="153"/>
      <c r="SJ25" s="153"/>
      <c r="SK25" s="153"/>
      <c r="SL25" s="153"/>
      <c r="SM25" s="153"/>
      <c r="SN25" s="153"/>
      <c r="SO25" s="153"/>
      <c r="SP25" s="153"/>
      <c r="SQ25" s="153"/>
      <c r="SR25" s="153"/>
      <c r="SS25" s="153"/>
      <c r="ST25" s="153"/>
      <c r="SU25" s="153"/>
      <c r="SV25" s="153"/>
      <c r="SW25" s="153"/>
      <c r="SX25" s="153"/>
      <c r="SY25" s="153"/>
      <c r="SZ25" s="153"/>
      <c r="TA25" s="153"/>
      <c r="TB25" s="153"/>
      <c r="TC25" s="153"/>
      <c r="TD25" s="153"/>
      <c r="TE25" s="153"/>
      <c r="TF25" s="153"/>
      <c r="TG25" s="153"/>
      <c r="TH25" s="153"/>
      <c r="TI25" s="153"/>
      <c r="TJ25" s="153"/>
      <c r="TK25" s="153"/>
      <c r="TL25" s="153"/>
      <c r="TM25" s="153"/>
      <c r="TN25" s="153"/>
      <c r="TO25" s="153"/>
      <c r="TP25" s="153"/>
      <c r="TQ25" s="153"/>
      <c r="TR25" s="153"/>
      <c r="TS25" s="153"/>
      <c r="TT25" s="153"/>
      <c r="TU25" s="153"/>
      <c r="TV25" s="153"/>
      <c r="TW25" s="153"/>
      <c r="TX25" s="153"/>
      <c r="TY25" s="153"/>
      <c r="TZ25" s="153"/>
      <c r="UA25" s="153"/>
      <c r="UB25" s="153"/>
      <c r="UC25" s="153"/>
      <c r="UD25" s="153"/>
      <c r="UE25" s="153"/>
      <c r="UF25" s="153"/>
      <c r="UG25" s="153"/>
      <c r="UH25" s="153"/>
      <c r="UI25" s="153"/>
      <c r="UJ25" s="153"/>
      <c r="UK25" s="153"/>
      <c r="UL25" s="153"/>
      <c r="UM25" s="153"/>
      <c r="UN25" s="153"/>
      <c r="UO25" s="153"/>
      <c r="UP25" s="153"/>
      <c r="UQ25" s="153"/>
      <c r="UR25" s="153"/>
      <c r="US25" s="153"/>
      <c r="UT25" s="153"/>
      <c r="UU25" s="153"/>
      <c r="UV25" s="153"/>
      <c r="UW25" s="153"/>
      <c r="UX25" s="153"/>
      <c r="UY25" s="153"/>
      <c r="UZ25" s="153"/>
      <c r="VA25" s="153"/>
      <c r="VB25" s="153"/>
      <c r="VC25" s="153"/>
      <c r="VD25" s="153"/>
      <c r="VE25" s="153"/>
      <c r="VF25" s="153"/>
      <c r="VG25" s="153"/>
      <c r="VH25" s="153"/>
      <c r="VI25" s="153"/>
      <c r="VJ25" s="153"/>
      <c r="VK25" s="153"/>
      <c r="VL25" s="153"/>
      <c r="VM25" s="153"/>
      <c r="VN25" s="153"/>
      <c r="VO25" s="153"/>
      <c r="VP25" s="153"/>
      <c r="VQ25" s="153"/>
      <c r="VR25" s="153"/>
      <c r="VS25" s="153"/>
      <c r="VT25" s="153"/>
      <c r="VU25" s="153"/>
      <c r="VV25" s="153"/>
      <c r="VW25" s="153"/>
      <c r="VX25" s="153"/>
      <c r="VY25" s="153"/>
      <c r="VZ25" s="153"/>
      <c r="WA25" s="153"/>
      <c r="WB25" s="153"/>
      <c r="WC25" s="153"/>
      <c r="WD25" s="153"/>
      <c r="WE25" s="153"/>
      <c r="WF25" s="153"/>
      <c r="WG25" s="153"/>
      <c r="WH25" s="153"/>
      <c r="WI25" s="153"/>
      <c r="WJ25" s="153"/>
      <c r="WK25" s="153"/>
      <c r="WL25" s="153"/>
      <c r="WM25" s="153"/>
      <c r="WN25" s="153"/>
      <c r="WO25" s="153"/>
      <c r="WP25" s="153"/>
      <c r="WQ25" s="153"/>
      <c r="WR25" s="153"/>
      <c r="WS25" s="153"/>
      <c r="WT25" s="153"/>
      <c r="WU25" s="153"/>
      <c r="WV25" s="153"/>
      <c r="WW25" s="153"/>
      <c r="WX25" s="153"/>
      <c r="WY25" s="153"/>
      <c r="WZ25" s="153"/>
      <c r="XA25" s="153"/>
      <c r="XB25" s="153"/>
      <c r="XC25" s="153"/>
      <c r="XD25" s="153"/>
      <c r="XE25" s="153"/>
      <c r="XF25" s="153"/>
      <c r="XG25" s="153"/>
      <c r="XH25" s="153"/>
      <c r="XI25" s="153"/>
      <c r="XJ25" s="153"/>
      <c r="XK25" s="153"/>
      <c r="XL25" s="153"/>
      <c r="XM25" s="153"/>
      <c r="XN25" s="153"/>
      <c r="XO25" s="153"/>
      <c r="XP25" s="153"/>
      <c r="XQ25" s="153"/>
      <c r="XR25" s="153"/>
      <c r="XS25" s="153"/>
      <c r="XT25" s="153"/>
      <c r="XU25" s="153"/>
      <c r="XV25" s="153"/>
      <c r="XW25" s="153"/>
      <c r="XX25" s="153"/>
      <c r="XY25" s="153"/>
      <c r="XZ25" s="153"/>
      <c r="YA25" s="153"/>
      <c r="YB25" s="153"/>
      <c r="YC25" s="153"/>
      <c r="YD25" s="153"/>
      <c r="YE25" s="153"/>
      <c r="YF25" s="153"/>
      <c r="YG25" s="153"/>
      <c r="YH25" s="153"/>
      <c r="YI25" s="153"/>
      <c r="YJ25" s="153"/>
      <c r="YK25" s="153"/>
      <c r="YL25" s="153"/>
      <c r="YM25" s="153"/>
      <c r="YN25" s="153"/>
      <c r="YO25" s="153"/>
      <c r="YP25" s="153"/>
      <c r="YQ25" s="153"/>
      <c r="YR25" s="153"/>
      <c r="YS25" s="153"/>
      <c r="YT25" s="153"/>
      <c r="YU25" s="153"/>
      <c r="YV25" s="153"/>
      <c r="YW25" s="153"/>
      <c r="YX25" s="153"/>
      <c r="YY25" s="153"/>
      <c r="YZ25" s="153"/>
      <c r="ZA25" s="153"/>
      <c r="ZB25" s="153"/>
      <c r="ZC25" s="153"/>
      <c r="ZD25" s="153"/>
      <c r="ZE25" s="153"/>
      <c r="ZF25" s="153"/>
      <c r="ZG25" s="153"/>
      <c r="ZH25" s="153"/>
      <c r="ZI25" s="153"/>
      <c r="ZJ25" s="153"/>
      <c r="ZK25" s="153"/>
      <c r="ZL25" s="153"/>
      <c r="ZM25" s="153"/>
      <c r="ZN25" s="153"/>
      <c r="ZO25" s="153"/>
      <c r="ZP25" s="153"/>
      <c r="ZQ25" s="153"/>
      <c r="ZR25" s="153"/>
      <c r="ZS25" s="153"/>
      <c r="ZT25" s="153"/>
      <c r="ZU25" s="153"/>
      <c r="ZV25" s="153"/>
      <c r="ZW25" s="153"/>
      <c r="ZX25" s="153"/>
      <c r="ZY25" s="153"/>
      <c r="ZZ25" s="153"/>
      <c r="AAA25" s="153"/>
      <c r="AAB25" s="153"/>
      <c r="AAC25" s="153"/>
      <c r="AAD25" s="153"/>
      <c r="AAE25" s="153"/>
      <c r="AAF25" s="153"/>
      <c r="AAG25" s="153"/>
      <c r="AAH25" s="153"/>
      <c r="AAI25" s="153"/>
      <c r="AAJ25" s="153"/>
      <c r="AAK25" s="153"/>
      <c r="AAL25" s="153"/>
      <c r="AAM25" s="153"/>
      <c r="AAN25" s="153"/>
      <c r="AAO25" s="153"/>
      <c r="AAP25" s="153"/>
      <c r="AAQ25" s="153"/>
      <c r="AAR25" s="153"/>
      <c r="AAS25" s="153"/>
      <c r="AAT25" s="153"/>
      <c r="AAU25" s="153"/>
      <c r="AAV25" s="153"/>
      <c r="AAW25" s="153"/>
      <c r="AAX25" s="153"/>
      <c r="AAY25" s="153"/>
      <c r="AAZ25" s="153"/>
      <c r="ABA25" s="153"/>
      <c r="ABB25" s="153"/>
      <c r="ABC25" s="153"/>
      <c r="ABD25" s="153"/>
      <c r="ABE25" s="153"/>
      <c r="ABF25" s="153"/>
      <c r="ABG25" s="153"/>
      <c r="ABH25" s="153"/>
      <c r="ABI25" s="153"/>
      <c r="ABJ25" s="153"/>
      <c r="ABK25" s="153"/>
      <c r="ABL25" s="153"/>
      <c r="ABM25" s="153"/>
      <c r="ABN25" s="153"/>
      <c r="ABO25" s="153"/>
      <c r="ABP25" s="153"/>
      <c r="ABQ25" s="153"/>
      <c r="ABR25" s="153"/>
      <c r="ABS25" s="153"/>
      <c r="ABT25" s="153"/>
      <c r="ABU25" s="153"/>
      <c r="ABV25" s="153"/>
      <c r="ABW25" s="153"/>
      <c r="ABX25" s="153"/>
      <c r="ABY25" s="153"/>
      <c r="ABZ25" s="153"/>
      <c r="ACA25" s="153"/>
      <c r="ACB25" s="153"/>
      <c r="ACC25" s="153"/>
      <c r="ACD25" s="153"/>
      <c r="ACE25" s="153"/>
      <c r="ACF25" s="153"/>
      <c r="ACG25" s="153"/>
      <c r="ACH25" s="153"/>
      <c r="ACI25" s="153"/>
      <c r="ACJ25" s="153"/>
      <c r="ACK25" s="153"/>
      <c r="ACL25" s="153"/>
      <c r="ACM25" s="153"/>
      <c r="ACN25" s="153"/>
      <c r="ACO25" s="153"/>
      <c r="ACP25" s="153"/>
      <c r="ACQ25" s="153"/>
      <c r="ACR25" s="153"/>
      <c r="ACS25" s="153"/>
      <c r="ACT25" s="153"/>
      <c r="ACU25" s="153"/>
      <c r="ACV25" s="153"/>
      <c r="ACW25" s="153"/>
      <c r="ACX25" s="153"/>
      <c r="ACY25" s="153"/>
      <c r="ACZ25" s="153"/>
      <c r="ADA25" s="153"/>
      <c r="ADB25" s="153"/>
      <c r="ADC25" s="153"/>
      <c r="ADD25" s="153"/>
      <c r="ADE25" s="153"/>
      <c r="ADF25" s="153"/>
      <c r="ADG25" s="153"/>
      <c r="ADH25" s="153"/>
      <c r="ADI25" s="153"/>
      <c r="ADJ25" s="153"/>
      <c r="ADK25" s="153"/>
      <c r="ADL25" s="153"/>
      <c r="ADM25" s="153"/>
      <c r="ADN25" s="153"/>
      <c r="ADO25" s="153"/>
      <c r="ADP25" s="153"/>
      <c r="ADQ25" s="153"/>
      <c r="ADR25" s="153"/>
      <c r="ADS25" s="153"/>
      <c r="ADT25" s="153"/>
      <c r="ADU25" s="153"/>
      <c r="ADV25" s="153"/>
      <c r="ADW25" s="153"/>
      <c r="ADX25" s="153"/>
      <c r="ADY25" s="153"/>
      <c r="ADZ25" s="153"/>
      <c r="AEA25" s="153"/>
      <c r="AEB25" s="153"/>
      <c r="AEC25" s="153"/>
      <c r="AED25" s="153"/>
      <c r="AEE25" s="153"/>
      <c r="AEF25" s="153"/>
      <c r="AEG25" s="153"/>
      <c r="AEH25" s="153"/>
      <c r="AEI25" s="153"/>
      <c r="AEJ25" s="153"/>
      <c r="AEK25" s="153"/>
      <c r="AEL25" s="153"/>
      <c r="AEM25" s="153"/>
      <c r="AEN25" s="153"/>
      <c r="AEO25" s="153"/>
      <c r="AEP25" s="153"/>
      <c r="AEQ25" s="153"/>
      <c r="AER25" s="153"/>
      <c r="AES25" s="153"/>
      <c r="AET25" s="153"/>
      <c r="AEU25" s="153"/>
      <c r="AEV25" s="153"/>
      <c r="AEW25" s="153"/>
      <c r="AEX25" s="153"/>
      <c r="AEY25" s="153"/>
      <c r="AEZ25" s="153"/>
      <c r="AFA25" s="153"/>
      <c r="AFB25" s="153"/>
      <c r="AFC25" s="153"/>
      <c r="AFD25" s="153"/>
      <c r="AFE25" s="153"/>
      <c r="AFF25" s="153"/>
      <c r="AFG25" s="153"/>
      <c r="AFH25" s="153"/>
      <c r="AFI25" s="153"/>
      <c r="AFJ25" s="153"/>
      <c r="AFK25" s="153"/>
      <c r="AFL25" s="153"/>
      <c r="AFM25" s="153"/>
      <c r="AFN25" s="153"/>
      <c r="AFO25" s="153"/>
      <c r="AFP25" s="153"/>
      <c r="AFQ25" s="153"/>
      <c r="AFR25" s="153"/>
      <c r="AFS25" s="153"/>
      <c r="AFT25" s="153"/>
      <c r="AFU25" s="153"/>
      <c r="AFV25" s="153"/>
      <c r="AFW25" s="153"/>
      <c r="AFX25" s="153"/>
      <c r="AFY25" s="153"/>
      <c r="AFZ25" s="153"/>
      <c r="AGA25" s="153"/>
      <c r="AGB25" s="153"/>
      <c r="AGC25" s="153"/>
      <c r="AGD25" s="153"/>
      <c r="AGE25" s="153"/>
      <c r="AGF25" s="153"/>
      <c r="AGG25" s="153"/>
      <c r="AGH25" s="153"/>
      <c r="AGI25" s="153"/>
      <c r="AGJ25" s="153"/>
      <c r="AGK25" s="153"/>
      <c r="AGL25" s="153"/>
      <c r="AGM25" s="153"/>
      <c r="AGN25" s="153"/>
      <c r="AGO25" s="153"/>
      <c r="AGP25" s="153"/>
      <c r="AGQ25" s="153"/>
      <c r="AGR25" s="153"/>
      <c r="AGS25" s="153"/>
      <c r="AGT25" s="153"/>
      <c r="AGU25" s="153"/>
      <c r="AGV25" s="153"/>
      <c r="AGW25" s="153"/>
      <c r="AGX25" s="153"/>
      <c r="AGY25" s="153"/>
      <c r="AGZ25" s="153"/>
      <c r="AHA25" s="153"/>
      <c r="AHB25" s="153"/>
      <c r="AHC25" s="153"/>
      <c r="AHD25" s="153"/>
      <c r="AHE25" s="153"/>
      <c r="AHF25" s="153"/>
      <c r="AHG25" s="153"/>
      <c r="AHH25" s="153"/>
      <c r="AHI25" s="153"/>
      <c r="AHJ25" s="153"/>
      <c r="AHK25" s="153"/>
      <c r="AHL25" s="153"/>
      <c r="AHM25" s="153"/>
      <c r="AHN25" s="153"/>
      <c r="AHO25" s="153"/>
      <c r="AHP25" s="153"/>
      <c r="AHQ25" s="153"/>
      <c r="AHR25" s="153"/>
      <c r="AHS25" s="153"/>
      <c r="AHT25" s="153"/>
      <c r="AHU25" s="153"/>
      <c r="AHV25" s="153"/>
      <c r="AHW25" s="153"/>
      <c r="AHX25" s="153"/>
      <c r="AHY25" s="153"/>
      <c r="AHZ25" s="153"/>
      <c r="AIA25" s="153"/>
      <c r="AIB25" s="153"/>
      <c r="AIC25" s="153"/>
      <c r="AID25" s="153"/>
      <c r="AIE25" s="153"/>
      <c r="AIF25" s="153"/>
      <c r="AIG25" s="153"/>
      <c r="AIH25" s="153"/>
      <c r="AII25" s="153"/>
      <c r="AIJ25" s="153"/>
      <c r="AIK25" s="153"/>
      <c r="AIL25" s="153"/>
      <c r="AIM25" s="153"/>
      <c r="AIN25" s="153"/>
      <c r="AIO25" s="153"/>
      <c r="AIP25" s="153"/>
      <c r="AIQ25" s="153"/>
      <c r="AIR25" s="153"/>
      <c r="AIS25" s="153"/>
      <c r="AIT25" s="153"/>
      <c r="AIU25" s="153"/>
      <c r="AIV25" s="153"/>
      <c r="AIW25" s="153"/>
      <c r="AIX25" s="153"/>
      <c r="AIY25" s="153"/>
      <c r="AIZ25" s="153"/>
      <c r="AJA25" s="153"/>
      <c r="AJB25" s="153"/>
      <c r="AJC25" s="153"/>
      <c r="AJD25" s="153"/>
      <c r="AJE25" s="153"/>
      <c r="AJF25" s="153"/>
      <c r="AJG25" s="153"/>
      <c r="AJH25" s="153"/>
      <c r="AJI25" s="153"/>
      <c r="AJJ25" s="153"/>
      <c r="AJK25" s="153"/>
      <c r="AJL25" s="153"/>
      <c r="AJM25" s="153"/>
      <c r="AJN25" s="153"/>
      <c r="AJO25" s="153"/>
      <c r="AJP25" s="153"/>
      <c r="AJQ25" s="153"/>
      <c r="AJR25" s="153"/>
      <c r="AJS25" s="153"/>
      <c r="AJT25" s="153"/>
      <c r="AJU25" s="153"/>
      <c r="AJV25" s="153"/>
      <c r="AJW25" s="153"/>
      <c r="AJX25" s="153"/>
      <c r="AJY25" s="153"/>
      <c r="AJZ25" s="153"/>
      <c r="AKA25" s="153"/>
      <c r="AKB25" s="153"/>
      <c r="AKC25" s="153"/>
      <c r="AKD25" s="153"/>
      <c r="AKE25" s="153"/>
      <c r="AKF25" s="153"/>
      <c r="AKG25" s="153"/>
      <c r="AKH25" s="153"/>
      <c r="AKI25" s="153"/>
      <c r="AKJ25" s="153"/>
      <c r="AKK25" s="153"/>
      <c r="AKL25" s="153"/>
      <c r="AKM25" s="153"/>
      <c r="AKN25" s="153"/>
      <c r="AKO25" s="153"/>
      <c r="AKP25" s="153"/>
      <c r="AKQ25" s="153"/>
      <c r="AKR25" s="153"/>
      <c r="AKS25" s="153"/>
      <c r="AKT25" s="153"/>
      <c r="AKU25" s="153"/>
      <c r="AKV25" s="153"/>
      <c r="AKW25" s="153"/>
      <c r="AKX25" s="153"/>
      <c r="AKY25" s="153"/>
      <c r="AKZ25" s="153"/>
      <c r="ALA25" s="153"/>
      <c r="ALB25" s="153"/>
      <c r="ALC25" s="153"/>
      <c r="ALD25" s="153"/>
      <c r="ALE25" s="153"/>
      <c r="ALF25" s="153"/>
      <c r="ALG25" s="153"/>
      <c r="ALH25" s="153"/>
      <c r="ALI25" s="153"/>
      <c r="ALJ25" s="153"/>
      <c r="ALK25" s="153"/>
      <c r="ALL25" s="153"/>
      <c r="ALM25" s="153"/>
      <c r="ALN25" s="153"/>
      <c r="ALO25" s="153"/>
      <c r="ALP25" s="153"/>
      <c r="ALQ25" s="153"/>
      <c r="ALR25" s="153"/>
      <c r="ALS25" s="153"/>
      <c r="ALT25" s="153"/>
      <c r="ALU25" s="153"/>
      <c r="ALV25" s="153"/>
      <c r="ALW25" s="153"/>
      <c r="ALX25" s="153"/>
      <c r="ALY25" s="153"/>
      <c r="ALZ25" s="153"/>
      <c r="AMA25" s="153"/>
      <c r="AMB25" s="153"/>
      <c r="AMC25" s="153"/>
      <c r="AMD25" s="153"/>
      <c r="AME25" s="153"/>
      <c r="AMF25" s="153"/>
      <c r="AMG25" s="153"/>
      <c r="AMH25" s="153"/>
      <c r="AMI25" s="153"/>
      <c r="AMJ25" s="153"/>
      <c r="AMK25" s="153"/>
    </row>
    <row r="26" spans="1:1025" s="417" customFormat="1" ht="11.25" x14ac:dyDescent="0.2">
      <c r="A26" s="391" t="s">
        <v>854</v>
      </c>
      <c r="B26" s="137">
        <v>4970654.8600000003</v>
      </c>
      <c r="C26" s="332">
        <v>18953236.43</v>
      </c>
      <c r="D26" s="332">
        <v>13210047.109999999</v>
      </c>
      <c r="E26" s="153"/>
      <c r="F26" s="393" t="s">
        <v>855</v>
      </c>
      <c r="G26" s="394">
        <f>SUM(I33:J34)</f>
        <v>277026.10000000003</v>
      </c>
      <c r="H26" s="153"/>
      <c r="I26" s="296" t="s">
        <v>856</v>
      </c>
      <c r="J26" s="404">
        <f>J22-SUM(J23:J25)</f>
        <v>13057822.609999999</v>
      </c>
      <c r="K26" s="394">
        <f>K22-SUM(K23:K25)</f>
        <v>0</v>
      </c>
      <c r="L26" s="173">
        <f>L22-SUM(L23:L25)</f>
        <v>13057822.609999999</v>
      </c>
      <c r="M26" s="395"/>
      <c r="N26" s="336"/>
      <c r="O26" s="153"/>
      <c r="P26" s="336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  <c r="GG26" s="153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  <c r="HI26" s="153"/>
      <c r="HJ26" s="153"/>
      <c r="HK26" s="153"/>
      <c r="HL26" s="153"/>
      <c r="HM26" s="153"/>
      <c r="HN26" s="153"/>
      <c r="HO26" s="153"/>
      <c r="HP26" s="153"/>
      <c r="HQ26" s="153"/>
      <c r="HR26" s="153"/>
      <c r="HS26" s="153"/>
      <c r="HT26" s="153"/>
      <c r="HU26" s="153"/>
      <c r="HV26" s="153"/>
      <c r="HW26" s="153"/>
      <c r="HX26" s="153"/>
      <c r="HY26" s="153"/>
      <c r="HZ26" s="153"/>
      <c r="IA26" s="153"/>
      <c r="IB26" s="153"/>
      <c r="IC26" s="153"/>
      <c r="ID26" s="153"/>
      <c r="IE26" s="153"/>
      <c r="IF26" s="153"/>
      <c r="IG26" s="153"/>
      <c r="IH26" s="153"/>
      <c r="II26" s="153"/>
      <c r="IJ26" s="153"/>
      <c r="IK26" s="153"/>
      <c r="IL26" s="153"/>
      <c r="IM26" s="153"/>
      <c r="IN26" s="153"/>
      <c r="IO26" s="153"/>
      <c r="IP26" s="153"/>
      <c r="IQ26" s="153"/>
      <c r="IR26" s="153"/>
      <c r="IS26" s="153"/>
      <c r="IT26" s="153"/>
      <c r="IU26" s="153"/>
      <c r="IV26" s="153"/>
      <c r="IW26" s="153"/>
      <c r="IX26" s="153"/>
      <c r="IY26" s="153"/>
      <c r="IZ26" s="153"/>
      <c r="JA26" s="153"/>
      <c r="JB26" s="153"/>
      <c r="JC26" s="153"/>
      <c r="JD26" s="153"/>
      <c r="JE26" s="153"/>
      <c r="JF26" s="153"/>
      <c r="JG26" s="153"/>
      <c r="JH26" s="153"/>
      <c r="JI26" s="153"/>
      <c r="JJ26" s="153"/>
      <c r="JK26" s="153"/>
      <c r="JL26" s="153"/>
      <c r="JM26" s="153"/>
      <c r="JN26" s="153"/>
      <c r="JO26" s="153"/>
      <c r="JP26" s="153"/>
      <c r="JQ26" s="153"/>
      <c r="JR26" s="153"/>
      <c r="JS26" s="153"/>
      <c r="JT26" s="153"/>
      <c r="JU26" s="153"/>
      <c r="JV26" s="153"/>
      <c r="JW26" s="153"/>
      <c r="JX26" s="153"/>
      <c r="JY26" s="153"/>
      <c r="JZ26" s="153"/>
      <c r="KA26" s="153"/>
      <c r="KB26" s="153"/>
      <c r="KC26" s="153"/>
      <c r="KD26" s="153"/>
      <c r="KE26" s="153"/>
      <c r="KF26" s="153"/>
      <c r="KG26" s="153"/>
      <c r="KH26" s="153"/>
      <c r="KI26" s="153"/>
      <c r="KJ26" s="153"/>
      <c r="KK26" s="153"/>
      <c r="KL26" s="153"/>
      <c r="KM26" s="153"/>
      <c r="KN26" s="153"/>
      <c r="KO26" s="153"/>
      <c r="KP26" s="153"/>
      <c r="KQ26" s="153"/>
      <c r="KR26" s="153"/>
      <c r="KS26" s="153"/>
      <c r="KT26" s="153"/>
      <c r="KU26" s="153"/>
      <c r="KV26" s="153"/>
      <c r="KW26" s="153"/>
      <c r="KX26" s="153"/>
      <c r="KY26" s="153"/>
      <c r="KZ26" s="153"/>
      <c r="LA26" s="153"/>
      <c r="LB26" s="153"/>
      <c r="LC26" s="153"/>
      <c r="LD26" s="153"/>
      <c r="LE26" s="153"/>
      <c r="LF26" s="153"/>
      <c r="LG26" s="153"/>
      <c r="LH26" s="153"/>
      <c r="LI26" s="153"/>
      <c r="LJ26" s="153"/>
      <c r="LK26" s="153"/>
      <c r="LL26" s="153"/>
      <c r="LM26" s="153"/>
      <c r="LN26" s="153"/>
      <c r="LO26" s="153"/>
      <c r="LP26" s="153"/>
      <c r="LQ26" s="153"/>
      <c r="LR26" s="153"/>
      <c r="LS26" s="153"/>
      <c r="LT26" s="153"/>
      <c r="LU26" s="153"/>
      <c r="LV26" s="153"/>
      <c r="LW26" s="153"/>
      <c r="LX26" s="153"/>
      <c r="LY26" s="153"/>
      <c r="LZ26" s="153"/>
      <c r="MA26" s="153"/>
      <c r="MB26" s="153"/>
      <c r="MC26" s="153"/>
      <c r="MD26" s="153"/>
      <c r="ME26" s="153"/>
      <c r="MF26" s="153"/>
      <c r="MG26" s="153"/>
      <c r="MH26" s="153"/>
      <c r="MI26" s="153"/>
      <c r="MJ26" s="153"/>
      <c r="MK26" s="153"/>
      <c r="ML26" s="153"/>
      <c r="MM26" s="153"/>
      <c r="MN26" s="153"/>
      <c r="MO26" s="153"/>
      <c r="MP26" s="153"/>
      <c r="MQ26" s="153"/>
      <c r="MR26" s="153"/>
      <c r="MS26" s="153"/>
      <c r="MT26" s="153"/>
      <c r="MU26" s="153"/>
      <c r="MV26" s="153"/>
      <c r="MW26" s="153"/>
      <c r="MX26" s="153"/>
      <c r="MY26" s="153"/>
      <c r="MZ26" s="153"/>
      <c r="NA26" s="153"/>
      <c r="NB26" s="153"/>
      <c r="NC26" s="153"/>
      <c r="ND26" s="153"/>
      <c r="NE26" s="153"/>
      <c r="NF26" s="153"/>
      <c r="NG26" s="153"/>
      <c r="NH26" s="153"/>
      <c r="NI26" s="153"/>
      <c r="NJ26" s="153"/>
      <c r="NK26" s="153"/>
      <c r="NL26" s="153"/>
      <c r="NM26" s="153"/>
      <c r="NN26" s="153"/>
      <c r="NO26" s="153"/>
      <c r="NP26" s="153"/>
      <c r="NQ26" s="153"/>
      <c r="NR26" s="153"/>
      <c r="NS26" s="153"/>
      <c r="NT26" s="153"/>
      <c r="NU26" s="153"/>
      <c r="NV26" s="153"/>
      <c r="NW26" s="153"/>
      <c r="NX26" s="153"/>
      <c r="NY26" s="153"/>
      <c r="NZ26" s="153"/>
      <c r="OA26" s="153"/>
      <c r="OB26" s="153"/>
      <c r="OC26" s="153"/>
      <c r="OD26" s="153"/>
      <c r="OE26" s="153"/>
      <c r="OF26" s="153"/>
      <c r="OG26" s="153"/>
      <c r="OH26" s="153"/>
      <c r="OI26" s="153"/>
      <c r="OJ26" s="153"/>
      <c r="OK26" s="153"/>
      <c r="OL26" s="153"/>
      <c r="OM26" s="153"/>
      <c r="ON26" s="153"/>
      <c r="OO26" s="153"/>
      <c r="OP26" s="153"/>
      <c r="OQ26" s="153"/>
      <c r="OR26" s="153"/>
      <c r="OS26" s="153"/>
      <c r="OT26" s="153"/>
      <c r="OU26" s="153"/>
      <c r="OV26" s="153"/>
      <c r="OW26" s="153"/>
      <c r="OX26" s="153"/>
      <c r="OY26" s="153"/>
      <c r="OZ26" s="153"/>
      <c r="PA26" s="153"/>
      <c r="PB26" s="153"/>
      <c r="PC26" s="153"/>
      <c r="PD26" s="153"/>
      <c r="PE26" s="153"/>
      <c r="PF26" s="153"/>
      <c r="PG26" s="153"/>
      <c r="PH26" s="153"/>
      <c r="PI26" s="153"/>
      <c r="PJ26" s="153"/>
      <c r="PK26" s="153"/>
      <c r="PL26" s="153"/>
      <c r="PM26" s="153"/>
      <c r="PN26" s="153"/>
      <c r="PO26" s="153"/>
      <c r="PP26" s="153"/>
      <c r="PQ26" s="153"/>
      <c r="PR26" s="153"/>
      <c r="PS26" s="153"/>
      <c r="PT26" s="153"/>
      <c r="PU26" s="153"/>
      <c r="PV26" s="153"/>
      <c r="PW26" s="153"/>
      <c r="PX26" s="153"/>
      <c r="PY26" s="153"/>
      <c r="PZ26" s="153"/>
      <c r="QA26" s="153"/>
      <c r="QB26" s="153"/>
      <c r="QC26" s="153"/>
      <c r="QD26" s="153"/>
      <c r="QE26" s="153"/>
      <c r="QF26" s="153"/>
      <c r="QG26" s="153"/>
      <c r="QH26" s="153"/>
      <c r="QI26" s="153"/>
      <c r="QJ26" s="153"/>
      <c r="QK26" s="153"/>
      <c r="QL26" s="153"/>
      <c r="QM26" s="153"/>
      <c r="QN26" s="153"/>
      <c r="QO26" s="153"/>
      <c r="QP26" s="153"/>
      <c r="QQ26" s="153"/>
      <c r="QR26" s="153"/>
      <c r="QS26" s="153"/>
      <c r="QT26" s="153"/>
      <c r="QU26" s="153"/>
      <c r="QV26" s="153"/>
      <c r="QW26" s="153"/>
      <c r="QX26" s="153"/>
      <c r="QY26" s="153"/>
      <c r="QZ26" s="153"/>
      <c r="RA26" s="153"/>
      <c r="RB26" s="153"/>
      <c r="RC26" s="153"/>
      <c r="RD26" s="153"/>
      <c r="RE26" s="153"/>
      <c r="RF26" s="153"/>
      <c r="RG26" s="153"/>
      <c r="RH26" s="153"/>
      <c r="RI26" s="153"/>
      <c r="RJ26" s="153"/>
      <c r="RK26" s="153"/>
      <c r="RL26" s="153"/>
      <c r="RM26" s="153"/>
      <c r="RN26" s="153"/>
      <c r="RO26" s="153"/>
      <c r="RP26" s="153"/>
      <c r="RQ26" s="153"/>
      <c r="RR26" s="153"/>
      <c r="RS26" s="153"/>
      <c r="RT26" s="153"/>
      <c r="RU26" s="153"/>
      <c r="RV26" s="153"/>
      <c r="RW26" s="153"/>
      <c r="RX26" s="153"/>
      <c r="RY26" s="153"/>
      <c r="RZ26" s="153"/>
      <c r="SA26" s="153"/>
      <c r="SB26" s="153"/>
      <c r="SC26" s="153"/>
      <c r="SD26" s="153"/>
      <c r="SE26" s="153"/>
      <c r="SF26" s="153"/>
      <c r="SG26" s="153"/>
      <c r="SH26" s="153"/>
      <c r="SI26" s="153"/>
      <c r="SJ26" s="153"/>
      <c r="SK26" s="153"/>
      <c r="SL26" s="153"/>
      <c r="SM26" s="153"/>
      <c r="SN26" s="153"/>
      <c r="SO26" s="153"/>
      <c r="SP26" s="153"/>
      <c r="SQ26" s="153"/>
      <c r="SR26" s="153"/>
      <c r="SS26" s="153"/>
      <c r="ST26" s="153"/>
      <c r="SU26" s="153"/>
      <c r="SV26" s="153"/>
      <c r="SW26" s="153"/>
      <c r="SX26" s="153"/>
      <c r="SY26" s="153"/>
      <c r="SZ26" s="153"/>
      <c r="TA26" s="153"/>
      <c r="TB26" s="153"/>
      <c r="TC26" s="153"/>
      <c r="TD26" s="153"/>
      <c r="TE26" s="153"/>
      <c r="TF26" s="153"/>
      <c r="TG26" s="153"/>
      <c r="TH26" s="153"/>
      <c r="TI26" s="153"/>
      <c r="TJ26" s="153"/>
      <c r="TK26" s="153"/>
      <c r="TL26" s="153"/>
      <c r="TM26" s="153"/>
      <c r="TN26" s="153"/>
      <c r="TO26" s="153"/>
      <c r="TP26" s="153"/>
      <c r="TQ26" s="153"/>
      <c r="TR26" s="153"/>
      <c r="TS26" s="153"/>
      <c r="TT26" s="153"/>
      <c r="TU26" s="153"/>
      <c r="TV26" s="153"/>
      <c r="TW26" s="153"/>
      <c r="TX26" s="153"/>
      <c r="TY26" s="153"/>
      <c r="TZ26" s="153"/>
      <c r="UA26" s="153"/>
      <c r="UB26" s="153"/>
      <c r="UC26" s="153"/>
      <c r="UD26" s="153"/>
      <c r="UE26" s="153"/>
      <c r="UF26" s="153"/>
      <c r="UG26" s="153"/>
      <c r="UH26" s="153"/>
      <c r="UI26" s="153"/>
      <c r="UJ26" s="153"/>
      <c r="UK26" s="153"/>
      <c r="UL26" s="153"/>
      <c r="UM26" s="153"/>
      <c r="UN26" s="153"/>
      <c r="UO26" s="153"/>
      <c r="UP26" s="153"/>
      <c r="UQ26" s="153"/>
      <c r="UR26" s="153"/>
      <c r="US26" s="153"/>
      <c r="UT26" s="153"/>
      <c r="UU26" s="153"/>
      <c r="UV26" s="153"/>
      <c r="UW26" s="153"/>
      <c r="UX26" s="153"/>
      <c r="UY26" s="153"/>
      <c r="UZ26" s="153"/>
      <c r="VA26" s="153"/>
      <c r="VB26" s="153"/>
      <c r="VC26" s="153"/>
      <c r="VD26" s="153"/>
      <c r="VE26" s="153"/>
      <c r="VF26" s="153"/>
      <c r="VG26" s="153"/>
      <c r="VH26" s="153"/>
      <c r="VI26" s="153"/>
      <c r="VJ26" s="153"/>
      <c r="VK26" s="153"/>
      <c r="VL26" s="153"/>
      <c r="VM26" s="153"/>
      <c r="VN26" s="153"/>
      <c r="VO26" s="153"/>
      <c r="VP26" s="153"/>
      <c r="VQ26" s="153"/>
      <c r="VR26" s="153"/>
      <c r="VS26" s="153"/>
      <c r="VT26" s="153"/>
      <c r="VU26" s="153"/>
      <c r="VV26" s="153"/>
      <c r="VW26" s="153"/>
      <c r="VX26" s="153"/>
      <c r="VY26" s="153"/>
      <c r="VZ26" s="153"/>
      <c r="WA26" s="153"/>
      <c r="WB26" s="153"/>
      <c r="WC26" s="153"/>
      <c r="WD26" s="153"/>
      <c r="WE26" s="153"/>
      <c r="WF26" s="153"/>
      <c r="WG26" s="153"/>
      <c r="WH26" s="153"/>
      <c r="WI26" s="153"/>
      <c r="WJ26" s="153"/>
      <c r="WK26" s="153"/>
      <c r="WL26" s="153"/>
      <c r="WM26" s="153"/>
      <c r="WN26" s="153"/>
      <c r="WO26" s="153"/>
      <c r="WP26" s="153"/>
      <c r="WQ26" s="153"/>
      <c r="WR26" s="153"/>
      <c r="WS26" s="153"/>
      <c r="WT26" s="153"/>
      <c r="WU26" s="153"/>
      <c r="WV26" s="153"/>
      <c r="WW26" s="153"/>
      <c r="WX26" s="153"/>
      <c r="WY26" s="153"/>
      <c r="WZ26" s="153"/>
      <c r="XA26" s="153"/>
      <c r="XB26" s="153"/>
      <c r="XC26" s="153"/>
      <c r="XD26" s="153"/>
      <c r="XE26" s="153"/>
      <c r="XF26" s="153"/>
      <c r="XG26" s="153"/>
      <c r="XH26" s="153"/>
      <c r="XI26" s="153"/>
      <c r="XJ26" s="153"/>
      <c r="XK26" s="153"/>
      <c r="XL26" s="153"/>
      <c r="XM26" s="153"/>
      <c r="XN26" s="153"/>
      <c r="XO26" s="153"/>
      <c r="XP26" s="153"/>
      <c r="XQ26" s="153"/>
      <c r="XR26" s="153"/>
      <c r="XS26" s="153"/>
      <c r="XT26" s="153"/>
      <c r="XU26" s="153"/>
      <c r="XV26" s="153"/>
      <c r="XW26" s="153"/>
      <c r="XX26" s="153"/>
      <c r="XY26" s="153"/>
      <c r="XZ26" s="153"/>
      <c r="YA26" s="153"/>
      <c r="YB26" s="153"/>
      <c r="YC26" s="153"/>
      <c r="YD26" s="153"/>
      <c r="YE26" s="153"/>
      <c r="YF26" s="153"/>
      <c r="YG26" s="153"/>
      <c r="YH26" s="153"/>
      <c r="YI26" s="153"/>
      <c r="YJ26" s="153"/>
      <c r="YK26" s="153"/>
      <c r="YL26" s="153"/>
      <c r="YM26" s="153"/>
      <c r="YN26" s="153"/>
      <c r="YO26" s="153"/>
      <c r="YP26" s="153"/>
      <c r="YQ26" s="153"/>
      <c r="YR26" s="153"/>
      <c r="YS26" s="153"/>
      <c r="YT26" s="153"/>
      <c r="YU26" s="153"/>
      <c r="YV26" s="153"/>
      <c r="YW26" s="153"/>
      <c r="YX26" s="153"/>
      <c r="YY26" s="153"/>
      <c r="YZ26" s="153"/>
      <c r="ZA26" s="153"/>
      <c r="ZB26" s="153"/>
      <c r="ZC26" s="153"/>
      <c r="ZD26" s="153"/>
      <c r="ZE26" s="153"/>
      <c r="ZF26" s="153"/>
      <c r="ZG26" s="153"/>
      <c r="ZH26" s="153"/>
      <c r="ZI26" s="153"/>
      <c r="ZJ26" s="153"/>
      <c r="ZK26" s="153"/>
      <c r="ZL26" s="153"/>
      <c r="ZM26" s="153"/>
      <c r="ZN26" s="153"/>
      <c r="ZO26" s="153"/>
      <c r="ZP26" s="153"/>
      <c r="ZQ26" s="153"/>
      <c r="ZR26" s="153"/>
      <c r="ZS26" s="153"/>
      <c r="ZT26" s="153"/>
      <c r="ZU26" s="153"/>
      <c r="ZV26" s="153"/>
      <c r="ZW26" s="153"/>
      <c r="ZX26" s="153"/>
      <c r="ZY26" s="153"/>
      <c r="ZZ26" s="153"/>
      <c r="AAA26" s="153"/>
      <c r="AAB26" s="153"/>
      <c r="AAC26" s="153"/>
      <c r="AAD26" s="153"/>
      <c r="AAE26" s="153"/>
      <c r="AAF26" s="153"/>
      <c r="AAG26" s="153"/>
      <c r="AAH26" s="153"/>
      <c r="AAI26" s="153"/>
      <c r="AAJ26" s="153"/>
      <c r="AAK26" s="153"/>
      <c r="AAL26" s="153"/>
      <c r="AAM26" s="153"/>
      <c r="AAN26" s="153"/>
      <c r="AAO26" s="153"/>
      <c r="AAP26" s="153"/>
      <c r="AAQ26" s="153"/>
      <c r="AAR26" s="153"/>
      <c r="AAS26" s="153"/>
      <c r="AAT26" s="153"/>
      <c r="AAU26" s="153"/>
      <c r="AAV26" s="153"/>
      <c r="AAW26" s="153"/>
      <c r="AAX26" s="153"/>
      <c r="AAY26" s="153"/>
      <c r="AAZ26" s="153"/>
      <c r="ABA26" s="153"/>
      <c r="ABB26" s="153"/>
      <c r="ABC26" s="153"/>
      <c r="ABD26" s="153"/>
      <c r="ABE26" s="153"/>
      <c r="ABF26" s="153"/>
      <c r="ABG26" s="153"/>
      <c r="ABH26" s="153"/>
      <c r="ABI26" s="153"/>
      <c r="ABJ26" s="153"/>
      <c r="ABK26" s="153"/>
      <c r="ABL26" s="153"/>
      <c r="ABM26" s="153"/>
      <c r="ABN26" s="153"/>
      <c r="ABO26" s="153"/>
      <c r="ABP26" s="153"/>
      <c r="ABQ26" s="153"/>
      <c r="ABR26" s="153"/>
      <c r="ABS26" s="153"/>
      <c r="ABT26" s="153"/>
      <c r="ABU26" s="153"/>
      <c r="ABV26" s="153"/>
      <c r="ABW26" s="153"/>
      <c r="ABX26" s="153"/>
      <c r="ABY26" s="153"/>
      <c r="ABZ26" s="153"/>
      <c r="ACA26" s="153"/>
      <c r="ACB26" s="153"/>
      <c r="ACC26" s="153"/>
      <c r="ACD26" s="153"/>
      <c r="ACE26" s="153"/>
      <c r="ACF26" s="153"/>
      <c r="ACG26" s="153"/>
      <c r="ACH26" s="153"/>
      <c r="ACI26" s="153"/>
      <c r="ACJ26" s="153"/>
      <c r="ACK26" s="153"/>
      <c r="ACL26" s="153"/>
      <c r="ACM26" s="153"/>
      <c r="ACN26" s="153"/>
      <c r="ACO26" s="153"/>
      <c r="ACP26" s="153"/>
      <c r="ACQ26" s="153"/>
      <c r="ACR26" s="153"/>
      <c r="ACS26" s="153"/>
      <c r="ACT26" s="153"/>
      <c r="ACU26" s="153"/>
      <c r="ACV26" s="153"/>
      <c r="ACW26" s="153"/>
      <c r="ACX26" s="153"/>
      <c r="ACY26" s="153"/>
      <c r="ACZ26" s="153"/>
      <c r="ADA26" s="153"/>
      <c r="ADB26" s="153"/>
      <c r="ADC26" s="153"/>
      <c r="ADD26" s="153"/>
      <c r="ADE26" s="153"/>
      <c r="ADF26" s="153"/>
      <c r="ADG26" s="153"/>
      <c r="ADH26" s="153"/>
      <c r="ADI26" s="153"/>
      <c r="ADJ26" s="153"/>
      <c r="ADK26" s="153"/>
      <c r="ADL26" s="153"/>
      <c r="ADM26" s="153"/>
      <c r="ADN26" s="153"/>
      <c r="ADO26" s="153"/>
      <c r="ADP26" s="153"/>
      <c r="ADQ26" s="153"/>
      <c r="ADR26" s="153"/>
      <c r="ADS26" s="153"/>
      <c r="ADT26" s="153"/>
      <c r="ADU26" s="153"/>
      <c r="ADV26" s="153"/>
      <c r="ADW26" s="153"/>
      <c r="ADX26" s="153"/>
      <c r="ADY26" s="153"/>
      <c r="ADZ26" s="153"/>
      <c r="AEA26" s="153"/>
      <c r="AEB26" s="153"/>
      <c r="AEC26" s="153"/>
      <c r="AED26" s="153"/>
      <c r="AEE26" s="153"/>
      <c r="AEF26" s="153"/>
      <c r="AEG26" s="153"/>
      <c r="AEH26" s="153"/>
      <c r="AEI26" s="153"/>
      <c r="AEJ26" s="153"/>
      <c r="AEK26" s="153"/>
      <c r="AEL26" s="153"/>
      <c r="AEM26" s="153"/>
      <c r="AEN26" s="153"/>
      <c r="AEO26" s="153"/>
      <c r="AEP26" s="153"/>
      <c r="AEQ26" s="153"/>
      <c r="AER26" s="153"/>
      <c r="AES26" s="153"/>
      <c r="AET26" s="153"/>
      <c r="AEU26" s="153"/>
      <c r="AEV26" s="153"/>
      <c r="AEW26" s="153"/>
      <c r="AEX26" s="153"/>
      <c r="AEY26" s="153"/>
      <c r="AEZ26" s="153"/>
      <c r="AFA26" s="153"/>
      <c r="AFB26" s="153"/>
      <c r="AFC26" s="153"/>
      <c r="AFD26" s="153"/>
      <c r="AFE26" s="153"/>
      <c r="AFF26" s="153"/>
      <c r="AFG26" s="153"/>
      <c r="AFH26" s="153"/>
      <c r="AFI26" s="153"/>
      <c r="AFJ26" s="153"/>
      <c r="AFK26" s="153"/>
      <c r="AFL26" s="153"/>
      <c r="AFM26" s="153"/>
      <c r="AFN26" s="153"/>
      <c r="AFO26" s="153"/>
      <c r="AFP26" s="153"/>
      <c r="AFQ26" s="153"/>
      <c r="AFR26" s="153"/>
      <c r="AFS26" s="153"/>
      <c r="AFT26" s="153"/>
      <c r="AFU26" s="153"/>
      <c r="AFV26" s="153"/>
      <c r="AFW26" s="153"/>
      <c r="AFX26" s="153"/>
      <c r="AFY26" s="153"/>
      <c r="AFZ26" s="153"/>
      <c r="AGA26" s="153"/>
      <c r="AGB26" s="153"/>
      <c r="AGC26" s="153"/>
      <c r="AGD26" s="153"/>
      <c r="AGE26" s="153"/>
      <c r="AGF26" s="153"/>
      <c r="AGG26" s="153"/>
      <c r="AGH26" s="153"/>
      <c r="AGI26" s="153"/>
      <c r="AGJ26" s="153"/>
      <c r="AGK26" s="153"/>
      <c r="AGL26" s="153"/>
      <c r="AGM26" s="153"/>
      <c r="AGN26" s="153"/>
      <c r="AGO26" s="153"/>
      <c r="AGP26" s="153"/>
      <c r="AGQ26" s="153"/>
      <c r="AGR26" s="153"/>
      <c r="AGS26" s="153"/>
      <c r="AGT26" s="153"/>
      <c r="AGU26" s="153"/>
      <c r="AGV26" s="153"/>
      <c r="AGW26" s="153"/>
      <c r="AGX26" s="153"/>
      <c r="AGY26" s="153"/>
      <c r="AGZ26" s="153"/>
      <c r="AHA26" s="153"/>
      <c r="AHB26" s="153"/>
      <c r="AHC26" s="153"/>
      <c r="AHD26" s="153"/>
      <c r="AHE26" s="153"/>
      <c r="AHF26" s="153"/>
      <c r="AHG26" s="153"/>
      <c r="AHH26" s="153"/>
      <c r="AHI26" s="153"/>
      <c r="AHJ26" s="153"/>
      <c r="AHK26" s="153"/>
      <c r="AHL26" s="153"/>
      <c r="AHM26" s="153"/>
      <c r="AHN26" s="153"/>
      <c r="AHO26" s="153"/>
      <c r="AHP26" s="153"/>
      <c r="AHQ26" s="153"/>
      <c r="AHR26" s="153"/>
      <c r="AHS26" s="153"/>
      <c r="AHT26" s="153"/>
      <c r="AHU26" s="153"/>
      <c r="AHV26" s="153"/>
      <c r="AHW26" s="153"/>
      <c r="AHX26" s="153"/>
      <c r="AHY26" s="153"/>
      <c r="AHZ26" s="153"/>
      <c r="AIA26" s="153"/>
      <c r="AIB26" s="153"/>
      <c r="AIC26" s="153"/>
      <c r="AID26" s="153"/>
      <c r="AIE26" s="153"/>
      <c r="AIF26" s="153"/>
      <c r="AIG26" s="153"/>
      <c r="AIH26" s="153"/>
      <c r="AII26" s="153"/>
      <c r="AIJ26" s="153"/>
      <c r="AIK26" s="153"/>
      <c r="AIL26" s="153"/>
      <c r="AIM26" s="153"/>
      <c r="AIN26" s="153"/>
      <c r="AIO26" s="153"/>
      <c r="AIP26" s="153"/>
      <c r="AIQ26" s="153"/>
      <c r="AIR26" s="153"/>
      <c r="AIS26" s="153"/>
      <c r="AIT26" s="153"/>
      <c r="AIU26" s="153"/>
      <c r="AIV26" s="153"/>
      <c r="AIW26" s="153"/>
      <c r="AIX26" s="153"/>
      <c r="AIY26" s="153"/>
      <c r="AIZ26" s="153"/>
      <c r="AJA26" s="153"/>
      <c r="AJB26" s="153"/>
      <c r="AJC26" s="153"/>
      <c r="AJD26" s="153"/>
      <c r="AJE26" s="153"/>
      <c r="AJF26" s="153"/>
      <c r="AJG26" s="153"/>
      <c r="AJH26" s="153"/>
      <c r="AJI26" s="153"/>
      <c r="AJJ26" s="153"/>
      <c r="AJK26" s="153"/>
      <c r="AJL26" s="153"/>
      <c r="AJM26" s="153"/>
      <c r="AJN26" s="153"/>
      <c r="AJO26" s="153"/>
      <c r="AJP26" s="153"/>
      <c r="AJQ26" s="153"/>
      <c r="AJR26" s="153"/>
      <c r="AJS26" s="153"/>
      <c r="AJT26" s="153"/>
      <c r="AJU26" s="153"/>
      <c r="AJV26" s="153"/>
      <c r="AJW26" s="153"/>
      <c r="AJX26" s="153"/>
      <c r="AJY26" s="153"/>
      <c r="AJZ26" s="153"/>
      <c r="AKA26" s="153"/>
      <c r="AKB26" s="153"/>
      <c r="AKC26" s="153"/>
      <c r="AKD26" s="153"/>
      <c r="AKE26" s="153"/>
      <c r="AKF26" s="153"/>
      <c r="AKG26" s="153"/>
      <c r="AKH26" s="153"/>
      <c r="AKI26" s="153"/>
      <c r="AKJ26" s="153"/>
      <c r="AKK26" s="153"/>
      <c r="AKL26" s="153"/>
      <c r="AKM26" s="153"/>
      <c r="AKN26" s="153"/>
      <c r="AKO26" s="153"/>
      <c r="AKP26" s="153"/>
      <c r="AKQ26" s="153"/>
      <c r="AKR26" s="153"/>
      <c r="AKS26" s="153"/>
      <c r="AKT26" s="153"/>
      <c r="AKU26" s="153"/>
      <c r="AKV26" s="153"/>
      <c r="AKW26" s="153"/>
      <c r="AKX26" s="153"/>
      <c r="AKY26" s="153"/>
      <c r="AKZ26" s="153"/>
      <c r="ALA26" s="153"/>
      <c r="ALB26" s="153"/>
      <c r="ALC26" s="153"/>
      <c r="ALD26" s="153"/>
      <c r="ALE26" s="153"/>
      <c r="ALF26" s="153"/>
      <c r="ALG26" s="153"/>
      <c r="ALH26" s="153"/>
      <c r="ALI26" s="153"/>
      <c r="ALJ26" s="153"/>
      <c r="ALK26" s="153"/>
      <c r="ALL26" s="153"/>
      <c r="ALM26" s="153"/>
      <c r="ALN26" s="153"/>
      <c r="ALO26" s="153"/>
      <c r="ALP26" s="153"/>
      <c r="ALQ26" s="153"/>
      <c r="ALR26" s="153"/>
      <c r="ALS26" s="153"/>
      <c r="ALT26" s="153"/>
      <c r="ALU26" s="153"/>
      <c r="ALV26" s="153"/>
      <c r="ALW26" s="153"/>
      <c r="ALX26" s="153"/>
      <c r="ALY26" s="153"/>
      <c r="ALZ26" s="153"/>
      <c r="AMA26" s="153"/>
      <c r="AMB26" s="153"/>
      <c r="AMC26" s="153"/>
      <c r="AMD26" s="153"/>
      <c r="AME26" s="153"/>
      <c r="AMF26" s="153"/>
      <c r="AMG26" s="153"/>
      <c r="AMH26" s="153"/>
      <c r="AMI26" s="153"/>
      <c r="AMJ26" s="153"/>
      <c r="AMK26" s="153"/>
    </row>
    <row r="27" spans="1:1025" s="417" customFormat="1" ht="11.25" x14ac:dyDescent="0.2">
      <c r="A27" s="391" t="s">
        <v>857</v>
      </c>
      <c r="B27" s="137">
        <v>4436713.22</v>
      </c>
      <c r="C27" s="388">
        <v>17935410.600000001</v>
      </c>
      <c r="D27" s="388">
        <v>12198433.109999999</v>
      </c>
      <c r="E27" s="396"/>
      <c r="F27" s="388" t="s">
        <v>858</v>
      </c>
      <c r="G27" s="404">
        <f>G22-SUM(G23:G26)</f>
        <v>15807450.909999996</v>
      </c>
      <c r="H27" s="155"/>
      <c r="I27" s="391" t="s">
        <v>859</v>
      </c>
      <c r="J27" s="332">
        <f>(J26/(SUM(D8:D18))*100)</f>
        <v>22.150653963210861</v>
      </c>
      <c r="K27" s="332">
        <f>(K26/(SUM(D8:D18)))*100</f>
        <v>0</v>
      </c>
      <c r="L27" s="397">
        <f>(L26/(SUM(D8:D18)))*100</f>
        <v>22.150653963210861</v>
      </c>
      <c r="M27" s="153"/>
      <c r="N27" s="153"/>
      <c r="O27" s="153"/>
      <c r="P27" s="395"/>
      <c r="Q27" s="336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  <c r="CL27" s="153"/>
      <c r="CM27" s="153"/>
      <c r="CN27" s="153"/>
      <c r="CO27" s="153"/>
      <c r="CP27" s="153"/>
      <c r="CQ27" s="153"/>
      <c r="CR27" s="153"/>
      <c r="CS27" s="153"/>
      <c r="CT27" s="153"/>
      <c r="CU27" s="153"/>
      <c r="CV27" s="153"/>
      <c r="CW27" s="153"/>
      <c r="CX27" s="153"/>
      <c r="CY27" s="153"/>
      <c r="CZ27" s="153"/>
      <c r="DA27" s="153"/>
      <c r="DB27" s="153"/>
      <c r="DC27" s="153"/>
      <c r="DD27" s="153"/>
      <c r="DE27" s="153"/>
      <c r="DF27" s="153"/>
      <c r="DG27" s="153"/>
      <c r="DH27" s="153"/>
      <c r="DI27" s="153"/>
      <c r="DJ27" s="153"/>
      <c r="DK27" s="153"/>
      <c r="DL27" s="153"/>
      <c r="DM27" s="153"/>
      <c r="DN27" s="153"/>
      <c r="DO27" s="153"/>
      <c r="DP27" s="153"/>
      <c r="DQ27" s="153"/>
      <c r="DR27" s="153"/>
      <c r="DS27" s="153"/>
      <c r="DT27" s="153"/>
      <c r="DU27" s="153"/>
      <c r="DV27" s="153"/>
      <c r="DW27" s="153"/>
      <c r="DX27" s="153"/>
      <c r="DY27" s="153"/>
      <c r="DZ27" s="153"/>
      <c r="EA27" s="153"/>
      <c r="EB27" s="153"/>
      <c r="EC27" s="153"/>
      <c r="ED27" s="153"/>
      <c r="EE27" s="153"/>
      <c r="EF27" s="153"/>
      <c r="EG27" s="153"/>
      <c r="EH27" s="153"/>
      <c r="EI27" s="153"/>
      <c r="EJ27" s="153"/>
      <c r="EK27" s="153"/>
      <c r="EL27" s="153"/>
      <c r="EM27" s="153"/>
      <c r="EN27" s="153"/>
      <c r="EO27" s="153"/>
      <c r="EP27" s="153"/>
      <c r="EQ27" s="153"/>
      <c r="ER27" s="153"/>
      <c r="ES27" s="153"/>
      <c r="ET27" s="153"/>
      <c r="EU27" s="153"/>
      <c r="EV27" s="153"/>
      <c r="EW27" s="153"/>
      <c r="EX27" s="153"/>
      <c r="EY27" s="153"/>
      <c r="EZ27" s="153"/>
      <c r="FA27" s="153"/>
      <c r="FB27" s="153"/>
      <c r="FC27" s="153"/>
      <c r="FD27" s="153"/>
      <c r="FE27" s="153"/>
      <c r="FF27" s="153"/>
      <c r="FG27" s="153"/>
      <c r="FH27" s="153"/>
      <c r="FI27" s="153"/>
      <c r="FJ27" s="153"/>
      <c r="FK27" s="153"/>
      <c r="FL27" s="153"/>
      <c r="FM27" s="153"/>
      <c r="FN27" s="153"/>
      <c r="FO27" s="153"/>
      <c r="FP27" s="153"/>
      <c r="FQ27" s="153"/>
      <c r="FR27" s="153"/>
      <c r="FS27" s="153"/>
      <c r="FT27" s="153"/>
      <c r="FU27" s="153"/>
      <c r="FV27" s="153"/>
      <c r="FW27" s="153"/>
      <c r="FX27" s="153"/>
      <c r="FY27" s="153"/>
      <c r="FZ27" s="153"/>
      <c r="GA27" s="153"/>
      <c r="GB27" s="153"/>
      <c r="GC27" s="153"/>
      <c r="GD27" s="153"/>
      <c r="GE27" s="153"/>
      <c r="GF27" s="153"/>
      <c r="GG27" s="153"/>
      <c r="GH27" s="153"/>
      <c r="GI27" s="153"/>
      <c r="GJ27" s="153"/>
      <c r="GK27" s="153"/>
      <c r="GL27" s="153"/>
      <c r="GM27" s="153"/>
      <c r="GN27" s="153"/>
      <c r="GO27" s="153"/>
      <c r="GP27" s="153"/>
      <c r="GQ27" s="153"/>
      <c r="GR27" s="153"/>
      <c r="GS27" s="153"/>
      <c r="GT27" s="153"/>
      <c r="GU27" s="153"/>
      <c r="GV27" s="153"/>
      <c r="GW27" s="153"/>
      <c r="GX27" s="153"/>
      <c r="GY27" s="153"/>
      <c r="GZ27" s="153"/>
      <c r="HA27" s="153"/>
      <c r="HB27" s="153"/>
      <c r="HC27" s="153"/>
      <c r="HD27" s="153"/>
      <c r="HE27" s="153"/>
      <c r="HF27" s="153"/>
      <c r="HG27" s="153"/>
      <c r="HH27" s="153"/>
      <c r="HI27" s="153"/>
      <c r="HJ27" s="153"/>
      <c r="HK27" s="153"/>
      <c r="HL27" s="153"/>
      <c r="HM27" s="153"/>
      <c r="HN27" s="153"/>
      <c r="HO27" s="153"/>
      <c r="HP27" s="153"/>
      <c r="HQ27" s="153"/>
      <c r="HR27" s="153"/>
      <c r="HS27" s="153"/>
      <c r="HT27" s="153"/>
      <c r="HU27" s="153"/>
      <c r="HV27" s="153"/>
      <c r="HW27" s="153"/>
      <c r="HX27" s="153"/>
      <c r="HY27" s="153"/>
      <c r="HZ27" s="153"/>
      <c r="IA27" s="153"/>
      <c r="IB27" s="153"/>
      <c r="IC27" s="153"/>
      <c r="ID27" s="153"/>
      <c r="IE27" s="153"/>
      <c r="IF27" s="153"/>
      <c r="IG27" s="153"/>
      <c r="IH27" s="153"/>
      <c r="II27" s="153"/>
      <c r="IJ27" s="153"/>
      <c r="IK27" s="153"/>
      <c r="IL27" s="153"/>
      <c r="IM27" s="153"/>
      <c r="IN27" s="153"/>
      <c r="IO27" s="153"/>
      <c r="IP27" s="153"/>
      <c r="IQ27" s="153"/>
      <c r="IR27" s="153"/>
      <c r="IS27" s="153"/>
      <c r="IT27" s="153"/>
      <c r="IU27" s="153"/>
      <c r="IV27" s="153"/>
      <c r="IW27" s="153"/>
      <c r="IX27" s="153"/>
      <c r="IY27" s="153"/>
      <c r="IZ27" s="153"/>
      <c r="JA27" s="153"/>
      <c r="JB27" s="153"/>
      <c r="JC27" s="153"/>
      <c r="JD27" s="153"/>
      <c r="JE27" s="153"/>
      <c r="JF27" s="153"/>
      <c r="JG27" s="153"/>
      <c r="JH27" s="153"/>
      <c r="JI27" s="153"/>
      <c r="JJ27" s="153"/>
      <c r="JK27" s="153"/>
      <c r="JL27" s="153"/>
      <c r="JM27" s="153"/>
      <c r="JN27" s="153"/>
      <c r="JO27" s="153"/>
      <c r="JP27" s="153"/>
      <c r="JQ27" s="153"/>
      <c r="JR27" s="153"/>
      <c r="JS27" s="153"/>
      <c r="JT27" s="153"/>
      <c r="JU27" s="153"/>
      <c r="JV27" s="153"/>
      <c r="JW27" s="153"/>
      <c r="JX27" s="153"/>
      <c r="JY27" s="153"/>
      <c r="JZ27" s="153"/>
      <c r="KA27" s="153"/>
      <c r="KB27" s="153"/>
      <c r="KC27" s="153"/>
      <c r="KD27" s="153"/>
      <c r="KE27" s="153"/>
      <c r="KF27" s="153"/>
      <c r="KG27" s="153"/>
      <c r="KH27" s="153"/>
      <c r="KI27" s="153"/>
      <c r="KJ27" s="153"/>
      <c r="KK27" s="153"/>
      <c r="KL27" s="153"/>
      <c r="KM27" s="153"/>
      <c r="KN27" s="153"/>
      <c r="KO27" s="153"/>
      <c r="KP27" s="153"/>
      <c r="KQ27" s="153"/>
      <c r="KR27" s="153"/>
      <c r="KS27" s="153"/>
      <c r="KT27" s="153"/>
      <c r="KU27" s="153"/>
      <c r="KV27" s="153"/>
      <c r="KW27" s="153"/>
      <c r="KX27" s="153"/>
      <c r="KY27" s="153"/>
      <c r="KZ27" s="153"/>
      <c r="LA27" s="153"/>
      <c r="LB27" s="153"/>
      <c r="LC27" s="153"/>
      <c r="LD27" s="153"/>
      <c r="LE27" s="153"/>
      <c r="LF27" s="153"/>
      <c r="LG27" s="153"/>
      <c r="LH27" s="153"/>
      <c r="LI27" s="153"/>
      <c r="LJ27" s="153"/>
      <c r="LK27" s="153"/>
      <c r="LL27" s="153"/>
      <c r="LM27" s="153"/>
      <c r="LN27" s="153"/>
      <c r="LO27" s="153"/>
      <c r="LP27" s="153"/>
      <c r="LQ27" s="153"/>
      <c r="LR27" s="153"/>
      <c r="LS27" s="153"/>
      <c r="LT27" s="153"/>
      <c r="LU27" s="153"/>
      <c r="LV27" s="153"/>
      <c r="LW27" s="153"/>
      <c r="LX27" s="153"/>
      <c r="LY27" s="153"/>
      <c r="LZ27" s="153"/>
      <c r="MA27" s="153"/>
      <c r="MB27" s="153"/>
      <c r="MC27" s="153"/>
      <c r="MD27" s="153"/>
      <c r="ME27" s="153"/>
      <c r="MF27" s="153"/>
      <c r="MG27" s="153"/>
      <c r="MH27" s="153"/>
      <c r="MI27" s="153"/>
      <c r="MJ27" s="153"/>
      <c r="MK27" s="153"/>
      <c r="ML27" s="153"/>
      <c r="MM27" s="153"/>
      <c r="MN27" s="153"/>
      <c r="MO27" s="153"/>
      <c r="MP27" s="153"/>
      <c r="MQ27" s="153"/>
      <c r="MR27" s="153"/>
      <c r="MS27" s="153"/>
      <c r="MT27" s="153"/>
      <c r="MU27" s="153"/>
      <c r="MV27" s="153"/>
      <c r="MW27" s="153"/>
      <c r="MX27" s="153"/>
      <c r="MY27" s="153"/>
      <c r="MZ27" s="153"/>
      <c r="NA27" s="153"/>
      <c r="NB27" s="153"/>
      <c r="NC27" s="153"/>
      <c r="ND27" s="153"/>
      <c r="NE27" s="153"/>
      <c r="NF27" s="153"/>
      <c r="NG27" s="153"/>
      <c r="NH27" s="153"/>
      <c r="NI27" s="153"/>
      <c r="NJ27" s="153"/>
      <c r="NK27" s="153"/>
      <c r="NL27" s="153"/>
      <c r="NM27" s="153"/>
      <c r="NN27" s="153"/>
      <c r="NO27" s="153"/>
      <c r="NP27" s="153"/>
      <c r="NQ27" s="153"/>
      <c r="NR27" s="153"/>
      <c r="NS27" s="153"/>
      <c r="NT27" s="153"/>
      <c r="NU27" s="153"/>
      <c r="NV27" s="153"/>
      <c r="NW27" s="153"/>
      <c r="NX27" s="153"/>
      <c r="NY27" s="153"/>
      <c r="NZ27" s="153"/>
      <c r="OA27" s="153"/>
      <c r="OB27" s="153"/>
      <c r="OC27" s="153"/>
      <c r="OD27" s="153"/>
      <c r="OE27" s="153"/>
      <c r="OF27" s="153"/>
      <c r="OG27" s="153"/>
      <c r="OH27" s="153"/>
      <c r="OI27" s="153"/>
      <c r="OJ27" s="153"/>
      <c r="OK27" s="153"/>
      <c r="OL27" s="153"/>
      <c r="OM27" s="153"/>
      <c r="ON27" s="153"/>
      <c r="OO27" s="153"/>
      <c r="OP27" s="153"/>
      <c r="OQ27" s="153"/>
      <c r="OR27" s="153"/>
      <c r="OS27" s="153"/>
      <c r="OT27" s="153"/>
      <c r="OU27" s="153"/>
      <c r="OV27" s="153"/>
      <c r="OW27" s="153"/>
      <c r="OX27" s="153"/>
      <c r="OY27" s="153"/>
      <c r="OZ27" s="153"/>
      <c r="PA27" s="153"/>
      <c r="PB27" s="153"/>
      <c r="PC27" s="153"/>
      <c r="PD27" s="153"/>
      <c r="PE27" s="153"/>
      <c r="PF27" s="153"/>
      <c r="PG27" s="153"/>
      <c r="PH27" s="153"/>
      <c r="PI27" s="153"/>
      <c r="PJ27" s="153"/>
      <c r="PK27" s="153"/>
      <c r="PL27" s="153"/>
      <c r="PM27" s="153"/>
      <c r="PN27" s="153"/>
      <c r="PO27" s="153"/>
      <c r="PP27" s="153"/>
      <c r="PQ27" s="153"/>
      <c r="PR27" s="153"/>
      <c r="PS27" s="153"/>
      <c r="PT27" s="153"/>
      <c r="PU27" s="153"/>
      <c r="PV27" s="153"/>
      <c r="PW27" s="153"/>
      <c r="PX27" s="153"/>
      <c r="PY27" s="153"/>
      <c r="PZ27" s="153"/>
      <c r="QA27" s="153"/>
      <c r="QB27" s="153"/>
      <c r="QC27" s="153"/>
      <c r="QD27" s="153"/>
      <c r="QE27" s="153"/>
      <c r="QF27" s="153"/>
      <c r="QG27" s="153"/>
      <c r="QH27" s="153"/>
      <c r="QI27" s="153"/>
      <c r="QJ27" s="153"/>
      <c r="QK27" s="153"/>
      <c r="QL27" s="153"/>
      <c r="QM27" s="153"/>
      <c r="QN27" s="153"/>
      <c r="QO27" s="153"/>
      <c r="QP27" s="153"/>
      <c r="QQ27" s="153"/>
      <c r="QR27" s="153"/>
      <c r="QS27" s="153"/>
      <c r="QT27" s="153"/>
      <c r="QU27" s="153"/>
      <c r="QV27" s="153"/>
      <c r="QW27" s="153"/>
      <c r="QX27" s="153"/>
      <c r="QY27" s="153"/>
      <c r="QZ27" s="153"/>
      <c r="RA27" s="153"/>
      <c r="RB27" s="153"/>
      <c r="RC27" s="153"/>
      <c r="RD27" s="153"/>
      <c r="RE27" s="153"/>
      <c r="RF27" s="153"/>
      <c r="RG27" s="153"/>
      <c r="RH27" s="153"/>
      <c r="RI27" s="153"/>
      <c r="RJ27" s="153"/>
      <c r="RK27" s="153"/>
      <c r="RL27" s="153"/>
      <c r="RM27" s="153"/>
      <c r="RN27" s="153"/>
      <c r="RO27" s="153"/>
      <c r="RP27" s="153"/>
      <c r="RQ27" s="153"/>
      <c r="RR27" s="153"/>
      <c r="RS27" s="153"/>
      <c r="RT27" s="153"/>
      <c r="RU27" s="153"/>
      <c r="RV27" s="153"/>
      <c r="RW27" s="153"/>
      <c r="RX27" s="153"/>
      <c r="RY27" s="153"/>
      <c r="RZ27" s="153"/>
      <c r="SA27" s="153"/>
      <c r="SB27" s="153"/>
      <c r="SC27" s="153"/>
      <c r="SD27" s="153"/>
      <c r="SE27" s="153"/>
      <c r="SF27" s="153"/>
      <c r="SG27" s="153"/>
      <c r="SH27" s="153"/>
      <c r="SI27" s="153"/>
      <c r="SJ27" s="153"/>
      <c r="SK27" s="153"/>
      <c r="SL27" s="153"/>
      <c r="SM27" s="153"/>
      <c r="SN27" s="153"/>
      <c r="SO27" s="153"/>
      <c r="SP27" s="153"/>
      <c r="SQ27" s="153"/>
      <c r="SR27" s="153"/>
      <c r="SS27" s="153"/>
      <c r="ST27" s="153"/>
      <c r="SU27" s="153"/>
      <c r="SV27" s="153"/>
      <c r="SW27" s="153"/>
      <c r="SX27" s="153"/>
      <c r="SY27" s="153"/>
      <c r="SZ27" s="153"/>
      <c r="TA27" s="153"/>
      <c r="TB27" s="153"/>
      <c r="TC27" s="153"/>
      <c r="TD27" s="153"/>
      <c r="TE27" s="153"/>
      <c r="TF27" s="153"/>
      <c r="TG27" s="153"/>
      <c r="TH27" s="153"/>
      <c r="TI27" s="153"/>
      <c r="TJ27" s="153"/>
      <c r="TK27" s="153"/>
      <c r="TL27" s="153"/>
      <c r="TM27" s="153"/>
      <c r="TN27" s="153"/>
      <c r="TO27" s="153"/>
      <c r="TP27" s="153"/>
      <c r="TQ27" s="153"/>
      <c r="TR27" s="153"/>
      <c r="TS27" s="153"/>
      <c r="TT27" s="153"/>
      <c r="TU27" s="153"/>
      <c r="TV27" s="153"/>
      <c r="TW27" s="153"/>
      <c r="TX27" s="153"/>
      <c r="TY27" s="153"/>
      <c r="TZ27" s="153"/>
      <c r="UA27" s="153"/>
      <c r="UB27" s="153"/>
      <c r="UC27" s="153"/>
      <c r="UD27" s="153"/>
      <c r="UE27" s="153"/>
      <c r="UF27" s="153"/>
      <c r="UG27" s="153"/>
      <c r="UH27" s="153"/>
      <c r="UI27" s="153"/>
      <c r="UJ27" s="153"/>
      <c r="UK27" s="153"/>
      <c r="UL27" s="153"/>
      <c r="UM27" s="153"/>
      <c r="UN27" s="153"/>
      <c r="UO27" s="153"/>
      <c r="UP27" s="153"/>
      <c r="UQ27" s="153"/>
      <c r="UR27" s="153"/>
      <c r="US27" s="153"/>
      <c r="UT27" s="153"/>
      <c r="UU27" s="153"/>
      <c r="UV27" s="153"/>
      <c r="UW27" s="153"/>
      <c r="UX27" s="153"/>
      <c r="UY27" s="153"/>
      <c r="UZ27" s="153"/>
      <c r="VA27" s="153"/>
      <c r="VB27" s="153"/>
      <c r="VC27" s="153"/>
      <c r="VD27" s="153"/>
      <c r="VE27" s="153"/>
      <c r="VF27" s="153"/>
      <c r="VG27" s="153"/>
      <c r="VH27" s="153"/>
      <c r="VI27" s="153"/>
      <c r="VJ27" s="153"/>
      <c r="VK27" s="153"/>
      <c r="VL27" s="153"/>
      <c r="VM27" s="153"/>
      <c r="VN27" s="153"/>
      <c r="VO27" s="153"/>
      <c r="VP27" s="153"/>
      <c r="VQ27" s="153"/>
      <c r="VR27" s="153"/>
      <c r="VS27" s="153"/>
      <c r="VT27" s="153"/>
      <c r="VU27" s="153"/>
      <c r="VV27" s="153"/>
      <c r="VW27" s="153"/>
      <c r="VX27" s="153"/>
      <c r="VY27" s="153"/>
      <c r="VZ27" s="153"/>
      <c r="WA27" s="153"/>
      <c r="WB27" s="153"/>
      <c r="WC27" s="153"/>
      <c r="WD27" s="153"/>
      <c r="WE27" s="153"/>
      <c r="WF27" s="153"/>
      <c r="WG27" s="153"/>
      <c r="WH27" s="153"/>
      <c r="WI27" s="153"/>
      <c r="WJ27" s="153"/>
      <c r="WK27" s="153"/>
      <c r="WL27" s="153"/>
      <c r="WM27" s="153"/>
      <c r="WN27" s="153"/>
      <c r="WO27" s="153"/>
      <c r="WP27" s="153"/>
      <c r="WQ27" s="153"/>
      <c r="WR27" s="153"/>
      <c r="WS27" s="153"/>
      <c r="WT27" s="153"/>
      <c r="WU27" s="153"/>
      <c r="WV27" s="153"/>
      <c r="WW27" s="153"/>
      <c r="WX27" s="153"/>
      <c r="WY27" s="153"/>
      <c r="WZ27" s="153"/>
      <c r="XA27" s="153"/>
      <c r="XB27" s="153"/>
      <c r="XC27" s="153"/>
      <c r="XD27" s="153"/>
      <c r="XE27" s="153"/>
      <c r="XF27" s="153"/>
      <c r="XG27" s="153"/>
      <c r="XH27" s="153"/>
      <c r="XI27" s="153"/>
      <c r="XJ27" s="153"/>
      <c r="XK27" s="153"/>
      <c r="XL27" s="153"/>
      <c r="XM27" s="153"/>
      <c r="XN27" s="153"/>
      <c r="XO27" s="153"/>
      <c r="XP27" s="153"/>
      <c r="XQ27" s="153"/>
      <c r="XR27" s="153"/>
      <c r="XS27" s="153"/>
      <c r="XT27" s="153"/>
      <c r="XU27" s="153"/>
      <c r="XV27" s="153"/>
      <c r="XW27" s="153"/>
      <c r="XX27" s="153"/>
      <c r="XY27" s="153"/>
      <c r="XZ27" s="153"/>
      <c r="YA27" s="153"/>
      <c r="YB27" s="153"/>
      <c r="YC27" s="153"/>
      <c r="YD27" s="153"/>
      <c r="YE27" s="153"/>
      <c r="YF27" s="153"/>
      <c r="YG27" s="153"/>
      <c r="YH27" s="153"/>
      <c r="YI27" s="153"/>
      <c r="YJ27" s="153"/>
      <c r="YK27" s="153"/>
      <c r="YL27" s="153"/>
      <c r="YM27" s="153"/>
      <c r="YN27" s="153"/>
      <c r="YO27" s="153"/>
      <c r="YP27" s="153"/>
      <c r="YQ27" s="153"/>
      <c r="YR27" s="153"/>
      <c r="YS27" s="153"/>
      <c r="YT27" s="153"/>
      <c r="YU27" s="153"/>
      <c r="YV27" s="153"/>
      <c r="YW27" s="153"/>
      <c r="YX27" s="153"/>
      <c r="YY27" s="153"/>
      <c r="YZ27" s="153"/>
      <c r="ZA27" s="153"/>
      <c r="ZB27" s="153"/>
      <c r="ZC27" s="153"/>
      <c r="ZD27" s="153"/>
      <c r="ZE27" s="153"/>
      <c r="ZF27" s="153"/>
      <c r="ZG27" s="153"/>
      <c r="ZH27" s="153"/>
      <c r="ZI27" s="153"/>
      <c r="ZJ27" s="153"/>
      <c r="ZK27" s="153"/>
      <c r="ZL27" s="153"/>
      <c r="ZM27" s="153"/>
      <c r="ZN27" s="153"/>
      <c r="ZO27" s="153"/>
      <c r="ZP27" s="153"/>
      <c r="ZQ27" s="153"/>
      <c r="ZR27" s="153"/>
      <c r="ZS27" s="153"/>
      <c r="ZT27" s="153"/>
      <c r="ZU27" s="153"/>
      <c r="ZV27" s="153"/>
      <c r="ZW27" s="153"/>
      <c r="ZX27" s="153"/>
      <c r="ZY27" s="153"/>
      <c r="ZZ27" s="153"/>
      <c r="AAA27" s="153"/>
      <c r="AAB27" s="153"/>
      <c r="AAC27" s="153"/>
      <c r="AAD27" s="153"/>
      <c r="AAE27" s="153"/>
      <c r="AAF27" s="153"/>
      <c r="AAG27" s="153"/>
      <c r="AAH27" s="153"/>
      <c r="AAI27" s="153"/>
      <c r="AAJ27" s="153"/>
      <c r="AAK27" s="153"/>
      <c r="AAL27" s="153"/>
      <c r="AAM27" s="153"/>
      <c r="AAN27" s="153"/>
      <c r="AAO27" s="153"/>
      <c r="AAP27" s="153"/>
      <c r="AAQ27" s="153"/>
      <c r="AAR27" s="153"/>
      <c r="AAS27" s="153"/>
      <c r="AAT27" s="153"/>
      <c r="AAU27" s="153"/>
      <c r="AAV27" s="153"/>
      <c r="AAW27" s="153"/>
      <c r="AAX27" s="153"/>
      <c r="AAY27" s="153"/>
      <c r="AAZ27" s="153"/>
      <c r="ABA27" s="153"/>
      <c r="ABB27" s="153"/>
      <c r="ABC27" s="153"/>
      <c r="ABD27" s="153"/>
      <c r="ABE27" s="153"/>
      <c r="ABF27" s="153"/>
      <c r="ABG27" s="153"/>
      <c r="ABH27" s="153"/>
      <c r="ABI27" s="153"/>
      <c r="ABJ27" s="153"/>
      <c r="ABK27" s="153"/>
      <c r="ABL27" s="153"/>
      <c r="ABM27" s="153"/>
      <c r="ABN27" s="153"/>
      <c r="ABO27" s="153"/>
      <c r="ABP27" s="153"/>
      <c r="ABQ27" s="153"/>
      <c r="ABR27" s="153"/>
      <c r="ABS27" s="153"/>
      <c r="ABT27" s="153"/>
      <c r="ABU27" s="153"/>
      <c r="ABV27" s="153"/>
      <c r="ABW27" s="153"/>
      <c r="ABX27" s="153"/>
      <c r="ABY27" s="153"/>
      <c r="ABZ27" s="153"/>
      <c r="ACA27" s="153"/>
      <c r="ACB27" s="153"/>
      <c r="ACC27" s="153"/>
      <c r="ACD27" s="153"/>
      <c r="ACE27" s="153"/>
      <c r="ACF27" s="153"/>
      <c r="ACG27" s="153"/>
      <c r="ACH27" s="153"/>
      <c r="ACI27" s="153"/>
      <c r="ACJ27" s="153"/>
      <c r="ACK27" s="153"/>
      <c r="ACL27" s="153"/>
      <c r="ACM27" s="153"/>
      <c r="ACN27" s="153"/>
      <c r="ACO27" s="153"/>
      <c r="ACP27" s="153"/>
      <c r="ACQ27" s="153"/>
      <c r="ACR27" s="153"/>
      <c r="ACS27" s="153"/>
      <c r="ACT27" s="153"/>
      <c r="ACU27" s="153"/>
      <c r="ACV27" s="153"/>
      <c r="ACW27" s="153"/>
      <c r="ACX27" s="153"/>
      <c r="ACY27" s="153"/>
      <c r="ACZ27" s="153"/>
      <c r="ADA27" s="153"/>
      <c r="ADB27" s="153"/>
      <c r="ADC27" s="153"/>
      <c r="ADD27" s="153"/>
      <c r="ADE27" s="153"/>
      <c r="ADF27" s="153"/>
      <c r="ADG27" s="153"/>
      <c r="ADH27" s="153"/>
      <c r="ADI27" s="153"/>
      <c r="ADJ27" s="153"/>
      <c r="ADK27" s="153"/>
      <c r="ADL27" s="153"/>
      <c r="ADM27" s="153"/>
      <c r="ADN27" s="153"/>
      <c r="ADO27" s="153"/>
      <c r="ADP27" s="153"/>
      <c r="ADQ27" s="153"/>
      <c r="ADR27" s="153"/>
      <c r="ADS27" s="153"/>
      <c r="ADT27" s="153"/>
      <c r="ADU27" s="153"/>
      <c r="ADV27" s="153"/>
      <c r="ADW27" s="153"/>
      <c r="ADX27" s="153"/>
      <c r="ADY27" s="153"/>
      <c r="ADZ27" s="153"/>
      <c r="AEA27" s="153"/>
      <c r="AEB27" s="153"/>
      <c r="AEC27" s="153"/>
      <c r="AED27" s="153"/>
      <c r="AEE27" s="153"/>
      <c r="AEF27" s="153"/>
      <c r="AEG27" s="153"/>
      <c r="AEH27" s="153"/>
      <c r="AEI27" s="153"/>
      <c r="AEJ27" s="153"/>
      <c r="AEK27" s="153"/>
      <c r="AEL27" s="153"/>
      <c r="AEM27" s="153"/>
      <c r="AEN27" s="153"/>
      <c r="AEO27" s="153"/>
      <c r="AEP27" s="153"/>
      <c r="AEQ27" s="153"/>
      <c r="AER27" s="153"/>
      <c r="AES27" s="153"/>
      <c r="AET27" s="153"/>
      <c r="AEU27" s="153"/>
      <c r="AEV27" s="153"/>
      <c r="AEW27" s="153"/>
      <c r="AEX27" s="153"/>
      <c r="AEY27" s="153"/>
      <c r="AEZ27" s="153"/>
      <c r="AFA27" s="153"/>
      <c r="AFB27" s="153"/>
      <c r="AFC27" s="153"/>
      <c r="AFD27" s="153"/>
      <c r="AFE27" s="153"/>
      <c r="AFF27" s="153"/>
      <c r="AFG27" s="153"/>
      <c r="AFH27" s="153"/>
      <c r="AFI27" s="153"/>
      <c r="AFJ27" s="153"/>
      <c r="AFK27" s="153"/>
      <c r="AFL27" s="153"/>
      <c r="AFM27" s="153"/>
      <c r="AFN27" s="153"/>
      <c r="AFO27" s="153"/>
      <c r="AFP27" s="153"/>
      <c r="AFQ27" s="153"/>
      <c r="AFR27" s="153"/>
      <c r="AFS27" s="153"/>
      <c r="AFT27" s="153"/>
      <c r="AFU27" s="153"/>
      <c r="AFV27" s="153"/>
      <c r="AFW27" s="153"/>
      <c r="AFX27" s="153"/>
      <c r="AFY27" s="153"/>
      <c r="AFZ27" s="153"/>
      <c r="AGA27" s="153"/>
      <c r="AGB27" s="153"/>
      <c r="AGC27" s="153"/>
      <c r="AGD27" s="153"/>
      <c r="AGE27" s="153"/>
      <c r="AGF27" s="153"/>
      <c r="AGG27" s="153"/>
      <c r="AGH27" s="153"/>
      <c r="AGI27" s="153"/>
      <c r="AGJ27" s="153"/>
      <c r="AGK27" s="153"/>
      <c r="AGL27" s="153"/>
      <c r="AGM27" s="153"/>
      <c r="AGN27" s="153"/>
      <c r="AGO27" s="153"/>
      <c r="AGP27" s="153"/>
      <c r="AGQ27" s="153"/>
      <c r="AGR27" s="153"/>
      <c r="AGS27" s="153"/>
      <c r="AGT27" s="153"/>
      <c r="AGU27" s="153"/>
      <c r="AGV27" s="153"/>
      <c r="AGW27" s="153"/>
      <c r="AGX27" s="153"/>
      <c r="AGY27" s="153"/>
      <c r="AGZ27" s="153"/>
      <c r="AHA27" s="153"/>
      <c r="AHB27" s="153"/>
      <c r="AHC27" s="153"/>
      <c r="AHD27" s="153"/>
      <c r="AHE27" s="153"/>
      <c r="AHF27" s="153"/>
      <c r="AHG27" s="153"/>
      <c r="AHH27" s="153"/>
      <c r="AHI27" s="153"/>
      <c r="AHJ27" s="153"/>
      <c r="AHK27" s="153"/>
      <c r="AHL27" s="153"/>
      <c r="AHM27" s="153"/>
      <c r="AHN27" s="153"/>
      <c r="AHO27" s="153"/>
      <c r="AHP27" s="153"/>
      <c r="AHQ27" s="153"/>
      <c r="AHR27" s="153"/>
      <c r="AHS27" s="153"/>
      <c r="AHT27" s="153"/>
      <c r="AHU27" s="153"/>
      <c r="AHV27" s="153"/>
      <c r="AHW27" s="153"/>
      <c r="AHX27" s="153"/>
      <c r="AHY27" s="153"/>
      <c r="AHZ27" s="153"/>
      <c r="AIA27" s="153"/>
      <c r="AIB27" s="153"/>
      <c r="AIC27" s="153"/>
      <c r="AID27" s="153"/>
      <c r="AIE27" s="153"/>
      <c r="AIF27" s="153"/>
      <c r="AIG27" s="153"/>
      <c r="AIH27" s="153"/>
      <c r="AII27" s="153"/>
      <c r="AIJ27" s="153"/>
      <c r="AIK27" s="153"/>
      <c r="AIL27" s="153"/>
      <c r="AIM27" s="153"/>
      <c r="AIN27" s="153"/>
      <c r="AIO27" s="153"/>
      <c r="AIP27" s="153"/>
      <c r="AIQ27" s="153"/>
      <c r="AIR27" s="153"/>
      <c r="AIS27" s="153"/>
      <c r="AIT27" s="153"/>
      <c r="AIU27" s="153"/>
      <c r="AIV27" s="153"/>
      <c r="AIW27" s="153"/>
      <c r="AIX27" s="153"/>
      <c r="AIY27" s="153"/>
      <c r="AIZ27" s="153"/>
      <c r="AJA27" s="153"/>
      <c r="AJB27" s="153"/>
      <c r="AJC27" s="153"/>
      <c r="AJD27" s="153"/>
      <c r="AJE27" s="153"/>
      <c r="AJF27" s="153"/>
      <c r="AJG27" s="153"/>
      <c r="AJH27" s="153"/>
      <c r="AJI27" s="153"/>
      <c r="AJJ27" s="153"/>
      <c r="AJK27" s="153"/>
      <c r="AJL27" s="153"/>
      <c r="AJM27" s="153"/>
      <c r="AJN27" s="153"/>
      <c r="AJO27" s="153"/>
      <c r="AJP27" s="153"/>
      <c r="AJQ27" s="153"/>
      <c r="AJR27" s="153"/>
      <c r="AJS27" s="153"/>
      <c r="AJT27" s="153"/>
      <c r="AJU27" s="153"/>
      <c r="AJV27" s="153"/>
      <c r="AJW27" s="153"/>
      <c r="AJX27" s="153"/>
      <c r="AJY27" s="153"/>
      <c r="AJZ27" s="153"/>
      <c r="AKA27" s="153"/>
      <c r="AKB27" s="153"/>
      <c r="AKC27" s="153"/>
      <c r="AKD27" s="153"/>
      <c r="AKE27" s="153"/>
      <c r="AKF27" s="153"/>
      <c r="AKG27" s="153"/>
      <c r="AKH27" s="153"/>
      <c r="AKI27" s="153"/>
      <c r="AKJ27" s="153"/>
      <c r="AKK27" s="153"/>
      <c r="AKL27" s="153"/>
      <c r="AKM27" s="153"/>
      <c r="AKN27" s="153"/>
      <c r="AKO27" s="153"/>
      <c r="AKP27" s="153"/>
      <c r="AKQ27" s="153"/>
      <c r="AKR27" s="153"/>
      <c r="AKS27" s="153"/>
      <c r="AKT27" s="153"/>
      <c r="AKU27" s="153"/>
      <c r="AKV27" s="153"/>
      <c r="AKW27" s="153"/>
      <c r="AKX27" s="153"/>
      <c r="AKY27" s="153"/>
      <c r="AKZ27" s="153"/>
      <c r="ALA27" s="153"/>
      <c r="ALB27" s="153"/>
      <c r="ALC27" s="153"/>
      <c r="ALD27" s="153"/>
      <c r="ALE27" s="153"/>
      <c r="ALF27" s="153"/>
      <c r="ALG27" s="153"/>
      <c r="ALH27" s="153"/>
      <c r="ALI27" s="153"/>
      <c r="ALJ27" s="153"/>
      <c r="ALK27" s="153"/>
      <c r="ALL27" s="153"/>
      <c r="ALM27" s="153"/>
      <c r="ALN27" s="153"/>
      <c r="ALO27" s="153"/>
      <c r="ALP27" s="153"/>
      <c r="ALQ27" s="153"/>
      <c r="ALR27" s="153"/>
      <c r="ALS27" s="153"/>
      <c r="ALT27" s="153"/>
      <c r="ALU27" s="153"/>
      <c r="ALV27" s="153"/>
      <c r="ALW27" s="153"/>
      <c r="ALX27" s="153"/>
      <c r="ALY27" s="153"/>
      <c r="ALZ27" s="153"/>
      <c r="AMA27" s="153"/>
      <c r="AMB27" s="153"/>
      <c r="AMC27" s="153"/>
      <c r="AMD27" s="153"/>
      <c r="AME27" s="153"/>
      <c r="AMF27" s="153"/>
      <c r="AMG27" s="153"/>
      <c r="AMH27" s="153"/>
      <c r="AMI27" s="153"/>
      <c r="AMJ27" s="153"/>
      <c r="AMK27" s="153"/>
    </row>
    <row r="28" spans="1:1025" s="417" customFormat="1" ht="11.25" x14ac:dyDescent="0.2">
      <c r="A28" s="388" t="s">
        <v>860</v>
      </c>
      <c r="B28" s="398">
        <f>B25/SUM(D8:D18)</f>
        <v>8.9483387148725918E-2</v>
      </c>
      <c r="C28" s="399">
        <f>C25/D19</f>
        <v>1.0805187000860306</v>
      </c>
      <c r="D28" s="399">
        <f>D25/SUM(D8:D18)</f>
        <v>0.28122178981621437</v>
      </c>
      <c r="E28" s="387"/>
      <c r="F28" s="400" t="s">
        <v>861</v>
      </c>
      <c r="G28" s="401">
        <f>G27/(SUM(D8:D18))</f>
        <v>0.2681498942095466</v>
      </c>
      <c r="H28" s="153"/>
      <c r="I28" s="153"/>
      <c r="J28" s="366"/>
      <c r="K28" s="153"/>
      <c r="L28" s="366"/>
      <c r="M28" s="153"/>
      <c r="N28" s="153"/>
      <c r="O28" s="153"/>
      <c r="P28" s="395"/>
      <c r="Q28" s="336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3"/>
      <c r="HL28" s="153"/>
      <c r="HM28" s="153"/>
      <c r="HN28" s="153"/>
      <c r="HO28" s="153"/>
      <c r="HP28" s="153"/>
      <c r="HQ28" s="153"/>
      <c r="HR28" s="153"/>
      <c r="HS28" s="153"/>
      <c r="HT28" s="153"/>
      <c r="HU28" s="153"/>
      <c r="HV28" s="153"/>
      <c r="HW28" s="153"/>
      <c r="HX28" s="153"/>
      <c r="HY28" s="153"/>
      <c r="HZ28" s="153"/>
      <c r="IA28" s="153"/>
      <c r="IB28" s="153"/>
      <c r="IC28" s="153"/>
      <c r="ID28" s="153"/>
      <c r="IE28" s="153"/>
      <c r="IF28" s="153"/>
      <c r="IG28" s="153"/>
      <c r="IH28" s="153"/>
      <c r="II28" s="153"/>
      <c r="IJ28" s="153"/>
      <c r="IK28" s="153"/>
      <c r="IL28" s="153"/>
      <c r="IM28" s="153"/>
      <c r="IN28" s="153"/>
      <c r="IO28" s="153"/>
      <c r="IP28" s="153"/>
      <c r="IQ28" s="153"/>
      <c r="IR28" s="153"/>
      <c r="IS28" s="153"/>
      <c r="IT28" s="153"/>
      <c r="IU28" s="153"/>
      <c r="IV28" s="153"/>
      <c r="IW28" s="153"/>
      <c r="IX28" s="153"/>
      <c r="IY28" s="153"/>
      <c r="IZ28" s="153"/>
      <c r="JA28" s="153"/>
      <c r="JB28" s="153"/>
      <c r="JC28" s="153"/>
      <c r="JD28" s="153"/>
      <c r="JE28" s="153"/>
      <c r="JF28" s="153"/>
      <c r="JG28" s="153"/>
      <c r="JH28" s="153"/>
      <c r="JI28" s="153"/>
      <c r="JJ28" s="153"/>
      <c r="JK28" s="153"/>
      <c r="JL28" s="153"/>
      <c r="JM28" s="153"/>
      <c r="JN28" s="153"/>
      <c r="JO28" s="153"/>
      <c r="JP28" s="153"/>
      <c r="JQ28" s="153"/>
      <c r="JR28" s="153"/>
      <c r="JS28" s="153"/>
      <c r="JT28" s="153"/>
      <c r="JU28" s="153"/>
      <c r="JV28" s="153"/>
      <c r="JW28" s="153"/>
      <c r="JX28" s="153"/>
      <c r="JY28" s="153"/>
      <c r="JZ28" s="153"/>
      <c r="KA28" s="153"/>
      <c r="KB28" s="153"/>
      <c r="KC28" s="153"/>
      <c r="KD28" s="153"/>
      <c r="KE28" s="153"/>
      <c r="KF28" s="153"/>
      <c r="KG28" s="153"/>
      <c r="KH28" s="153"/>
      <c r="KI28" s="153"/>
      <c r="KJ28" s="153"/>
      <c r="KK28" s="153"/>
      <c r="KL28" s="153"/>
      <c r="KM28" s="153"/>
      <c r="KN28" s="153"/>
      <c r="KO28" s="153"/>
      <c r="KP28" s="153"/>
      <c r="KQ28" s="153"/>
      <c r="KR28" s="153"/>
      <c r="KS28" s="153"/>
      <c r="KT28" s="153"/>
      <c r="KU28" s="153"/>
      <c r="KV28" s="153"/>
      <c r="KW28" s="153"/>
      <c r="KX28" s="153"/>
      <c r="KY28" s="153"/>
      <c r="KZ28" s="153"/>
      <c r="LA28" s="153"/>
      <c r="LB28" s="153"/>
      <c r="LC28" s="153"/>
      <c r="LD28" s="153"/>
      <c r="LE28" s="153"/>
      <c r="LF28" s="153"/>
      <c r="LG28" s="153"/>
      <c r="LH28" s="153"/>
      <c r="LI28" s="153"/>
      <c r="LJ28" s="153"/>
      <c r="LK28" s="153"/>
      <c r="LL28" s="153"/>
      <c r="LM28" s="153"/>
      <c r="LN28" s="153"/>
      <c r="LO28" s="153"/>
      <c r="LP28" s="153"/>
      <c r="LQ28" s="153"/>
      <c r="LR28" s="153"/>
      <c r="LS28" s="153"/>
      <c r="LT28" s="153"/>
      <c r="LU28" s="153"/>
      <c r="LV28" s="153"/>
      <c r="LW28" s="153"/>
      <c r="LX28" s="153"/>
      <c r="LY28" s="153"/>
      <c r="LZ28" s="153"/>
      <c r="MA28" s="153"/>
      <c r="MB28" s="153"/>
      <c r="MC28" s="153"/>
      <c r="MD28" s="153"/>
      <c r="ME28" s="153"/>
      <c r="MF28" s="153"/>
      <c r="MG28" s="153"/>
      <c r="MH28" s="153"/>
      <c r="MI28" s="153"/>
      <c r="MJ28" s="153"/>
      <c r="MK28" s="153"/>
      <c r="ML28" s="153"/>
      <c r="MM28" s="153"/>
      <c r="MN28" s="153"/>
      <c r="MO28" s="153"/>
      <c r="MP28" s="153"/>
      <c r="MQ28" s="153"/>
      <c r="MR28" s="153"/>
      <c r="MS28" s="153"/>
      <c r="MT28" s="153"/>
      <c r="MU28" s="153"/>
      <c r="MV28" s="153"/>
      <c r="MW28" s="153"/>
      <c r="MX28" s="153"/>
      <c r="MY28" s="153"/>
      <c r="MZ28" s="153"/>
      <c r="NA28" s="153"/>
      <c r="NB28" s="153"/>
      <c r="NC28" s="153"/>
      <c r="ND28" s="153"/>
      <c r="NE28" s="153"/>
      <c r="NF28" s="153"/>
      <c r="NG28" s="153"/>
      <c r="NH28" s="153"/>
      <c r="NI28" s="153"/>
      <c r="NJ28" s="153"/>
      <c r="NK28" s="153"/>
      <c r="NL28" s="153"/>
      <c r="NM28" s="153"/>
      <c r="NN28" s="153"/>
      <c r="NO28" s="153"/>
      <c r="NP28" s="153"/>
      <c r="NQ28" s="153"/>
      <c r="NR28" s="153"/>
      <c r="NS28" s="153"/>
      <c r="NT28" s="153"/>
      <c r="NU28" s="153"/>
      <c r="NV28" s="153"/>
      <c r="NW28" s="153"/>
      <c r="NX28" s="153"/>
      <c r="NY28" s="153"/>
      <c r="NZ28" s="153"/>
      <c r="OA28" s="153"/>
      <c r="OB28" s="153"/>
      <c r="OC28" s="153"/>
      <c r="OD28" s="153"/>
      <c r="OE28" s="153"/>
      <c r="OF28" s="153"/>
      <c r="OG28" s="153"/>
      <c r="OH28" s="153"/>
      <c r="OI28" s="153"/>
      <c r="OJ28" s="153"/>
      <c r="OK28" s="153"/>
      <c r="OL28" s="153"/>
      <c r="OM28" s="153"/>
      <c r="ON28" s="153"/>
      <c r="OO28" s="153"/>
      <c r="OP28" s="153"/>
      <c r="OQ28" s="153"/>
      <c r="OR28" s="153"/>
      <c r="OS28" s="153"/>
      <c r="OT28" s="153"/>
      <c r="OU28" s="153"/>
      <c r="OV28" s="153"/>
      <c r="OW28" s="153"/>
      <c r="OX28" s="153"/>
      <c r="OY28" s="153"/>
      <c r="OZ28" s="153"/>
      <c r="PA28" s="153"/>
      <c r="PB28" s="153"/>
      <c r="PC28" s="153"/>
      <c r="PD28" s="153"/>
      <c r="PE28" s="153"/>
      <c r="PF28" s="153"/>
      <c r="PG28" s="153"/>
      <c r="PH28" s="153"/>
      <c r="PI28" s="153"/>
      <c r="PJ28" s="153"/>
      <c r="PK28" s="153"/>
      <c r="PL28" s="153"/>
      <c r="PM28" s="153"/>
      <c r="PN28" s="153"/>
      <c r="PO28" s="153"/>
      <c r="PP28" s="153"/>
      <c r="PQ28" s="153"/>
      <c r="PR28" s="153"/>
      <c r="PS28" s="153"/>
      <c r="PT28" s="153"/>
      <c r="PU28" s="153"/>
      <c r="PV28" s="153"/>
      <c r="PW28" s="153"/>
      <c r="PX28" s="153"/>
      <c r="PY28" s="153"/>
      <c r="PZ28" s="153"/>
      <c r="QA28" s="153"/>
      <c r="QB28" s="153"/>
      <c r="QC28" s="153"/>
      <c r="QD28" s="153"/>
      <c r="QE28" s="153"/>
      <c r="QF28" s="153"/>
      <c r="QG28" s="153"/>
      <c r="QH28" s="153"/>
      <c r="QI28" s="153"/>
      <c r="QJ28" s="153"/>
      <c r="QK28" s="153"/>
      <c r="QL28" s="153"/>
      <c r="QM28" s="153"/>
      <c r="QN28" s="153"/>
      <c r="QO28" s="153"/>
      <c r="QP28" s="153"/>
      <c r="QQ28" s="153"/>
      <c r="QR28" s="153"/>
      <c r="QS28" s="153"/>
      <c r="QT28" s="153"/>
      <c r="QU28" s="153"/>
      <c r="QV28" s="153"/>
      <c r="QW28" s="153"/>
      <c r="QX28" s="153"/>
      <c r="QY28" s="153"/>
      <c r="QZ28" s="153"/>
      <c r="RA28" s="153"/>
      <c r="RB28" s="153"/>
      <c r="RC28" s="153"/>
      <c r="RD28" s="153"/>
      <c r="RE28" s="153"/>
      <c r="RF28" s="153"/>
      <c r="RG28" s="153"/>
      <c r="RH28" s="153"/>
      <c r="RI28" s="153"/>
      <c r="RJ28" s="153"/>
      <c r="RK28" s="153"/>
      <c r="RL28" s="153"/>
      <c r="RM28" s="153"/>
      <c r="RN28" s="153"/>
      <c r="RO28" s="153"/>
      <c r="RP28" s="153"/>
      <c r="RQ28" s="153"/>
      <c r="RR28" s="153"/>
      <c r="RS28" s="153"/>
      <c r="RT28" s="153"/>
      <c r="RU28" s="153"/>
      <c r="RV28" s="153"/>
      <c r="RW28" s="153"/>
      <c r="RX28" s="153"/>
      <c r="RY28" s="153"/>
      <c r="RZ28" s="153"/>
      <c r="SA28" s="153"/>
      <c r="SB28" s="153"/>
      <c r="SC28" s="153"/>
      <c r="SD28" s="153"/>
      <c r="SE28" s="153"/>
      <c r="SF28" s="153"/>
      <c r="SG28" s="153"/>
      <c r="SH28" s="153"/>
      <c r="SI28" s="153"/>
      <c r="SJ28" s="153"/>
      <c r="SK28" s="153"/>
      <c r="SL28" s="153"/>
      <c r="SM28" s="153"/>
      <c r="SN28" s="153"/>
      <c r="SO28" s="153"/>
      <c r="SP28" s="153"/>
      <c r="SQ28" s="153"/>
      <c r="SR28" s="153"/>
      <c r="SS28" s="153"/>
      <c r="ST28" s="153"/>
      <c r="SU28" s="153"/>
      <c r="SV28" s="153"/>
      <c r="SW28" s="153"/>
      <c r="SX28" s="153"/>
      <c r="SY28" s="153"/>
      <c r="SZ28" s="153"/>
      <c r="TA28" s="153"/>
      <c r="TB28" s="153"/>
      <c r="TC28" s="153"/>
      <c r="TD28" s="153"/>
      <c r="TE28" s="153"/>
      <c r="TF28" s="153"/>
      <c r="TG28" s="153"/>
      <c r="TH28" s="153"/>
      <c r="TI28" s="153"/>
      <c r="TJ28" s="153"/>
      <c r="TK28" s="153"/>
      <c r="TL28" s="153"/>
      <c r="TM28" s="153"/>
      <c r="TN28" s="153"/>
      <c r="TO28" s="153"/>
      <c r="TP28" s="153"/>
      <c r="TQ28" s="153"/>
      <c r="TR28" s="153"/>
      <c r="TS28" s="153"/>
      <c r="TT28" s="153"/>
      <c r="TU28" s="153"/>
      <c r="TV28" s="153"/>
      <c r="TW28" s="153"/>
      <c r="TX28" s="153"/>
      <c r="TY28" s="153"/>
      <c r="TZ28" s="153"/>
      <c r="UA28" s="153"/>
      <c r="UB28" s="153"/>
      <c r="UC28" s="153"/>
      <c r="UD28" s="153"/>
      <c r="UE28" s="153"/>
      <c r="UF28" s="153"/>
      <c r="UG28" s="153"/>
      <c r="UH28" s="153"/>
      <c r="UI28" s="153"/>
      <c r="UJ28" s="153"/>
      <c r="UK28" s="153"/>
      <c r="UL28" s="153"/>
      <c r="UM28" s="153"/>
      <c r="UN28" s="153"/>
      <c r="UO28" s="153"/>
      <c r="UP28" s="153"/>
      <c r="UQ28" s="153"/>
      <c r="UR28" s="153"/>
      <c r="US28" s="153"/>
      <c r="UT28" s="153"/>
      <c r="UU28" s="153"/>
      <c r="UV28" s="153"/>
      <c r="UW28" s="153"/>
      <c r="UX28" s="153"/>
      <c r="UY28" s="153"/>
      <c r="UZ28" s="153"/>
      <c r="VA28" s="153"/>
      <c r="VB28" s="153"/>
      <c r="VC28" s="153"/>
      <c r="VD28" s="153"/>
      <c r="VE28" s="153"/>
      <c r="VF28" s="153"/>
      <c r="VG28" s="153"/>
      <c r="VH28" s="153"/>
      <c r="VI28" s="153"/>
      <c r="VJ28" s="153"/>
      <c r="VK28" s="153"/>
      <c r="VL28" s="153"/>
      <c r="VM28" s="153"/>
      <c r="VN28" s="153"/>
      <c r="VO28" s="153"/>
      <c r="VP28" s="153"/>
      <c r="VQ28" s="153"/>
      <c r="VR28" s="153"/>
      <c r="VS28" s="153"/>
      <c r="VT28" s="153"/>
      <c r="VU28" s="153"/>
      <c r="VV28" s="153"/>
      <c r="VW28" s="153"/>
      <c r="VX28" s="153"/>
      <c r="VY28" s="153"/>
      <c r="VZ28" s="153"/>
      <c r="WA28" s="153"/>
      <c r="WB28" s="153"/>
      <c r="WC28" s="153"/>
      <c r="WD28" s="153"/>
      <c r="WE28" s="153"/>
      <c r="WF28" s="153"/>
      <c r="WG28" s="153"/>
      <c r="WH28" s="153"/>
      <c r="WI28" s="153"/>
      <c r="WJ28" s="153"/>
      <c r="WK28" s="153"/>
      <c r="WL28" s="153"/>
      <c r="WM28" s="153"/>
      <c r="WN28" s="153"/>
      <c r="WO28" s="153"/>
      <c r="WP28" s="153"/>
      <c r="WQ28" s="153"/>
      <c r="WR28" s="153"/>
      <c r="WS28" s="153"/>
      <c r="WT28" s="153"/>
      <c r="WU28" s="153"/>
      <c r="WV28" s="153"/>
      <c r="WW28" s="153"/>
      <c r="WX28" s="153"/>
      <c r="WY28" s="153"/>
      <c r="WZ28" s="153"/>
      <c r="XA28" s="153"/>
      <c r="XB28" s="153"/>
      <c r="XC28" s="153"/>
      <c r="XD28" s="153"/>
      <c r="XE28" s="153"/>
      <c r="XF28" s="153"/>
      <c r="XG28" s="153"/>
      <c r="XH28" s="153"/>
      <c r="XI28" s="153"/>
      <c r="XJ28" s="153"/>
      <c r="XK28" s="153"/>
      <c r="XL28" s="153"/>
      <c r="XM28" s="153"/>
      <c r="XN28" s="153"/>
      <c r="XO28" s="153"/>
      <c r="XP28" s="153"/>
      <c r="XQ28" s="153"/>
      <c r="XR28" s="153"/>
      <c r="XS28" s="153"/>
      <c r="XT28" s="153"/>
      <c r="XU28" s="153"/>
      <c r="XV28" s="153"/>
      <c r="XW28" s="153"/>
      <c r="XX28" s="153"/>
      <c r="XY28" s="153"/>
      <c r="XZ28" s="153"/>
      <c r="YA28" s="153"/>
      <c r="YB28" s="153"/>
      <c r="YC28" s="153"/>
      <c r="YD28" s="153"/>
      <c r="YE28" s="153"/>
      <c r="YF28" s="153"/>
      <c r="YG28" s="153"/>
      <c r="YH28" s="153"/>
      <c r="YI28" s="153"/>
      <c r="YJ28" s="153"/>
      <c r="YK28" s="153"/>
      <c r="YL28" s="153"/>
      <c r="YM28" s="153"/>
      <c r="YN28" s="153"/>
      <c r="YO28" s="153"/>
      <c r="YP28" s="153"/>
      <c r="YQ28" s="153"/>
      <c r="YR28" s="153"/>
      <c r="YS28" s="153"/>
      <c r="YT28" s="153"/>
      <c r="YU28" s="153"/>
      <c r="YV28" s="153"/>
      <c r="YW28" s="153"/>
      <c r="YX28" s="153"/>
      <c r="YY28" s="153"/>
      <c r="YZ28" s="153"/>
      <c r="ZA28" s="153"/>
      <c r="ZB28" s="153"/>
      <c r="ZC28" s="153"/>
      <c r="ZD28" s="153"/>
      <c r="ZE28" s="153"/>
      <c r="ZF28" s="153"/>
      <c r="ZG28" s="153"/>
      <c r="ZH28" s="153"/>
      <c r="ZI28" s="153"/>
      <c r="ZJ28" s="153"/>
      <c r="ZK28" s="153"/>
      <c r="ZL28" s="153"/>
      <c r="ZM28" s="153"/>
      <c r="ZN28" s="153"/>
      <c r="ZO28" s="153"/>
      <c r="ZP28" s="153"/>
      <c r="ZQ28" s="153"/>
      <c r="ZR28" s="153"/>
      <c r="ZS28" s="153"/>
      <c r="ZT28" s="153"/>
      <c r="ZU28" s="153"/>
      <c r="ZV28" s="153"/>
      <c r="ZW28" s="153"/>
      <c r="ZX28" s="153"/>
      <c r="ZY28" s="153"/>
      <c r="ZZ28" s="153"/>
      <c r="AAA28" s="153"/>
      <c r="AAB28" s="153"/>
      <c r="AAC28" s="153"/>
      <c r="AAD28" s="153"/>
      <c r="AAE28" s="153"/>
      <c r="AAF28" s="153"/>
      <c r="AAG28" s="153"/>
      <c r="AAH28" s="153"/>
      <c r="AAI28" s="153"/>
      <c r="AAJ28" s="153"/>
      <c r="AAK28" s="153"/>
      <c r="AAL28" s="153"/>
      <c r="AAM28" s="153"/>
      <c r="AAN28" s="153"/>
      <c r="AAO28" s="153"/>
      <c r="AAP28" s="153"/>
      <c r="AAQ28" s="153"/>
      <c r="AAR28" s="153"/>
      <c r="AAS28" s="153"/>
      <c r="AAT28" s="153"/>
      <c r="AAU28" s="153"/>
      <c r="AAV28" s="153"/>
      <c r="AAW28" s="153"/>
      <c r="AAX28" s="153"/>
      <c r="AAY28" s="153"/>
      <c r="AAZ28" s="153"/>
      <c r="ABA28" s="153"/>
      <c r="ABB28" s="153"/>
      <c r="ABC28" s="153"/>
      <c r="ABD28" s="153"/>
      <c r="ABE28" s="153"/>
      <c r="ABF28" s="153"/>
      <c r="ABG28" s="153"/>
      <c r="ABH28" s="153"/>
      <c r="ABI28" s="153"/>
      <c r="ABJ28" s="153"/>
      <c r="ABK28" s="153"/>
      <c r="ABL28" s="153"/>
      <c r="ABM28" s="153"/>
      <c r="ABN28" s="153"/>
      <c r="ABO28" s="153"/>
      <c r="ABP28" s="153"/>
      <c r="ABQ28" s="153"/>
      <c r="ABR28" s="153"/>
      <c r="ABS28" s="153"/>
      <c r="ABT28" s="153"/>
      <c r="ABU28" s="153"/>
      <c r="ABV28" s="153"/>
      <c r="ABW28" s="153"/>
      <c r="ABX28" s="153"/>
      <c r="ABY28" s="153"/>
      <c r="ABZ28" s="153"/>
      <c r="ACA28" s="153"/>
      <c r="ACB28" s="153"/>
      <c r="ACC28" s="153"/>
      <c r="ACD28" s="153"/>
      <c r="ACE28" s="153"/>
      <c r="ACF28" s="153"/>
      <c r="ACG28" s="153"/>
      <c r="ACH28" s="153"/>
      <c r="ACI28" s="153"/>
      <c r="ACJ28" s="153"/>
      <c r="ACK28" s="153"/>
      <c r="ACL28" s="153"/>
      <c r="ACM28" s="153"/>
      <c r="ACN28" s="153"/>
      <c r="ACO28" s="153"/>
      <c r="ACP28" s="153"/>
      <c r="ACQ28" s="153"/>
      <c r="ACR28" s="153"/>
      <c r="ACS28" s="153"/>
      <c r="ACT28" s="153"/>
      <c r="ACU28" s="153"/>
      <c r="ACV28" s="153"/>
      <c r="ACW28" s="153"/>
      <c r="ACX28" s="153"/>
      <c r="ACY28" s="153"/>
      <c r="ACZ28" s="153"/>
      <c r="ADA28" s="153"/>
      <c r="ADB28" s="153"/>
      <c r="ADC28" s="153"/>
      <c r="ADD28" s="153"/>
      <c r="ADE28" s="153"/>
      <c r="ADF28" s="153"/>
      <c r="ADG28" s="153"/>
      <c r="ADH28" s="153"/>
      <c r="ADI28" s="153"/>
      <c r="ADJ28" s="153"/>
      <c r="ADK28" s="153"/>
      <c r="ADL28" s="153"/>
      <c r="ADM28" s="153"/>
      <c r="ADN28" s="153"/>
      <c r="ADO28" s="153"/>
      <c r="ADP28" s="153"/>
      <c r="ADQ28" s="153"/>
      <c r="ADR28" s="153"/>
      <c r="ADS28" s="153"/>
      <c r="ADT28" s="153"/>
      <c r="ADU28" s="153"/>
      <c r="ADV28" s="153"/>
      <c r="ADW28" s="153"/>
      <c r="ADX28" s="153"/>
      <c r="ADY28" s="153"/>
      <c r="ADZ28" s="153"/>
      <c r="AEA28" s="153"/>
      <c r="AEB28" s="153"/>
      <c r="AEC28" s="153"/>
      <c r="AED28" s="153"/>
      <c r="AEE28" s="153"/>
      <c r="AEF28" s="153"/>
      <c r="AEG28" s="153"/>
      <c r="AEH28" s="153"/>
      <c r="AEI28" s="153"/>
      <c r="AEJ28" s="153"/>
      <c r="AEK28" s="153"/>
      <c r="AEL28" s="153"/>
      <c r="AEM28" s="153"/>
      <c r="AEN28" s="153"/>
      <c r="AEO28" s="153"/>
      <c r="AEP28" s="153"/>
      <c r="AEQ28" s="153"/>
      <c r="AER28" s="153"/>
      <c r="AES28" s="153"/>
      <c r="AET28" s="153"/>
      <c r="AEU28" s="153"/>
      <c r="AEV28" s="153"/>
      <c r="AEW28" s="153"/>
      <c r="AEX28" s="153"/>
      <c r="AEY28" s="153"/>
      <c r="AEZ28" s="153"/>
      <c r="AFA28" s="153"/>
      <c r="AFB28" s="153"/>
      <c r="AFC28" s="153"/>
      <c r="AFD28" s="153"/>
      <c r="AFE28" s="153"/>
      <c r="AFF28" s="153"/>
      <c r="AFG28" s="153"/>
      <c r="AFH28" s="153"/>
      <c r="AFI28" s="153"/>
      <c r="AFJ28" s="153"/>
      <c r="AFK28" s="153"/>
      <c r="AFL28" s="153"/>
      <c r="AFM28" s="153"/>
      <c r="AFN28" s="153"/>
      <c r="AFO28" s="153"/>
      <c r="AFP28" s="153"/>
      <c r="AFQ28" s="153"/>
      <c r="AFR28" s="153"/>
      <c r="AFS28" s="153"/>
      <c r="AFT28" s="153"/>
      <c r="AFU28" s="153"/>
      <c r="AFV28" s="153"/>
      <c r="AFW28" s="153"/>
      <c r="AFX28" s="153"/>
      <c r="AFY28" s="153"/>
      <c r="AFZ28" s="153"/>
      <c r="AGA28" s="153"/>
      <c r="AGB28" s="153"/>
      <c r="AGC28" s="153"/>
      <c r="AGD28" s="153"/>
      <c r="AGE28" s="153"/>
      <c r="AGF28" s="153"/>
      <c r="AGG28" s="153"/>
      <c r="AGH28" s="153"/>
      <c r="AGI28" s="153"/>
      <c r="AGJ28" s="153"/>
      <c r="AGK28" s="153"/>
      <c r="AGL28" s="153"/>
      <c r="AGM28" s="153"/>
      <c r="AGN28" s="153"/>
      <c r="AGO28" s="153"/>
      <c r="AGP28" s="153"/>
      <c r="AGQ28" s="153"/>
      <c r="AGR28" s="153"/>
      <c r="AGS28" s="153"/>
      <c r="AGT28" s="153"/>
      <c r="AGU28" s="153"/>
      <c r="AGV28" s="153"/>
      <c r="AGW28" s="153"/>
      <c r="AGX28" s="153"/>
      <c r="AGY28" s="153"/>
      <c r="AGZ28" s="153"/>
      <c r="AHA28" s="153"/>
      <c r="AHB28" s="153"/>
      <c r="AHC28" s="153"/>
      <c r="AHD28" s="153"/>
      <c r="AHE28" s="153"/>
      <c r="AHF28" s="153"/>
      <c r="AHG28" s="153"/>
      <c r="AHH28" s="153"/>
      <c r="AHI28" s="153"/>
      <c r="AHJ28" s="153"/>
      <c r="AHK28" s="153"/>
      <c r="AHL28" s="153"/>
      <c r="AHM28" s="153"/>
      <c r="AHN28" s="153"/>
      <c r="AHO28" s="153"/>
      <c r="AHP28" s="153"/>
      <c r="AHQ28" s="153"/>
      <c r="AHR28" s="153"/>
      <c r="AHS28" s="153"/>
      <c r="AHT28" s="153"/>
      <c r="AHU28" s="153"/>
      <c r="AHV28" s="153"/>
      <c r="AHW28" s="153"/>
      <c r="AHX28" s="153"/>
      <c r="AHY28" s="153"/>
      <c r="AHZ28" s="153"/>
      <c r="AIA28" s="153"/>
      <c r="AIB28" s="153"/>
      <c r="AIC28" s="153"/>
      <c r="AID28" s="153"/>
      <c r="AIE28" s="153"/>
      <c r="AIF28" s="153"/>
      <c r="AIG28" s="153"/>
      <c r="AIH28" s="153"/>
      <c r="AII28" s="153"/>
      <c r="AIJ28" s="153"/>
      <c r="AIK28" s="153"/>
      <c r="AIL28" s="153"/>
      <c r="AIM28" s="153"/>
      <c r="AIN28" s="153"/>
      <c r="AIO28" s="153"/>
      <c r="AIP28" s="153"/>
      <c r="AIQ28" s="153"/>
      <c r="AIR28" s="153"/>
      <c r="AIS28" s="153"/>
      <c r="AIT28" s="153"/>
      <c r="AIU28" s="153"/>
      <c r="AIV28" s="153"/>
      <c r="AIW28" s="153"/>
      <c r="AIX28" s="153"/>
      <c r="AIY28" s="153"/>
      <c r="AIZ28" s="153"/>
      <c r="AJA28" s="153"/>
      <c r="AJB28" s="153"/>
      <c r="AJC28" s="153"/>
      <c r="AJD28" s="153"/>
      <c r="AJE28" s="153"/>
      <c r="AJF28" s="153"/>
      <c r="AJG28" s="153"/>
      <c r="AJH28" s="153"/>
      <c r="AJI28" s="153"/>
      <c r="AJJ28" s="153"/>
      <c r="AJK28" s="153"/>
      <c r="AJL28" s="153"/>
      <c r="AJM28" s="153"/>
      <c r="AJN28" s="153"/>
      <c r="AJO28" s="153"/>
      <c r="AJP28" s="153"/>
      <c r="AJQ28" s="153"/>
      <c r="AJR28" s="153"/>
      <c r="AJS28" s="153"/>
      <c r="AJT28" s="153"/>
      <c r="AJU28" s="153"/>
      <c r="AJV28" s="153"/>
      <c r="AJW28" s="153"/>
      <c r="AJX28" s="153"/>
      <c r="AJY28" s="153"/>
      <c r="AJZ28" s="153"/>
      <c r="AKA28" s="153"/>
      <c r="AKB28" s="153"/>
      <c r="AKC28" s="153"/>
      <c r="AKD28" s="153"/>
      <c r="AKE28" s="153"/>
      <c r="AKF28" s="153"/>
      <c r="AKG28" s="153"/>
      <c r="AKH28" s="153"/>
      <c r="AKI28" s="153"/>
      <c r="AKJ28" s="153"/>
      <c r="AKK28" s="153"/>
      <c r="AKL28" s="153"/>
      <c r="AKM28" s="153"/>
      <c r="AKN28" s="153"/>
      <c r="AKO28" s="153"/>
      <c r="AKP28" s="153"/>
      <c r="AKQ28" s="153"/>
      <c r="AKR28" s="153"/>
      <c r="AKS28" s="153"/>
      <c r="AKT28" s="153"/>
      <c r="AKU28" s="153"/>
      <c r="AKV28" s="153"/>
      <c r="AKW28" s="153"/>
      <c r="AKX28" s="153"/>
      <c r="AKY28" s="153"/>
      <c r="AKZ28" s="153"/>
      <c r="ALA28" s="153"/>
      <c r="ALB28" s="153"/>
      <c r="ALC28" s="153"/>
      <c r="ALD28" s="153"/>
      <c r="ALE28" s="153"/>
      <c r="ALF28" s="153"/>
      <c r="ALG28" s="153"/>
      <c r="ALH28" s="153"/>
      <c r="ALI28" s="153"/>
      <c r="ALJ28" s="153"/>
      <c r="ALK28" s="153"/>
      <c r="ALL28" s="153"/>
      <c r="ALM28" s="153"/>
      <c r="ALN28" s="153"/>
      <c r="ALO28" s="153"/>
      <c r="ALP28" s="153"/>
      <c r="ALQ28" s="153"/>
      <c r="ALR28" s="153"/>
      <c r="ALS28" s="153"/>
      <c r="ALT28" s="153"/>
      <c r="ALU28" s="153"/>
      <c r="ALV28" s="153"/>
      <c r="ALW28" s="153"/>
      <c r="ALX28" s="153"/>
      <c r="ALY28" s="153"/>
      <c r="ALZ28" s="153"/>
      <c r="AMA28" s="153"/>
      <c r="AMB28" s="153"/>
      <c r="AMC28" s="153"/>
      <c r="AMD28" s="153"/>
      <c r="AME28" s="153"/>
      <c r="AMF28" s="153"/>
      <c r="AMG28" s="153"/>
      <c r="AMH28" s="153"/>
      <c r="AMI28" s="153"/>
      <c r="AMJ28" s="153"/>
      <c r="AMK28" s="153"/>
    </row>
    <row r="29" spans="1:1025" s="417" customFormat="1" ht="11.25" x14ac:dyDescent="0.2">
      <c r="A29" s="340" t="s">
        <v>862</v>
      </c>
      <c r="B29" s="402">
        <f>(B26-B33)/SUM(D8:D18)</f>
        <v>8.4301684231416582E-2</v>
      </c>
      <c r="C29" s="402">
        <f>(C25-C33)/D19</f>
        <v>1.0771913802329687</v>
      </c>
      <c r="D29" s="402">
        <f>(D26-D33)/SUM(D8:D18)</f>
        <v>0.22400774749273672</v>
      </c>
      <c r="E29" s="335"/>
      <c r="F29" s="393" t="s">
        <v>863</v>
      </c>
      <c r="G29" s="404">
        <f>G27-(SUM(D8:D18)*0.25)</f>
        <v>1069937.2549999952</v>
      </c>
      <c r="H29" s="403" t="str">
        <f>IF(G29&gt;0," = A MAIOR","= A MENOR")</f>
        <v xml:space="preserve"> = A MAIOR</v>
      </c>
      <c r="I29" s="153"/>
      <c r="J29" s="336"/>
      <c r="K29" s="153"/>
      <c r="L29" s="153"/>
      <c r="M29" s="153"/>
      <c r="N29" s="153"/>
      <c r="O29" s="153"/>
      <c r="P29" s="395"/>
      <c r="Q29" s="395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153"/>
      <c r="EZ29" s="153"/>
      <c r="FA29" s="153"/>
      <c r="FB29" s="153"/>
      <c r="FC29" s="153"/>
      <c r="FD29" s="153"/>
      <c r="FE29" s="153"/>
      <c r="FF29" s="153"/>
      <c r="FG29" s="153"/>
      <c r="FH29" s="153"/>
      <c r="FI29" s="153"/>
      <c r="FJ29" s="153"/>
      <c r="FK29" s="153"/>
      <c r="FL29" s="153"/>
      <c r="FM29" s="153"/>
      <c r="FN29" s="153"/>
      <c r="FO29" s="153"/>
      <c r="FP29" s="153"/>
      <c r="FQ29" s="153"/>
      <c r="FR29" s="153"/>
      <c r="FS29" s="153"/>
      <c r="FT29" s="153"/>
      <c r="FU29" s="153"/>
      <c r="FV29" s="153"/>
      <c r="FW29" s="153"/>
      <c r="FX29" s="153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  <c r="GM29" s="153"/>
      <c r="GN29" s="153"/>
      <c r="GO29" s="153"/>
      <c r="GP29" s="153"/>
      <c r="GQ29" s="153"/>
      <c r="GR29" s="153"/>
      <c r="GS29" s="153"/>
      <c r="GT29" s="153"/>
      <c r="GU29" s="153"/>
      <c r="GV29" s="153"/>
      <c r="GW29" s="153"/>
      <c r="GX29" s="153"/>
      <c r="GY29" s="153"/>
      <c r="GZ29" s="153"/>
      <c r="HA29" s="153"/>
      <c r="HB29" s="153"/>
      <c r="HC29" s="153"/>
      <c r="HD29" s="153"/>
      <c r="HE29" s="153"/>
      <c r="HF29" s="153"/>
      <c r="HG29" s="153"/>
      <c r="HH29" s="153"/>
      <c r="HI29" s="153"/>
      <c r="HJ29" s="153"/>
      <c r="HK29" s="153"/>
      <c r="HL29" s="153"/>
      <c r="HM29" s="153"/>
      <c r="HN29" s="153"/>
      <c r="HO29" s="153"/>
      <c r="HP29" s="153"/>
      <c r="HQ29" s="153"/>
      <c r="HR29" s="153"/>
      <c r="HS29" s="153"/>
      <c r="HT29" s="153"/>
      <c r="HU29" s="153"/>
      <c r="HV29" s="153"/>
      <c r="HW29" s="153"/>
      <c r="HX29" s="153"/>
      <c r="HY29" s="153"/>
      <c r="HZ29" s="153"/>
      <c r="IA29" s="153"/>
      <c r="IB29" s="153"/>
      <c r="IC29" s="153"/>
      <c r="ID29" s="153"/>
      <c r="IE29" s="153"/>
      <c r="IF29" s="153"/>
      <c r="IG29" s="153"/>
      <c r="IH29" s="153"/>
      <c r="II29" s="153"/>
      <c r="IJ29" s="153"/>
      <c r="IK29" s="153"/>
      <c r="IL29" s="153"/>
      <c r="IM29" s="153"/>
      <c r="IN29" s="153"/>
      <c r="IO29" s="153"/>
      <c r="IP29" s="153"/>
      <c r="IQ29" s="153"/>
      <c r="IR29" s="153"/>
      <c r="IS29" s="153"/>
      <c r="IT29" s="153"/>
      <c r="IU29" s="153"/>
      <c r="IV29" s="153"/>
      <c r="IW29" s="153"/>
      <c r="IX29" s="153"/>
      <c r="IY29" s="153"/>
      <c r="IZ29" s="153"/>
      <c r="JA29" s="153"/>
      <c r="JB29" s="153"/>
      <c r="JC29" s="153"/>
      <c r="JD29" s="153"/>
      <c r="JE29" s="153"/>
      <c r="JF29" s="153"/>
      <c r="JG29" s="153"/>
      <c r="JH29" s="153"/>
      <c r="JI29" s="153"/>
      <c r="JJ29" s="153"/>
      <c r="JK29" s="153"/>
      <c r="JL29" s="153"/>
      <c r="JM29" s="153"/>
      <c r="JN29" s="153"/>
      <c r="JO29" s="153"/>
      <c r="JP29" s="153"/>
      <c r="JQ29" s="153"/>
      <c r="JR29" s="153"/>
      <c r="JS29" s="153"/>
      <c r="JT29" s="153"/>
      <c r="JU29" s="153"/>
      <c r="JV29" s="153"/>
      <c r="JW29" s="153"/>
      <c r="JX29" s="153"/>
      <c r="JY29" s="153"/>
      <c r="JZ29" s="153"/>
      <c r="KA29" s="153"/>
      <c r="KB29" s="153"/>
      <c r="KC29" s="153"/>
      <c r="KD29" s="153"/>
      <c r="KE29" s="153"/>
      <c r="KF29" s="153"/>
      <c r="KG29" s="153"/>
      <c r="KH29" s="153"/>
      <c r="KI29" s="153"/>
      <c r="KJ29" s="153"/>
      <c r="KK29" s="153"/>
      <c r="KL29" s="153"/>
      <c r="KM29" s="153"/>
      <c r="KN29" s="153"/>
      <c r="KO29" s="153"/>
      <c r="KP29" s="153"/>
      <c r="KQ29" s="153"/>
      <c r="KR29" s="153"/>
      <c r="KS29" s="153"/>
      <c r="KT29" s="153"/>
      <c r="KU29" s="153"/>
      <c r="KV29" s="153"/>
      <c r="KW29" s="153"/>
      <c r="KX29" s="153"/>
      <c r="KY29" s="153"/>
      <c r="KZ29" s="153"/>
      <c r="LA29" s="153"/>
      <c r="LB29" s="153"/>
      <c r="LC29" s="153"/>
      <c r="LD29" s="153"/>
      <c r="LE29" s="153"/>
      <c r="LF29" s="153"/>
      <c r="LG29" s="153"/>
      <c r="LH29" s="153"/>
      <c r="LI29" s="153"/>
      <c r="LJ29" s="153"/>
      <c r="LK29" s="153"/>
      <c r="LL29" s="153"/>
      <c r="LM29" s="153"/>
      <c r="LN29" s="153"/>
      <c r="LO29" s="153"/>
      <c r="LP29" s="153"/>
      <c r="LQ29" s="153"/>
      <c r="LR29" s="153"/>
      <c r="LS29" s="153"/>
      <c r="LT29" s="153"/>
      <c r="LU29" s="153"/>
      <c r="LV29" s="153"/>
      <c r="LW29" s="153"/>
      <c r="LX29" s="153"/>
      <c r="LY29" s="153"/>
      <c r="LZ29" s="153"/>
      <c r="MA29" s="153"/>
      <c r="MB29" s="153"/>
      <c r="MC29" s="153"/>
      <c r="MD29" s="153"/>
      <c r="ME29" s="153"/>
      <c r="MF29" s="153"/>
      <c r="MG29" s="153"/>
      <c r="MH29" s="153"/>
      <c r="MI29" s="153"/>
      <c r="MJ29" s="153"/>
      <c r="MK29" s="153"/>
      <c r="ML29" s="153"/>
      <c r="MM29" s="153"/>
      <c r="MN29" s="153"/>
      <c r="MO29" s="153"/>
      <c r="MP29" s="153"/>
      <c r="MQ29" s="153"/>
      <c r="MR29" s="153"/>
      <c r="MS29" s="153"/>
      <c r="MT29" s="153"/>
      <c r="MU29" s="153"/>
      <c r="MV29" s="153"/>
      <c r="MW29" s="153"/>
      <c r="MX29" s="153"/>
      <c r="MY29" s="153"/>
      <c r="MZ29" s="153"/>
      <c r="NA29" s="153"/>
      <c r="NB29" s="153"/>
      <c r="NC29" s="153"/>
      <c r="ND29" s="153"/>
      <c r="NE29" s="153"/>
      <c r="NF29" s="153"/>
      <c r="NG29" s="153"/>
      <c r="NH29" s="153"/>
      <c r="NI29" s="153"/>
      <c r="NJ29" s="153"/>
      <c r="NK29" s="153"/>
      <c r="NL29" s="153"/>
      <c r="NM29" s="153"/>
      <c r="NN29" s="153"/>
      <c r="NO29" s="153"/>
      <c r="NP29" s="153"/>
      <c r="NQ29" s="153"/>
      <c r="NR29" s="153"/>
      <c r="NS29" s="153"/>
      <c r="NT29" s="153"/>
      <c r="NU29" s="153"/>
      <c r="NV29" s="153"/>
      <c r="NW29" s="153"/>
      <c r="NX29" s="153"/>
      <c r="NY29" s="153"/>
      <c r="NZ29" s="153"/>
      <c r="OA29" s="153"/>
      <c r="OB29" s="153"/>
      <c r="OC29" s="153"/>
      <c r="OD29" s="153"/>
      <c r="OE29" s="153"/>
      <c r="OF29" s="153"/>
      <c r="OG29" s="153"/>
      <c r="OH29" s="153"/>
      <c r="OI29" s="153"/>
      <c r="OJ29" s="153"/>
      <c r="OK29" s="153"/>
      <c r="OL29" s="153"/>
      <c r="OM29" s="153"/>
      <c r="ON29" s="153"/>
      <c r="OO29" s="153"/>
      <c r="OP29" s="153"/>
      <c r="OQ29" s="153"/>
      <c r="OR29" s="153"/>
      <c r="OS29" s="153"/>
      <c r="OT29" s="153"/>
      <c r="OU29" s="153"/>
      <c r="OV29" s="153"/>
      <c r="OW29" s="153"/>
      <c r="OX29" s="153"/>
      <c r="OY29" s="153"/>
      <c r="OZ29" s="153"/>
      <c r="PA29" s="153"/>
      <c r="PB29" s="153"/>
      <c r="PC29" s="153"/>
      <c r="PD29" s="153"/>
      <c r="PE29" s="153"/>
      <c r="PF29" s="153"/>
      <c r="PG29" s="153"/>
      <c r="PH29" s="153"/>
      <c r="PI29" s="153"/>
      <c r="PJ29" s="153"/>
      <c r="PK29" s="153"/>
      <c r="PL29" s="153"/>
      <c r="PM29" s="153"/>
      <c r="PN29" s="153"/>
      <c r="PO29" s="153"/>
      <c r="PP29" s="153"/>
      <c r="PQ29" s="153"/>
      <c r="PR29" s="153"/>
      <c r="PS29" s="153"/>
      <c r="PT29" s="153"/>
      <c r="PU29" s="153"/>
      <c r="PV29" s="153"/>
      <c r="PW29" s="153"/>
      <c r="PX29" s="153"/>
      <c r="PY29" s="153"/>
      <c r="PZ29" s="153"/>
      <c r="QA29" s="153"/>
      <c r="QB29" s="153"/>
      <c r="QC29" s="153"/>
      <c r="QD29" s="153"/>
      <c r="QE29" s="153"/>
      <c r="QF29" s="153"/>
      <c r="QG29" s="153"/>
      <c r="QH29" s="153"/>
      <c r="QI29" s="153"/>
      <c r="QJ29" s="153"/>
      <c r="QK29" s="153"/>
      <c r="QL29" s="153"/>
      <c r="QM29" s="153"/>
      <c r="QN29" s="153"/>
      <c r="QO29" s="153"/>
      <c r="QP29" s="153"/>
      <c r="QQ29" s="153"/>
      <c r="QR29" s="153"/>
      <c r="QS29" s="153"/>
      <c r="QT29" s="153"/>
      <c r="QU29" s="153"/>
      <c r="QV29" s="153"/>
      <c r="QW29" s="153"/>
      <c r="QX29" s="153"/>
      <c r="QY29" s="153"/>
      <c r="QZ29" s="153"/>
      <c r="RA29" s="153"/>
      <c r="RB29" s="153"/>
      <c r="RC29" s="153"/>
      <c r="RD29" s="153"/>
      <c r="RE29" s="153"/>
      <c r="RF29" s="153"/>
      <c r="RG29" s="153"/>
      <c r="RH29" s="153"/>
      <c r="RI29" s="153"/>
      <c r="RJ29" s="153"/>
      <c r="RK29" s="153"/>
      <c r="RL29" s="153"/>
      <c r="RM29" s="153"/>
      <c r="RN29" s="153"/>
      <c r="RO29" s="153"/>
      <c r="RP29" s="153"/>
      <c r="RQ29" s="153"/>
      <c r="RR29" s="153"/>
      <c r="RS29" s="153"/>
      <c r="RT29" s="153"/>
      <c r="RU29" s="153"/>
      <c r="RV29" s="153"/>
      <c r="RW29" s="153"/>
      <c r="RX29" s="153"/>
      <c r="RY29" s="153"/>
      <c r="RZ29" s="153"/>
      <c r="SA29" s="153"/>
      <c r="SB29" s="153"/>
      <c r="SC29" s="153"/>
      <c r="SD29" s="153"/>
      <c r="SE29" s="153"/>
      <c r="SF29" s="153"/>
      <c r="SG29" s="153"/>
      <c r="SH29" s="153"/>
      <c r="SI29" s="153"/>
      <c r="SJ29" s="153"/>
      <c r="SK29" s="153"/>
      <c r="SL29" s="153"/>
      <c r="SM29" s="153"/>
      <c r="SN29" s="153"/>
      <c r="SO29" s="153"/>
      <c r="SP29" s="153"/>
      <c r="SQ29" s="153"/>
      <c r="SR29" s="153"/>
      <c r="SS29" s="153"/>
      <c r="ST29" s="153"/>
      <c r="SU29" s="153"/>
      <c r="SV29" s="153"/>
      <c r="SW29" s="153"/>
      <c r="SX29" s="153"/>
      <c r="SY29" s="153"/>
      <c r="SZ29" s="153"/>
      <c r="TA29" s="153"/>
      <c r="TB29" s="153"/>
      <c r="TC29" s="153"/>
      <c r="TD29" s="153"/>
      <c r="TE29" s="153"/>
      <c r="TF29" s="153"/>
      <c r="TG29" s="153"/>
      <c r="TH29" s="153"/>
      <c r="TI29" s="153"/>
      <c r="TJ29" s="153"/>
      <c r="TK29" s="153"/>
      <c r="TL29" s="153"/>
      <c r="TM29" s="153"/>
      <c r="TN29" s="153"/>
      <c r="TO29" s="153"/>
      <c r="TP29" s="153"/>
      <c r="TQ29" s="153"/>
      <c r="TR29" s="153"/>
      <c r="TS29" s="153"/>
      <c r="TT29" s="153"/>
      <c r="TU29" s="153"/>
      <c r="TV29" s="153"/>
      <c r="TW29" s="153"/>
      <c r="TX29" s="153"/>
      <c r="TY29" s="153"/>
      <c r="TZ29" s="153"/>
      <c r="UA29" s="153"/>
      <c r="UB29" s="153"/>
      <c r="UC29" s="153"/>
      <c r="UD29" s="153"/>
      <c r="UE29" s="153"/>
      <c r="UF29" s="153"/>
      <c r="UG29" s="153"/>
      <c r="UH29" s="153"/>
      <c r="UI29" s="153"/>
      <c r="UJ29" s="153"/>
      <c r="UK29" s="153"/>
      <c r="UL29" s="153"/>
      <c r="UM29" s="153"/>
      <c r="UN29" s="153"/>
      <c r="UO29" s="153"/>
      <c r="UP29" s="153"/>
      <c r="UQ29" s="153"/>
      <c r="UR29" s="153"/>
      <c r="US29" s="153"/>
      <c r="UT29" s="153"/>
      <c r="UU29" s="153"/>
      <c r="UV29" s="153"/>
      <c r="UW29" s="153"/>
      <c r="UX29" s="153"/>
      <c r="UY29" s="153"/>
      <c r="UZ29" s="153"/>
      <c r="VA29" s="153"/>
      <c r="VB29" s="153"/>
      <c r="VC29" s="153"/>
      <c r="VD29" s="153"/>
      <c r="VE29" s="153"/>
      <c r="VF29" s="153"/>
      <c r="VG29" s="153"/>
      <c r="VH29" s="153"/>
      <c r="VI29" s="153"/>
      <c r="VJ29" s="153"/>
      <c r="VK29" s="153"/>
      <c r="VL29" s="153"/>
      <c r="VM29" s="153"/>
      <c r="VN29" s="153"/>
      <c r="VO29" s="153"/>
      <c r="VP29" s="153"/>
      <c r="VQ29" s="153"/>
      <c r="VR29" s="153"/>
      <c r="VS29" s="153"/>
      <c r="VT29" s="153"/>
      <c r="VU29" s="153"/>
      <c r="VV29" s="153"/>
      <c r="VW29" s="153"/>
      <c r="VX29" s="153"/>
      <c r="VY29" s="153"/>
      <c r="VZ29" s="153"/>
      <c r="WA29" s="153"/>
      <c r="WB29" s="153"/>
      <c r="WC29" s="153"/>
      <c r="WD29" s="153"/>
      <c r="WE29" s="153"/>
      <c r="WF29" s="153"/>
      <c r="WG29" s="153"/>
      <c r="WH29" s="153"/>
      <c r="WI29" s="153"/>
      <c r="WJ29" s="153"/>
      <c r="WK29" s="153"/>
      <c r="WL29" s="153"/>
      <c r="WM29" s="153"/>
      <c r="WN29" s="153"/>
      <c r="WO29" s="153"/>
      <c r="WP29" s="153"/>
      <c r="WQ29" s="153"/>
      <c r="WR29" s="153"/>
      <c r="WS29" s="153"/>
      <c r="WT29" s="153"/>
      <c r="WU29" s="153"/>
      <c r="WV29" s="153"/>
      <c r="WW29" s="153"/>
      <c r="WX29" s="153"/>
      <c r="WY29" s="153"/>
      <c r="WZ29" s="153"/>
      <c r="XA29" s="153"/>
      <c r="XB29" s="153"/>
      <c r="XC29" s="153"/>
      <c r="XD29" s="153"/>
      <c r="XE29" s="153"/>
      <c r="XF29" s="153"/>
      <c r="XG29" s="153"/>
      <c r="XH29" s="153"/>
      <c r="XI29" s="153"/>
      <c r="XJ29" s="153"/>
      <c r="XK29" s="153"/>
      <c r="XL29" s="153"/>
      <c r="XM29" s="153"/>
      <c r="XN29" s="153"/>
      <c r="XO29" s="153"/>
      <c r="XP29" s="153"/>
      <c r="XQ29" s="153"/>
      <c r="XR29" s="153"/>
      <c r="XS29" s="153"/>
      <c r="XT29" s="153"/>
      <c r="XU29" s="153"/>
      <c r="XV29" s="153"/>
      <c r="XW29" s="153"/>
      <c r="XX29" s="153"/>
      <c r="XY29" s="153"/>
      <c r="XZ29" s="153"/>
      <c r="YA29" s="153"/>
      <c r="YB29" s="153"/>
      <c r="YC29" s="153"/>
      <c r="YD29" s="153"/>
      <c r="YE29" s="153"/>
      <c r="YF29" s="153"/>
      <c r="YG29" s="153"/>
      <c r="YH29" s="153"/>
      <c r="YI29" s="153"/>
      <c r="YJ29" s="153"/>
      <c r="YK29" s="153"/>
      <c r="YL29" s="153"/>
      <c r="YM29" s="153"/>
      <c r="YN29" s="153"/>
      <c r="YO29" s="153"/>
      <c r="YP29" s="153"/>
      <c r="YQ29" s="153"/>
      <c r="YR29" s="153"/>
      <c r="YS29" s="153"/>
      <c r="YT29" s="153"/>
      <c r="YU29" s="153"/>
      <c r="YV29" s="153"/>
      <c r="YW29" s="153"/>
      <c r="YX29" s="153"/>
      <c r="YY29" s="153"/>
      <c r="YZ29" s="153"/>
      <c r="ZA29" s="153"/>
      <c r="ZB29" s="153"/>
      <c r="ZC29" s="153"/>
      <c r="ZD29" s="153"/>
      <c r="ZE29" s="153"/>
      <c r="ZF29" s="153"/>
      <c r="ZG29" s="153"/>
      <c r="ZH29" s="153"/>
      <c r="ZI29" s="153"/>
      <c r="ZJ29" s="153"/>
      <c r="ZK29" s="153"/>
      <c r="ZL29" s="153"/>
      <c r="ZM29" s="153"/>
      <c r="ZN29" s="153"/>
      <c r="ZO29" s="153"/>
      <c r="ZP29" s="153"/>
      <c r="ZQ29" s="153"/>
      <c r="ZR29" s="153"/>
      <c r="ZS29" s="153"/>
      <c r="ZT29" s="153"/>
      <c r="ZU29" s="153"/>
      <c r="ZV29" s="153"/>
      <c r="ZW29" s="153"/>
      <c r="ZX29" s="153"/>
      <c r="ZY29" s="153"/>
      <c r="ZZ29" s="153"/>
      <c r="AAA29" s="153"/>
      <c r="AAB29" s="153"/>
      <c r="AAC29" s="153"/>
      <c r="AAD29" s="153"/>
      <c r="AAE29" s="153"/>
      <c r="AAF29" s="153"/>
      <c r="AAG29" s="153"/>
      <c r="AAH29" s="153"/>
      <c r="AAI29" s="153"/>
      <c r="AAJ29" s="153"/>
      <c r="AAK29" s="153"/>
      <c r="AAL29" s="153"/>
      <c r="AAM29" s="153"/>
      <c r="AAN29" s="153"/>
      <c r="AAO29" s="153"/>
      <c r="AAP29" s="153"/>
      <c r="AAQ29" s="153"/>
      <c r="AAR29" s="153"/>
      <c r="AAS29" s="153"/>
      <c r="AAT29" s="153"/>
      <c r="AAU29" s="153"/>
      <c r="AAV29" s="153"/>
      <c r="AAW29" s="153"/>
      <c r="AAX29" s="153"/>
      <c r="AAY29" s="153"/>
      <c r="AAZ29" s="153"/>
      <c r="ABA29" s="153"/>
      <c r="ABB29" s="153"/>
      <c r="ABC29" s="153"/>
      <c r="ABD29" s="153"/>
      <c r="ABE29" s="153"/>
      <c r="ABF29" s="153"/>
      <c r="ABG29" s="153"/>
      <c r="ABH29" s="153"/>
      <c r="ABI29" s="153"/>
      <c r="ABJ29" s="153"/>
      <c r="ABK29" s="153"/>
      <c r="ABL29" s="153"/>
      <c r="ABM29" s="153"/>
      <c r="ABN29" s="153"/>
      <c r="ABO29" s="153"/>
      <c r="ABP29" s="153"/>
      <c r="ABQ29" s="153"/>
      <c r="ABR29" s="153"/>
      <c r="ABS29" s="153"/>
      <c r="ABT29" s="153"/>
      <c r="ABU29" s="153"/>
      <c r="ABV29" s="153"/>
      <c r="ABW29" s="153"/>
      <c r="ABX29" s="153"/>
      <c r="ABY29" s="153"/>
      <c r="ABZ29" s="153"/>
      <c r="ACA29" s="153"/>
      <c r="ACB29" s="153"/>
      <c r="ACC29" s="153"/>
      <c r="ACD29" s="153"/>
      <c r="ACE29" s="153"/>
      <c r="ACF29" s="153"/>
      <c r="ACG29" s="153"/>
      <c r="ACH29" s="153"/>
      <c r="ACI29" s="153"/>
      <c r="ACJ29" s="153"/>
      <c r="ACK29" s="153"/>
      <c r="ACL29" s="153"/>
      <c r="ACM29" s="153"/>
      <c r="ACN29" s="153"/>
      <c r="ACO29" s="153"/>
      <c r="ACP29" s="153"/>
      <c r="ACQ29" s="153"/>
      <c r="ACR29" s="153"/>
      <c r="ACS29" s="153"/>
      <c r="ACT29" s="153"/>
      <c r="ACU29" s="153"/>
      <c r="ACV29" s="153"/>
      <c r="ACW29" s="153"/>
      <c r="ACX29" s="153"/>
      <c r="ACY29" s="153"/>
      <c r="ACZ29" s="153"/>
      <c r="ADA29" s="153"/>
      <c r="ADB29" s="153"/>
      <c r="ADC29" s="153"/>
      <c r="ADD29" s="153"/>
      <c r="ADE29" s="153"/>
      <c r="ADF29" s="153"/>
      <c r="ADG29" s="153"/>
      <c r="ADH29" s="153"/>
      <c r="ADI29" s="153"/>
      <c r="ADJ29" s="153"/>
      <c r="ADK29" s="153"/>
      <c r="ADL29" s="153"/>
      <c r="ADM29" s="153"/>
      <c r="ADN29" s="153"/>
      <c r="ADO29" s="153"/>
      <c r="ADP29" s="153"/>
      <c r="ADQ29" s="153"/>
      <c r="ADR29" s="153"/>
      <c r="ADS29" s="153"/>
      <c r="ADT29" s="153"/>
      <c r="ADU29" s="153"/>
      <c r="ADV29" s="153"/>
      <c r="ADW29" s="153"/>
      <c r="ADX29" s="153"/>
      <c r="ADY29" s="153"/>
      <c r="ADZ29" s="153"/>
      <c r="AEA29" s="153"/>
      <c r="AEB29" s="153"/>
      <c r="AEC29" s="153"/>
      <c r="AED29" s="153"/>
      <c r="AEE29" s="153"/>
      <c r="AEF29" s="153"/>
      <c r="AEG29" s="153"/>
      <c r="AEH29" s="153"/>
      <c r="AEI29" s="153"/>
      <c r="AEJ29" s="153"/>
      <c r="AEK29" s="153"/>
      <c r="AEL29" s="153"/>
      <c r="AEM29" s="153"/>
      <c r="AEN29" s="153"/>
      <c r="AEO29" s="153"/>
      <c r="AEP29" s="153"/>
      <c r="AEQ29" s="153"/>
      <c r="AER29" s="153"/>
      <c r="AES29" s="153"/>
      <c r="AET29" s="153"/>
      <c r="AEU29" s="153"/>
      <c r="AEV29" s="153"/>
      <c r="AEW29" s="153"/>
      <c r="AEX29" s="153"/>
      <c r="AEY29" s="153"/>
      <c r="AEZ29" s="153"/>
      <c r="AFA29" s="153"/>
      <c r="AFB29" s="153"/>
      <c r="AFC29" s="153"/>
      <c r="AFD29" s="153"/>
      <c r="AFE29" s="153"/>
      <c r="AFF29" s="153"/>
      <c r="AFG29" s="153"/>
      <c r="AFH29" s="153"/>
      <c r="AFI29" s="153"/>
      <c r="AFJ29" s="153"/>
      <c r="AFK29" s="153"/>
      <c r="AFL29" s="153"/>
      <c r="AFM29" s="153"/>
      <c r="AFN29" s="153"/>
      <c r="AFO29" s="153"/>
      <c r="AFP29" s="153"/>
      <c r="AFQ29" s="153"/>
      <c r="AFR29" s="153"/>
      <c r="AFS29" s="153"/>
      <c r="AFT29" s="153"/>
      <c r="AFU29" s="153"/>
      <c r="AFV29" s="153"/>
      <c r="AFW29" s="153"/>
      <c r="AFX29" s="153"/>
      <c r="AFY29" s="153"/>
      <c r="AFZ29" s="153"/>
      <c r="AGA29" s="153"/>
      <c r="AGB29" s="153"/>
      <c r="AGC29" s="153"/>
      <c r="AGD29" s="153"/>
      <c r="AGE29" s="153"/>
      <c r="AGF29" s="153"/>
      <c r="AGG29" s="153"/>
      <c r="AGH29" s="153"/>
      <c r="AGI29" s="153"/>
      <c r="AGJ29" s="153"/>
      <c r="AGK29" s="153"/>
      <c r="AGL29" s="153"/>
      <c r="AGM29" s="153"/>
      <c r="AGN29" s="153"/>
      <c r="AGO29" s="153"/>
      <c r="AGP29" s="153"/>
      <c r="AGQ29" s="153"/>
      <c r="AGR29" s="153"/>
      <c r="AGS29" s="153"/>
      <c r="AGT29" s="153"/>
      <c r="AGU29" s="153"/>
      <c r="AGV29" s="153"/>
      <c r="AGW29" s="153"/>
      <c r="AGX29" s="153"/>
      <c r="AGY29" s="153"/>
      <c r="AGZ29" s="153"/>
      <c r="AHA29" s="153"/>
      <c r="AHB29" s="153"/>
      <c r="AHC29" s="153"/>
      <c r="AHD29" s="153"/>
      <c r="AHE29" s="153"/>
      <c r="AHF29" s="153"/>
      <c r="AHG29" s="153"/>
      <c r="AHH29" s="153"/>
      <c r="AHI29" s="153"/>
      <c r="AHJ29" s="153"/>
      <c r="AHK29" s="153"/>
      <c r="AHL29" s="153"/>
      <c r="AHM29" s="153"/>
      <c r="AHN29" s="153"/>
      <c r="AHO29" s="153"/>
      <c r="AHP29" s="153"/>
      <c r="AHQ29" s="153"/>
      <c r="AHR29" s="153"/>
      <c r="AHS29" s="153"/>
      <c r="AHT29" s="153"/>
      <c r="AHU29" s="153"/>
      <c r="AHV29" s="153"/>
      <c r="AHW29" s="153"/>
      <c r="AHX29" s="153"/>
      <c r="AHY29" s="153"/>
      <c r="AHZ29" s="153"/>
      <c r="AIA29" s="153"/>
      <c r="AIB29" s="153"/>
      <c r="AIC29" s="153"/>
      <c r="AID29" s="153"/>
      <c r="AIE29" s="153"/>
      <c r="AIF29" s="153"/>
      <c r="AIG29" s="153"/>
      <c r="AIH29" s="153"/>
      <c r="AII29" s="153"/>
      <c r="AIJ29" s="153"/>
      <c r="AIK29" s="153"/>
      <c r="AIL29" s="153"/>
      <c r="AIM29" s="153"/>
      <c r="AIN29" s="153"/>
      <c r="AIO29" s="153"/>
      <c r="AIP29" s="153"/>
      <c r="AIQ29" s="153"/>
      <c r="AIR29" s="153"/>
      <c r="AIS29" s="153"/>
      <c r="AIT29" s="153"/>
      <c r="AIU29" s="153"/>
      <c r="AIV29" s="153"/>
      <c r="AIW29" s="153"/>
      <c r="AIX29" s="153"/>
      <c r="AIY29" s="153"/>
      <c r="AIZ29" s="153"/>
      <c r="AJA29" s="153"/>
      <c r="AJB29" s="153"/>
      <c r="AJC29" s="153"/>
      <c r="AJD29" s="153"/>
      <c r="AJE29" s="153"/>
      <c r="AJF29" s="153"/>
      <c r="AJG29" s="153"/>
      <c r="AJH29" s="153"/>
      <c r="AJI29" s="153"/>
      <c r="AJJ29" s="153"/>
      <c r="AJK29" s="153"/>
      <c r="AJL29" s="153"/>
      <c r="AJM29" s="153"/>
      <c r="AJN29" s="153"/>
      <c r="AJO29" s="153"/>
      <c r="AJP29" s="153"/>
      <c r="AJQ29" s="153"/>
      <c r="AJR29" s="153"/>
      <c r="AJS29" s="153"/>
      <c r="AJT29" s="153"/>
      <c r="AJU29" s="153"/>
      <c r="AJV29" s="153"/>
      <c r="AJW29" s="153"/>
      <c r="AJX29" s="153"/>
      <c r="AJY29" s="153"/>
      <c r="AJZ29" s="153"/>
      <c r="AKA29" s="153"/>
      <c r="AKB29" s="153"/>
      <c r="AKC29" s="153"/>
      <c r="AKD29" s="153"/>
      <c r="AKE29" s="153"/>
      <c r="AKF29" s="153"/>
      <c r="AKG29" s="153"/>
      <c r="AKH29" s="153"/>
      <c r="AKI29" s="153"/>
      <c r="AKJ29" s="153"/>
      <c r="AKK29" s="153"/>
      <c r="AKL29" s="153"/>
      <c r="AKM29" s="153"/>
      <c r="AKN29" s="153"/>
      <c r="AKO29" s="153"/>
      <c r="AKP29" s="153"/>
      <c r="AKQ29" s="153"/>
      <c r="AKR29" s="153"/>
      <c r="AKS29" s="153"/>
      <c r="AKT29" s="153"/>
      <c r="AKU29" s="153"/>
      <c r="AKV29" s="153"/>
      <c r="AKW29" s="153"/>
      <c r="AKX29" s="153"/>
      <c r="AKY29" s="153"/>
      <c r="AKZ29" s="153"/>
      <c r="ALA29" s="153"/>
      <c r="ALB29" s="153"/>
      <c r="ALC29" s="153"/>
      <c r="ALD29" s="153"/>
      <c r="ALE29" s="153"/>
      <c r="ALF29" s="153"/>
      <c r="ALG29" s="153"/>
      <c r="ALH29" s="153"/>
      <c r="ALI29" s="153"/>
      <c r="ALJ29" s="153"/>
      <c r="ALK29" s="153"/>
      <c r="ALL29" s="153"/>
      <c r="ALM29" s="153"/>
      <c r="ALN29" s="153"/>
      <c r="ALO29" s="153"/>
      <c r="ALP29" s="153"/>
      <c r="ALQ29" s="153"/>
      <c r="ALR29" s="153"/>
      <c r="ALS29" s="153"/>
      <c r="ALT29" s="153"/>
      <c r="ALU29" s="153"/>
      <c r="ALV29" s="153"/>
      <c r="ALW29" s="153"/>
      <c r="ALX29" s="153"/>
      <c r="ALY29" s="153"/>
      <c r="ALZ29" s="153"/>
      <c r="AMA29" s="153"/>
      <c r="AMB29" s="153"/>
      <c r="AMC29" s="153"/>
      <c r="AMD29" s="153"/>
      <c r="AME29" s="153"/>
      <c r="AMF29" s="153"/>
      <c r="AMG29" s="153"/>
      <c r="AMH29" s="153"/>
      <c r="AMI29" s="153"/>
      <c r="AMJ29" s="153"/>
      <c r="AMK29" s="153"/>
    </row>
    <row r="30" spans="1:1025" s="417" customFormat="1" ht="11.25" x14ac:dyDescent="0.2">
      <c r="A30" s="391" t="s">
        <v>864</v>
      </c>
      <c r="B30" s="399">
        <f>B27/SUM(D8:D18)</f>
        <v>7.5262241037767491E-2</v>
      </c>
      <c r="C30" s="399">
        <f>C26/D19</f>
        <v>1.0805187000860306</v>
      </c>
      <c r="D30" s="399">
        <f>D26/SUM(D8:D18)</f>
        <v>0.22408880187056218</v>
      </c>
      <c r="E30" s="339" t="s">
        <v>617</v>
      </c>
      <c r="F30" s="153"/>
      <c r="G30" s="337"/>
      <c r="H30" s="153"/>
      <c r="I30" s="153"/>
      <c r="J30" s="153"/>
      <c r="K30" s="153"/>
      <c r="L30" s="153"/>
      <c r="M30" s="153"/>
      <c r="N30" s="153"/>
      <c r="O30" s="153"/>
      <c r="P30" s="337"/>
      <c r="Q30" s="337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3"/>
      <c r="IT30" s="153"/>
      <c r="IU30" s="153"/>
      <c r="IV30" s="153"/>
      <c r="IW30" s="153"/>
      <c r="IX30" s="153"/>
      <c r="IY30" s="153"/>
      <c r="IZ30" s="153"/>
      <c r="JA30" s="153"/>
      <c r="JB30" s="153"/>
      <c r="JC30" s="153"/>
      <c r="JD30" s="153"/>
      <c r="JE30" s="153"/>
      <c r="JF30" s="153"/>
      <c r="JG30" s="153"/>
      <c r="JH30" s="153"/>
      <c r="JI30" s="153"/>
      <c r="JJ30" s="153"/>
      <c r="JK30" s="153"/>
      <c r="JL30" s="153"/>
      <c r="JM30" s="153"/>
      <c r="JN30" s="153"/>
      <c r="JO30" s="153"/>
      <c r="JP30" s="153"/>
      <c r="JQ30" s="153"/>
      <c r="JR30" s="153"/>
      <c r="JS30" s="153"/>
      <c r="JT30" s="153"/>
      <c r="JU30" s="153"/>
      <c r="JV30" s="153"/>
      <c r="JW30" s="153"/>
      <c r="JX30" s="153"/>
      <c r="JY30" s="153"/>
      <c r="JZ30" s="153"/>
      <c r="KA30" s="153"/>
      <c r="KB30" s="153"/>
      <c r="KC30" s="153"/>
      <c r="KD30" s="153"/>
      <c r="KE30" s="153"/>
      <c r="KF30" s="153"/>
      <c r="KG30" s="153"/>
      <c r="KH30" s="153"/>
      <c r="KI30" s="153"/>
      <c r="KJ30" s="153"/>
      <c r="KK30" s="153"/>
      <c r="KL30" s="153"/>
      <c r="KM30" s="153"/>
      <c r="KN30" s="153"/>
      <c r="KO30" s="153"/>
      <c r="KP30" s="153"/>
      <c r="KQ30" s="153"/>
      <c r="KR30" s="153"/>
      <c r="KS30" s="153"/>
      <c r="KT30" s="153"/>
      <c r="KU30" s="153"/>
      <c r="KV30" s="153"/>
      <c r="KW30" s="153"/>
      <c r="KX30" s="153"/>
      <c r="KY30" s="153"/>
      <c r="KZ30" s="153"/>
      <c r="LA30" s="153"/>
      <c r="LB30" s="153"/>
      <c r="LC30" s="153"/>
      <c r="LD30" s="153"/>
      <c r="LE30" s="153"/>
      <c r="LF30" s="153"/>
      <c r="LG30" s="153"/>
      <c r="LH30" s="153"/>
      <c r="LI30" s="153"/>
      <c r="LJ30" s="153"/>
      <c r="LK30" s="153"/>
      <c r="LL30" s="153"/>
      <c r="LM30" s="153"/>
      <c r="LN30" s="153"/>
      <c r="LO30" s="153"/>
      <c r="LP30" s="153"/>
      <c r="LQ30" s="153"/>
      <c r="LR30" s="153"/>
      <c r="LS30" s="153"/>
      <c r="LT30" s="153"/>
      <c r="LU30" s="153"/>
      <c r="LV30" s="153"/>
      <c r="LW30" s="153"/>
      <c r="LX30" s="153"/>
      <c r="LY30" s="153"/>
      <c r="LZ30" s="153"/>
      <c r="MA30" s="153"/>
      <c r="MB30" s="153"/>
      <c r="MC30" s="153"/>
      <c r="MD30" s="153"/>
      <c r="ME30" s="153"/>
      <c r="MF30" s="153"/>
      <c r="MG30" s="153"/>
      <c r="MH30" s="153"/>
      <c r="MI30" s="153"/>
      <c r="MJ30" s="153"/>
      <c r="MK30" s="153"/>
      <c r="ML30" s="153"/>
      <c r="MM30" s="153"/>
      <c r="MN30" s="153"/>
      <c r="MO30" s="153"/>
      <c r="MP30" s="153"/>
      <c r="MQ30" s="153"/>
      <c r="MR30" s="153"/>
      <c r="MS30" s="153"/>
      <c r="MT30" s="153"/>
      <c r="MU30" s="153"/>
      <c r="MV30" s="153"/>
      <c r="MW30" s="153"/>
      <c r="MX30" s="153"/>
      <c r="MY30" s="153"/>
      <c r="MZ30" s="153"/>
      <c r="NA30" s="153"/>
      <c r="NB30" s="153"/>
      <c r="NC30" s="153"/>
      <c r="ND30" s="153"/>
      <c r="NE30" s="153"/>
      <c r="NF30" s="153"/>
      <c r="NG30" s="153"/>
      <c r="NH30" s="153"/>
      <c r="NI30" s="153"/>
      <c r="NJ30" s="153"/>
      <c r="NK30" s="153"/>
      <c r="NL30" s="153"/>
      <c r="NM30" s="153"/>
      <c r="NN30" s="153"/>
      <c r="NO30" s="153"/>
      <c r="NP30" s="153"/>
      <c r="NQ30" s="153"/>
      <c r="NR30" s="153"/>
      <c r="NS30" s="153"/>
      <c r="NT30" s="153"/>
      <c r="NU30" s="153"/>
      <c r="NV30" s="153"/>
      <c r="NW30" s="153"/>
      <c r="NX30" s="153"/>
      <c r="NY30" s="153"/>
      <c r="NZ30" s="153"/>
      <c r="OA30" s="153"/>
      <c r="OB30" s="153"/>
      <c r="OC30" s="153"/>
      <c r="OD30" s="153"/>
      <c r="OE30" s="153"/>
      <c r="OF30" s="153"/>
      <c r="OG30" s="153"/>
      <c r="OH30" s="153"/>
      <c r="OI30" s="153"/>
      <c r="OJ30" s="153"/>
      <c r="OK30" s="153"/>
      <c r="OL30" s="153"/>
      <c r="OM30" s="153"/>
      <c r="ON30" s="153"/>
      <c r="OO30" s="153"/>
      <c r="OP30" s="153"/>
      <c r="OQ30" s="153"/>
      <c r="OR30" s="153"/>
      <c r="OS30" s="153"/>
      <c r="OT30" s="153"/>
      <c r="OU30" s="153"/>
      <c r="OV30" s="153"/>
      <c r="OW30" s="153"/>
      <c r="OX30" s="153"/>
      <c r="OY30" s="153"/>
      <c r="OZ30" s="153"/>
      <c r="PA30" s="153"/>
      <c r="PB30" s="153"/>
      <c r="PC30" s="153"/>
      <c r="PD30" s="153"/>
      <c r="PE30" s="153"/>
      <c r="PF30" s="153"/>
      <c r="PG30" s="153"/>
      <c r="PH30" s="153"/>
      <c r="PI30" s="153"/>
      <c r="PJ30" s="153"/>
      <c r="PK30" s="153"/>
      <c r="PL30" s="153"/>
      <c r="PM30" s="153"/>
      <c r="PN30" s="153"/>
      <c r="PO30" s="153"/>
      <c r="PP30" s="153"/>
      <c r="PQ30" s="153"/>
      <c r="PR30" s="153"/>
      <c r="PS30" s="153"/>
      <c r="PT30" s="153"/>
      <c r="PU30" s="153"/>
      <c r="PV30" s="153"/>
      <c r="PW30" s="153"/>
      <c r="PX30" s="153"/>
      <c r="PY30" s="153"/>
      <c r="PZ30" s="153"/>
      <c r="QA30" s="153"/>
      <c r="QB30" s="153"/>
      <c r="QC30" s="153"/>
      <c r="QD30" s="153"/>
      <c r="QE30" s="153"/>
      <c r="QF30" s="153"/>
      <c r="QG30" s="153"/>
      <c r="QH30" s="153"/>
      <c r="QI30" s="153"/>
      <c r="QJ30" s="153"/>
      <c r="QK30" s="153"/>
      <c r="QL30" s="153"/>
      <c r="QM30" s="153"/>
      <c r="QN30" s="153"/>
      <c r="QO30" s="153"/>
      <c r="QP30" s="153"/>
      <c r="QQ30" s="153"/>
      <c r="QR30" s="153"/>
      <c r="QS30" s="153"/>
      <c r="QT30" s="153"/>
      <c r="QU30" s="153"/>
      <c r="QV30" s="153"/>
      <c r="QW30" s="153"/>
      <c r="QX30" s="153"/>
      <c r="QY30" s="153"/>
      <c r="QZ30" s="153"/>
      <c r="RA30" s="153"/>
      <c r="RB30" s="153"/>
      <c r="RC30" s="153"/>
      <c r="RD30" s="153"/>
      <c r="RE30" s="153"/>
      <c r="RF30" s="153"/>
      <c r="RG30" s="153"/>
      <c r="RH30" s="153"/>
      <c r="RI30" s="153"/>
      <c r="RJ30" s="153"/>
      <c r="RK30" s="153"/>
      <c r="RL30" s="153"/>
      <c r="RM30" s="153"/>
      <c r="RN30" s="153"/>
      <c r="RO30" s="153"/>
      <c r="RP30" s="153"/>
      <c r="RQ30" s="153"/>
      <c r="RR30" s="153"/>
      <c r="RS30" s="153"/>
      <c r="RT30" s="153"/>
      <c r="RU30" s="153"/>
      <c r="RV30" s="153"/>
      <c r="RW30" s="153"/>
      <c r="RX30" s="153"/>
      <c r="RY30" s="153"/>
      <c r="RZ30" s="153"/>
      <c r="SA30" s="153"/>
      <c r="SB30" s="153"/>
      <c r="SC30" s="153"/>
      <c r="SD30" s="153"/>
      <c r="SE30" s="153"/>
      <c r="SF30" s="153"/>
      <c r="SG30" s="153"/>
      <c r="SH30" s="153"/>
      <c r="SI30" s="153"/>
      <c r="SJ30" s="153"/>
      <c r="SK30" s="153"/>
      <c r="SL30" s="153"/>
      <c r="SM30" s="153"/>
      <c r="SN30" s="153"/>
      <c r="SO30" s="153"/>
      <c r="SP30" s="153"/>
      <c r="SQ30" s="153"/>
      <c r="SR30" s="153"/>
      <c r="SS30" s="153"/>
      <c r="ST30" s="153"/>
      <c r="SU30" s="153"/>
      <c r="SV30" s="153"/>
      <c r="SW30" s="153"/>
      <c r="SX30" s="153"/>
      <c r="SY30" s="153"/>
      <c r="SZ30" s="153"/>
      <c r="TA30" s="153"/>
      <c r="TB30" s="153"/>
      <c r="TC30" s="153"/>
      <c r="TD30" s="153"/>
      <c r="TE30" s="153"/>
      <c r="TF30" s="153"/>
      <c r="TG30" s="153"/>
      <c r="TH30" s="153"/>
      <c r="TI30" s="153"/>
      <c r="TJ30" s="153"/>
      <c r="TK30" s="153"/>
      <c r="TL30" s="153"/>
      <c r="TM30" s="153"/>
      <c r="TN30" s="153"/>
      <c r="TO30" s="153"/>
      <c r="TP30" s="153"/>
      <c r="TQ30" s="153"/>
      <c r="TR30" s="153"/>
      <c r="TS30" s="153"/>
      <c r="TT30" s="153"/>
      <c r="TU30" s="153"/>
      <c r="TV30" s="153"/>
      <c r="TW30" s="153"/>
      <c r="TX30" s="153"/>
      <c r="TY30" s="153"/>
      <c r="TZ30" s="153"/>
      <c r="UA30" s="153"/>
      <c r="UB30" s="153"/>
      <c r="UC30" s="153"/>
      <c r="UD30" s="153"/>
      <c r="UE30" s="153"/>
      <c r="UF30" s="153"/>
      <c r="UG30" s="153"/>
      <c r="UH30" s="153"/>
      <c r="UI30" s="153"/>
      <c r="UJ30" s="153"/>
      <c r="UK30" s="153"/>
      <c r="UL30" s="153"/>
      <c r="UM30" s="153"/>
      <c r="UN30" s="153"/>
      <c r="UO30" s="153"/>
      <c r="UP30" s="153"/>
      <c r="UQ30" s="153"/>
      <c r="UR30" s="153"/>
      <c r="US30" s="153"/>
      <c r="UT30" s="153"/>
      <c r="UU30" s="153"/>
      <c r="UV30" s="153"/>
      <c r="UW30" s="153"/>
      <c r="UX30" s="153"/>
      <c r="UY30" s="153"/>
      <c r="UZ30" s="153"/>
      <c r="VA30" s="153"/>
      <c r="VB30" s="153"/>
      <c r="VC30" s="153"/>
      <c r="VD30" s="153"/>
      <c r="VE30" s="153"/>
      <c r="VF30" s="153"/>
      <c r="VG30" s="153"/>
      <c r="VH30" s="153"/>
      <c r="VI30" s="153"/>
      <c r="VJ30" s="153"/>
      <c r="VK30" s="153"/>
      <c r="VL30" s="153"/>
      <c r="VM30" s="153"/>
      <c r="VN30" s="153"/>
      <c r="VO30" s="153"/>
      <c r="VP30" s="153"/>
      <c r="VQ30" s="153"/>
      <c r="VR30" s="153"/>
      <c r="VS30" s="153"/>
      <c r="VT30" s="153"/>
      <c r="VU30" s="153"/>
      <c r="VV30" s="153"/>
      <c r="VW30" s="153"/>
      <c r="VX30" s="153"/>
      <c r="VY30" s="153"/>
      <c r="VZ30" s="153"/>
      <c r="WA30" s="153"/>
      <c r="WB30" s="153"/>
      <c r="WC30" s="153"/>
      <c r="WD30" s="153"/>
      <c r="WE30" s="153"/>
      <c r="WF30" s="153"/>
      <c r="WG30" s="153"/>
      <c r="WH30" s="153"/>
      <c r="WI30" s="153"/>
      <c r="WJ30" s="153"/>
      <c r="WK30" s="153"/>
      <c r="WL30" s="153"/>
      <c r="WM30" s="153"/>
      <c r="WN30" s="153"/>
      <c r="WO30" s="153"/>
      <c r="WP30" s="153"/>
      <c r="WQ30" s="153"/>
      <c r="WR30" s="153"/>
      <c r="WS30" s="153"/>
      <c r="WT30" s="153"/>
      <c r="WU30" s="153"/>
      <c r="WV30" s="153"/>
      <c r="WW30" s="153"/>
      <c r="WX30" s="153"/>
      <c r="WY30" s="153"/>
      <c r="WZ30" s="153"/>
      <c r="XA30" s="153"/>
      <c r="XB30" s="153"/>
      <c r="XC30" s="153"/>
      <c r="XD30" s="153"/>
      <c r="XE30" s="153"/>
      <c r="XF30" s="153"/>
      <c r="XG30" s="153"/>
      <c r="XH30" s="153"/>
      <c r="XI30" s="153"/>
      <c r="XJ30" s="153"/>
      <c r="XK30" s="153"/>
      <c r="XL30" s="153"/>
      <c r="XM30" s="153"/>
      <c r="XN30" s="153"/>
      <c r="XO30" s="153"/>
      <c r="XP30" s="153"/>
      <c r="XQ30" s="153"/>
      <c r="XR30" s="153"/>
      <c r="XS30" s="153"/>
      <c r="XT30" s="153"/>
      <c r="XU30" s="153"/>
      <c r="XV30" s="153"/>
      <c r="XW30" s="153"/>
      <c r="XX30" s="153"/>
      <c r="XY30" s="153"/>
      <c r="XZ30" s="153"/>
      <c r="YA30" s="153"/>
      <c r="YB30" s="153"/>
      <c r="YC30" s="153"/>
      <c r="YD30" s="153"/>
      <c r="YE30" s="153"/>
      <c r="YF30" s="153"/>
      <c r="YG30" s="153"/>
      <c r="YH30" s="153"/>
      <c r="YI30" s="153"/>
      <c r="YJ30" s="153"/>
      <c r="YK30" s="153"/>
      <c r="YL30" s="153"/>
      <c r="YM30" s="153"/>
      <c r="YN30" s="153"/>
      <c r="YO30" s="153"/>
      <c r="YP30" s="153"/>
      <c r="YQ30" s="153"/>
      <c r="YR30" s="153"/>
      <c r="YS30" s="153"/>
      <c r="YT30" s="153"/>
      <c r="YU30" s="153"/>
      <c r="YV30" s="153"/>
      <c r="YW30" s="153"/>
      <c r="YX30" s="153"/>
      <c r="YY30" s="153"/>
      <c r="YZ30" s="153"/>
      <c r="ZA30" s="153"/>
      <c r="ZB30" s="153"/>
      <c r="ZC30" s="153"/>
      <c r="ZD30" s="153"/>
      <c r="ZE30" s="153"/>
      <c r="ZF30" s="153"/>
      <c r="ZG30" s="153"/>
      <c r="ZH30" s="153"/>
      <c r="ZI30" s="153"/>
      <c r="ZJ30" s="153"/>
      <c r="ZK30" s="153"/>
      <c r="ZL30" s="153"/>
      <c r="ZM30" s="153"/>
      <c r="ZN30" s="153"/>
      <c r="ZO30" s="153"/>
      <c r="ZP30" s="153"/>
      <c r="ZQ30" s="153"/>
      <c r="ZR30" s="153"/>
      <c r="ZS30" s="153"/>
      <c r="ZT30" s="153"/>
      <c r="ZU30" s="153"/>
      <c r="ZV30" s="153"/>
      <c r="ZW30" s="153"/>
      <c r="ZX30" s="153"/>
      <c r="ZY30" s="153"/>
      <c r="ZZ30" s="153"/>
      <c r="AAA30" s="153"/>
      <c r="AAB30" s="153"/>
      <c r="AAC30" s="153"/>
      <c r="AAD30" s="153"/>
      <c r="AAE30" s="153"/>
      <c r="AAF30" s="153"/>
      <c r="AAG30" s="153"/>
      <c r="AAH30" s="153"/>
      <c r="AAI30" s="153"/>
      <c r="AAJ30" s="153"/>
      <c r="AAK30" s="153"/>
      <c r="AAL30" s="153"/>
      <c r="AAM30" s="153"/>
      <c r="AAN30" s="153"/>
      <c r="AAO30" s="153"/>
      <c r="AAP30" s="153"/>
      <c r="AAQ30" s="153"/>
      <c r="AAR30" s="153"/>
      <c r="AAS30" s="153"/>
      <c r="AAT30" s="153"/>
      <c r="AAU30" s="153"/>
      <c r="AAV30" s="153"/>
      <c r="AAW30" s="153"/>
      <c r="AAX30" s="153"/>
      <c r="AAY30" s="153"/>
      <c r="AAZ30" s="153"/>
      <c r="ABA30" s="153"/>
      <c r="ABB30" s="153"/>
      <c r="ABC30" s="153"/>
      <c r="ABD30" s="153"/>
      <c r="ABE30" s="153"/>
      <c r="ABF30" s="153"/>
      <c r="ABG30" s="153"/>
      <c r="ABH30" s="153"/>
      <c r="ABI30" s="153"/>
      <c r="ABJ30" s="153"/>
      <c r="ABK30" s="153"/>
      <c r="ABL30" s="153"/>
      <c r="ABM30" s="153"/>
      <c r="ABN30" s="153"/>
      <c r="ABO30" s="153"/>
      <c r="ABP30" s="153"/>
      <c r="ABQ30" s="153"/>
      <c r="ABR30" s="153"/>
      <c r="ABS30" s="153"/>
      <c r="ABT30" s="153"/>
      <c r="ABU30" s="153"/>
      <c r="ABV30" s="153"/>
      <c r="ABW30" s="153"/>
      <c r="ABX30" s="153"/>
      <c r="ABY30" s="153"/>
      <c r="ABZ30" s="153"/>
      <c r="ACA30" s="153"/>
      <c r="ACB30" s="153"/>
      <c r="ACC30" s="153"/>
      <c r="ACD30" s="153"/>
      <c r="ACE30" s="153"/>
      <c r="ACF30" s="153"/>
      <c r="ACG30" s="153"/>
      <c r="ACH30" s="153"/>
      <c r="ACI30" s="153"/>
      <c r="ACJ30" s="153"/>
      <c r="ACK30" s="153"/>
      <c r="ACL30" s="153"/>
      <c r="ACM30" s="153"/>
      <c r="ACN30" s="153"/>
      <c r="ACO30" s="153"/>
      <c r="ACP30" s="153"/>
      <c r="ACQ30" s="153"/>
      <c r="ACR30" s="153"/>
      <c r="ACS30" s="153"/>
      <c r="ACT30" s="153"/>
      <c r="ACU30" s="153"/>
      <c r="ACV30" s="153"/>
      <c r="ACW30" s="153"/>
      <c r="ACX30" s="153"/>
      <c r="ACY30" s="153"/>
      <c r="ACZ30" s="153"/>
      <c r="ADA30" s="153"/>
      <c r="ADB30" s="153"/>
      <c r="ADC30" s="153"/>
      <c r="ADD30" s="153"/>
      <c r="ADE30" s="153"/>
      <c r="ADF30" s="153"/>
      <c r="ADG30" s="153"/>
      <c r="ADH30" s="153"/>
      <c r="ADI30" s="153"/>
      <c r="ADJ30" s="153"/>
      <c r="ADK30" s="153"/>
      <c r="ADL30" s="153"/>
      <c r="ADM30" s="153"/>
      <c r="ADN30" s="153"/>
      <c r="ADO30" s="153"/>
      <c r="ADP30" s="153"/>
      <c r="ADQ30" s="153"/>
      <c r="ADR30" s="153"/>
      <c r="ADS30" s="153"/>
      <c r="ADT30" s="153"/>
      <c r="ADU30" s="153"/>
      <c r="ADV30" s="153"/>
      <c r="ADW30" s="153"/>
      <c r="ADX30" s="153"/>
      <c r="ADY30" s="153"/>
      <c r="ADZ30" s="153"/>
      <c r="AEA30" s="153"/>
      <c r="AEB30" s="153"/>
      <c r="AEC30" s="153"/>
      <c r="AED30" s="153"/>
      <c r="AEE30" s="153"/>
      <c r="AEF30" s="153"/>
      <c r="AEG30" s="153"/>
      <c r="AEH30" s="153"/>
      <c r="AEI30" s="153"/>
      <c r="AEJ30" s="153"/>
      <c r="AEK30" s="153"/>
      <c r="AEL30" s="153"/>
      <c r="AEM30" s="153"/>
      <c r="AEN30" s="153"/>
      <c r="AEO30" s="153"/>
      <c r="AEP30" s="153"/>
      <c r="AEQ30" s="153"/>
      <c r="AER30" s="153"/>
      <c r="AES30" s="153"/>
      <c r="AET30" s="153"/>
      <c r="AEU30" s="153"/>
      <c r="AEV30" s="153"/>
      <c r="AEW30" s="153"/>
      <c r="AEX30" s="153"/>
      <c r="AEY30" s="153"/>
      <c r="AEZ30" s="153"/>
      <c r="AFA30" s="153"/>
      <c r="AFB30" s="153"/>
      <c r="AFC30" s="153"/>
      <c r="AFD30" s="153"/>
      <c r="AFE30" s="153"/>
      <c r="AFF30" s="153"/>
      <c r="AFG30" s="153"/>
      <c r="AFH30" s="153"/>
      <c r="AFI30" s="153"/>
      <c r="AFJ30" s="153"/>
      <c r="AFK30" s="153"/>
      <c r="AFL30" s="153"/>
      <c r="AFM30" s="153"/>
      <c r="AFN30" s="153"/>
      <c r="AFO30" s="153"/>
      <c r="AFP30" s="153"/>
      <c r="AFQ30" s="153"/>
      <c r="AFR30" s="153"/>
      <c r="AFS30" s="153"/>
      <c r="AFT30" s="153"/>
      <c r="AFU30" s="153"/>
      <c r="AFV30" s="153"/>
      <c r="AFW30" s="153"/>
      <c r="AFX30" s="153"/>
      <c r="AFY30" s="153"/>
      <c r="AFZ30" s="153"/>
      <c r="AGA30" s="153"/>
      <c r="AGB30" s="153"/>
      <c r="AGC30" s="153"/>
      <c r="AGD30" s="153"/>
      <c r="AGE30" s="153"/>
      <c r="AGF30" s="153"/>
      <c r="AGG30" s="153"/>
      <c r="AGH30" s="153"/>
      <c r="AGI30" s="153"/>
      <c r="AGJ30" s="153"/>
      <c r="AGK30" s="153"/>
      <c r="AGL30" s="153"/>
      <c r="AGM30" s="153"/>
      <c r="AGN30" s="153"/>
      <c r="AGO30" s="153"/>
      <c r="AGP30" s="153"/>
      <c r="AGQ30" s="153"/>
      <c r="AGR30" s="153"/>
      <c r="AGS30" s="153"/>
      <c r="AGT30" s="153"/>
      <c r="AGU30" s="153"/>
      <c r="AGV30" s="153"/>
      <c r="AGW30" s="153"/>
      <c r="AGX30" s="153"/>
      <c r="AGY30" s="153"/>
      <c r="AGZ30" s="153"/>
      <c r="AHA30" s="153"/>
      <c r="AHB30" s="153"/>
      <c r="AHC30" s="153"/>
      <c r="AHD30" s="153"/>
      <c r="AHE30" s="153"/>
      <c r="AHF30" s="153"/>
      <c r="AHG30" s="153"/>
      <c r="AHH30" s="153"/>
      <c r="AHI30" s="153"/>
      <c r="AHJ30" s="153"/>
      <c r="AHK30" s="153"/>
      <c r="AHL30" s="153"/>
      <c r="AHM30" s="153"/>
      <c r="AHN30" s="153"/>
      <c r="AHO30" s="153"/>
      <c r="AHP30" s="153"/>
      <c r="AHQ30" s="153"/>
      <c r="AHR30" s="153"/>
      <c r="AHS30" s="153"/>
      <c r="AHT30" s="153"/>
      <c r="AHU30" s="153"/>
      <c r="AHV30" s="153"/>
      <c r="AHW30" s="153"/>
      <c r="AHX30" s="153"/>
      <c r="AHY30" s="153"/>
      <c r="AHZ30" s="153"/>
      <c r="AIA30" s="153"/>
      <c r="AIB30" s="153"/>
      <c r="AIC30" s="153"/>
      <c r="AID30" s="153"/>
      <c r="AIE30" s="153"/>
      <c r="AIF30" s="153"/>
      <c r="AIG30" s="153"/>
      <c r="AIH30" s="153"/>
      <c r="AII30" s="153"/>
      <c r="AIJ30" s="153"/>
      <c r="AIK30" s="153"/>
      <c r="AIL30" s="153"/>
      <c r="AIM30" s="153"/>
      <c r="AIN30" s="153"/>
      <c r="AIO30" s="153"/>
      <c r="AIP30" s="153"/>
      <c r="AIQ30" s="153"/>
      <c r="AIR30" s="153"/>
      <c r="AIS30" s="153"/>
      <c r="AIT30" s="153"/>
      <c r="AIU30" s="153"/>
      <c r="AIV30" s="153"/>
      <c r="AIW30" s="153"/>
      <c r="AIX30" s="153"/>
      <c r="AIY30" s="153"/>
      <c r="AIZ30" s="153"/>
      <c r="AJA30" s="153"/>
      <c r="AJB30" s="153"/>
      <c r="AJC30" s="153"/>
      <c r="AJD30" s="153"/>
      <c r="AJE30" s="153"/>
      <c r="AJF30" s="153"/>
      <c r="AJG30" s="153"/>
      <c r="AJH30" s="153"/>
      <c r="AJI30" s="153"/>
      <c r="AJJ30" s="153"/>
      <c r="AJK30" s="153"/>
      <c r="AJL30" s="153"/>
      <c r="AJM30" s="153"/>
      <c r="AJN30" s="153"/>
      <c r="AJO30" s="153"/>
      <c r="AJP30" s="153"/>
      <c r="AJQ30" s="153"/>
      <c r="AJR30" s="153"/>
      <c r="AJS30" s="153"/>
      <c r="AJT30" s="153"/>
      <c r="AJU30" s="153"/>
      <c r="AJV30" s="153"/>
      <c r="AJW30" s="153"/>
      <c r="AJX30" s="153"/>
      <c r="AJY30" s="153"/>
      <c r="AJZ30" s="153"/>
      <c r="AKA30" s="153"/>
      <c r="AKB30" s="153"/>
      <c r="AKC30" s="153"/>
      <c r="AKD30" s="153"/>
      <c r="AKE30" s="153"/>
      <c r="AKF30" s="153"/>
      <c r="AKG30" s="153"/>
      <c r="AKH30" s="153"/>
      <c r="AKI30" s="153"/>
      <c r="AKJ30" s="153"/>
      <c r="AKK30" s="153"/>
      <c r="AKL30" s="153"/>
      <c r="AKM30" s="153"/>
      <c r="AKN30" s="153"/>
      <c r="AKO30" s="153"/>
      <c r="AKP30" s="153"/>
      <c r="AKQ30" s="153"/>
      <c r="AKR30" s="153"/>
      <c r="AKS30" s="153"/>
      <c r="AKT30" s="153"/>
      <c r="AKU30" s="153"/>
      <c r="AKV30" s="153"/>
      <c r="AKW30" s="153"/>
      <c r="AKX30" s="153"/>
      <c r="AKY30" s="153"/>
      <c r="AKZ30" s="153"/>
      <c r="ALA30" s="153"/>
      <c r="ALB30" s="153"/>
      <c r="ALC30" s="153"/>
      <c r="ALD30" s="153"/>
      <c r="ALE30" s="153"/>
      <c r="ALF30" s="153"/>
      <c r="ALG30" s="153"/>
      <c r="ALH30" s="153"/>
      <c r="ALI30" s="153"/>
      <c r="ALJ30" s="153"/>
      <c r="ALK30" s="153"/>
      <c r="ALL30" s="153"/>
      <c r="ALM30" s="153"/>
      <c r="ALN30" s="153"/>
      <c r="ALO30" s="153"/>
      <c r="ALP30" s="153"/>
      <c r="ALQ30" s="153"/>
      <c r="ALR30" s="153"/>
      <c r="ALS30" s="153"/>
      <c r="ALT30" s="153"/>
      <c r="ALU30" s="153"/>
      <c r="ALV30" s="153"/>
      <c r="ALW30" s="153"/>
      <c r="ALX30" s="153"/>
      <c r="ALY30" s="153"/>
      <c r="ALZ30" s="153"/>
      <c r="AMA30" s="153"/>
      <c r="AMB30" s="153"/>
      <c r="AMC30" s="153"/>
      <c r="AMD30" s="153"/>
      <c r="AME30" s="153"/>
      <c r="AMF30" s="153"/>
      <c r="AMG30" s="153"/>
      <c r="AMH30" s="153"/>
      <c r="AMI30" s="153"/>
      <c r="AMJ30" s="153"/>
      <c r="AMK30" s="153"/>
    </row>
    <row r="31" spans="1:1025" s="417" customFormat="1" ht="11.25" x14ac:dyDescent="0.2">
      <c r="A31" s="391" t="s">
        <v>865</v>
      </c>
      <c r="B31" s="173">
        <f t="shared" ref="B31:D32" si="6">B25-B26</f>
        <v>304395.69999999925</v>
      </c>
      <c r="C31" s="394">
        <f>C25-C26</f>
        <v>0</v>
      </c>
      <c r="D31" s="394">
        <f t="shared" si="6"/>
        <v>3367992.76</v>
      </c>
      <c r="E31" s="388">
        <f>SUM(B31:D31)</f>
        <v>3672388.459999999</v>
      </c>
      <c r="F31" s="153"/>
      <c r="G31" s="425"/>
      <c r="H31" s="339" t="s">
        <v>838</v>
      </c>
      <c r="I31" s="296" t="s">
        <v>866</v>
      </c>
      <c r="J31" s="296" t="s">
        <v>445</v>
      </c>
      <c r="K31" s="296" t="s">
        <v>840</v>
      </c>
      <c r="L31" s="296" t="s">
        <v>841</v>
      </c>
      <c r="M31" s="153"/>
      <c r="N31" s="153"/>
      <c r="O31" s="153"/>
      <c r="P31" s="336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3"/>
      <c r="HL31" s="153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153"/>
      <c r="HX31" s="153"/>
      <c r="HY31" s="153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53"/>
      <c r="IK31" s="153"/>
      <c r="IL31" s="153"/>
      <c r="IM31" s="153"/>
      <c r="IN31" s="153"/>
      <c r="IO31" s="153"/>
      <c r="IP31" s="153"/>
      <c r="IQ31" s="153"/>
      <c r="IR31" s="153"/>
      <c r="IS31" s="153"/>
      <c r="IT31" s="153"/>
      <c r="IU31" s="153"/>
      <c r="IV31" s="153"/>
      <c r="IW31" s="153"/>
      <c r="IX31" s="153"/>
      <c r="IY31" s="153"/>
      <c r="IZ31" s="153"/>
      <c r="JA31" s="153"/>
      <c r="JB31" s="153"/>
      <c r="JC31" s="153"/>
      <c r="JD31" s="153"/>
      <c r="JE31" s="153"/>
      <c r="JF31" s="153"/>
      <c r="JG31" s="153"/>
      <c r="JH31" s="153"/>
      <c r="JI31" s="153"/>
      <c r="JJ31" s="153"/>
      <c r="JK31" s="153"/>
      <c r="JL31" s="153"/>
      <c r="JM31" s="153"/>
      <c r="JN31" s="153"/>
      <c r="JO31" s="153"/>
      <c r="JP31" s="153"/>
      <c r="JQ31" s="153"/>
      <c r="JR31" s="153"/>
      <c r="JS31" s="153"/>
      <c r="JT31" s="153"/>
      <c r="JU31" s="153"/>
      <c r="JV31" s="153"/>
      <c r="JW31" s="153"/>
      <c r="JX31" s="153"/>
      <c r="JY31" s="153"/>
      <c r="JZ31" s="153"/>
      <c r="KA31" s="153"/>
      <c r="KB31" s="153"/>
      <c r="KC31" s="153"/>
      <c r="KD31" s="153"/>
      <c r="KE31" s="153"/>
      <c r="KF31" s="153"/>
      <c r="KG31" s="153"/>
      <c r="KH31" s="153"/>
      <c r="KI31" s="153"/>
      <c r="KJ31" s="153"/>
      <c r="KK31" s="153"/>
      <c r="KL31" s="153"/>
      <c r="KM31" s="153"/>
      <c r="KN31" s="153"/>
      <c r="KO31" s="153"/>
      <c r="KP31" s="153"/>
      <c r="KQ31" s="153"/>
      <c r="KR31" s="153"/>
      <c r="KS31" s="153"/>
      <c r="KT31" s="153"/>
      <c r="KU31" s="153"/>
      <c r="KV31" s="153"/>
      <c r="KW31" s="153"/>
      <c r="KX31" s="153"/>
      <c r="KY31" s="153"/>
      <c r="KZ31" s="153"/>
      <c r="LA31" s="153"/>
      <c r="LB31" s="153"/>
      <c r="LC31" s="153"/>
      <c r="LD31" s="153"/>
      <c r="LE31" s="153"/>
      <c r="LF31" s="153"/>
      <c r="LG31" s="153"/>
      <c r="LH31" s="153"/>
      <c r="LI31" s="153"/>
      <c r="LJ31" s="153"/>
      <c r="LK31" s="153"/>
      <c r="LL31" s="153"/>
      <c r="LM31" s="153"/>
      <c r="LN31" s="153"/>
      <c r="LO31" s="153"/>
      <c r="LP31" s="153"/>
      <c r="LQ31" s="153"/>
      <c r="LR31" s="153"/>
      <c r="LS31" s="153"/>
      <c r="LT31" s="153"/>
      <c r="LU31" s="153"/>
      <c r="LV31" s="153"/>
      <c r="LW31" s="153"/>
      <c r="LX31" s="153"/>
      <c r="LY31" s="153"/>
      <c r="LZ31" s="153"/>
      <c r="MA31" s="153"/>
      <c r="MB31" s="153"/>
      <c r="MC31" s="153"/>
      <c r="MD31" s="153"/>
      <c r="ME31" s="153"/>
      <c r="MF31" s="153"/>
      <c r="MG31" s="153"/>
      <c r="MH31" s="153"/>
      <c r="MI31" s="153"/>
      <c r="MJ31" s="153"/>
      <c r="MK31" s="153"/>
      <c r="ML31" s="153"/>
      <c r="MM31" s="153"/>
      <c r="MN31" s="153"/>
      <c r="MO31" s="153"/>
      <c r="MP31" s="153"/>
      <c r="MQ31" s="153"/>
      <c r="MR31" s="153"/>
      <c r="MS31" s="153"/>
      <c r="MT31" s="153"/>
      <c r="MU31" s="153"/>
      <c r="MV31" s="153"/>
      <c r="MW31" s="153"/>
      <c r="MX31" s="153"/>
      <c r="MY31" s="153"/>
      <c r="MZ31" s="153"/>
      <c r="NA31" s="153"/>
      <c r="NB31" s="153"/>
      <c r="NC31" s="153"/>
      <c r="ND31" s="153"/>
      <c r="NE31" s="153"/>
      <c r="NF31" s="153"/>
      <c r="NG31" s="153"/>
      <c r="NH31" s="153"/>
      <c r="NI31" s="153"/>
      <c r="NJ31" s="153"/>
      <c r="NK31" s="153"/>
      <c r="NL31" s="153"/>
      <c r="NM31" s="153"/>
      <c r="NN31" s="153"/>
      <c r="NO31" s="153"/>
      <c r="NP31" s="153"/>
      <c r="NQ31" s="153"/>
      <c r="NR31" s="153"/>
      <c r="NS31" s="153"/>
      <c r="NT31" s="153"/>
      <c r="NU31" s="153"/>
      <c r="NV31" s="153"/>
      <c r="NW31" s="153"/>
      <c r="NX31" s="153"/>
      <c r="NY31" s="153"/>
      <c r="NZ31" s="153"/>
      <c r="OA31" s="153"/>
      <c r="OB31" s="153"/>
      <c r="OC31" s="153"/>
      <c r="OD31" s="153"/>
      <c r="OE31" s="153"/>
      <c r="OF31" s="153"/>
      <c r="OG31" s="153"/>
      <c r="OH31" s="153"/>
      <c r="OI31" s="153"/>
      <c r="OJ31" s="153"/>
      <c r="OK31" s="153"/>
      <c r="OL31" s="153"/>
      <c r="OM31" s="153"/>
      <c r="ON31" s="153"/>
      <c r="OO31" s="153"/>
      <c r="OP31" s="153"/>
      <c r="OQ31" s="153"/>
      <c r="OR31" s="153"/>
      <c r="OS31" s="153"/>
      <c r="OT31" s="153"/>
      <c r="OU31" s="153"/>
      <c r="OV31" s="153"/>
      <c r="OW31" s="153"/>
      <c r="OX31" s="153"/>
      <c r="OY31" s="153"/>
      <c r="OZ31" s="153"/>
      <c r="PA31" s="153"/>
      <c r="PB31" s="153"/>
      <c r="PC31" s="153"/>
      <c r="PD31" s="153"/>
      <c r="PE31" s="153"/>
      <c r="PF31" s="153"/>
      <c r="PG31" s="153"/>
      <c r="PH31" s="153"/>
      <c r="PI31" s="153"/>
      <c r="PJ31" s="153"/>
      <c r="PK31" s="153"/>
      <c r="PL31" s="153"/>
      <c r="PM31" s="153"/>
      <c r="PN31" s="153"/>
      <c r="PO31" s="153"/>
      <c r="PP31" s="153"/>
      <c r="PQ31" s="153"/>
      <c r="PR31" s="153"/>
      <c r="PS31" s="153"/>
      <c r="PT31" s="153"/>
      <c r="PU31" s="153"/>
      <c r="PV31" s="153"/>
      <c r="PW31" s="153"/>
      <c r="PX31" s="153"/>
      <c r="PY31" s="153"/>
      <c r="PZ31" s="153"/>
      <c r="QA31" s="153"/>
      <c r="QB31" s="153"/>
      <c r="QC31" s="153"/>
      <c r="QD31" s="153"/>
      <c r="QE31" s="153"/>
      <c r="QF31" s="153"/>
      <c r="QG31" s="153"/>
      <c r="QH31" s="153"/>
      <c r="QI31" s="153"/>
      <c r="QJ31" s="153"/>
      <c r="QK31" s="153"/>
      <c r="QL31" s="153"/>
      <c r="QM31" s="153"/>
      <c r="QN31" s="153"/>
      <c r="QO31" s="153"/>
      <c r="QP31" s="153"/>
      <c r="QQ31" s="153"/>
      <c r="QR31" s="153"/>
      <c r="QS31" s="153"/>
      <c r="QT31" s="153"/>
      <c r="QU31" s="153"/>
      <c r="QV31" s="153"/>
      <c r="QW31" s="153"/>
      <c r="QX31" s="153"/>
      <c r="QY31" s="153"/>
      <c r="QZ31" s="153"/>
      <c r="RA31" s="153"/>
      <c r="RB31" s="153"/>
      <c r="RC31" s="153"/>
      <c r="RD31" s="153"/>
      <c r="RE31" s="153"/>
      <c r="RF31" s="153"/>
      <c r="RG31" s="153"/>
      <c r="RH31" s="153"/>
      <c r="RI31" s="153"/>
      <c r="RJ31" s="153"/>
      <c r="RK31" s="153"/>
      <c r="RL31" s="153"/>
      <c r="RM31" s="153"/>
      <c r="RN31" s="153"/>
      <c r="RO31" s="153"/>
      <c r="RP31" s="153"/>
      <c r="RQ31" s="153"/>
      <c r="RR31" s="153"/>
      <c r="RS31" s="153"/>
      <c r="RT31" s="153"/>
      <c r="RU31" s="153"/>
      <c r="RV31" s="153"/>
      <c r="RW31" s="153"/>
      <c r="RX31" s="153"/>
      <c r="RY31" s="153"/>
      <c r="RZ31" s="153"/>
      <c r="SA31" s="153"/>
      <c r="SB31" s="153"/>
      <c r="SC31" s="153"/>
      <c r="SD31" s="153"/>
      <c r="SE31" s="153"/>
      <c r="SF31" s="153"/>
      <c r="SG31" s="153"/>
      <c r="SH31" s="153"/>
      <c r="SI31" s="153"/>
      <c r="SJ31" s="153"/>
      <c r="SK31" s="153"/>
      <c r="SL31" s="153"/>
      <c r="SM31" s="153"/>
      <c r="SN31" s="153"/>
      <c r="SO31" s="153"/>
      <c r="SP31" s="153"/>
      <c r="SQ31" s="153"/>
      <c r="SR31" s="153"/>
      <c r="SS31" s="153"/>
      <c r="ST31" s="153"/>
      <c r="SU31" s="153"/>
      <c r="SV31" s="153"/>
      <c r="SW31" s="153"/>
      <c r="SX31" s="153"/>
      <c r="SY31" s="153"/>
      <c r="SZ31" s="153"/>
      <c r="TA31" s="153"/>
      <c r="TB31" s="153"/>
      <c r="TC31" s="153"/>
      <c r="TD31" s="153"/>
      <c r="TE31" s="153"/>
      <c r="TF31" s="153"/>
      <c r="TG31" s="153"/>
      <c r="TH31" s="153"/>
      <c r="TI31" s="153"/>
      <c r="TJ31" s="153"/>
      <c r="TK31" s="153"/>
      <c r="TL31" s="153"/>
      <c r="TM31" s="153"/>
      <c r="TN31" s="153"/>
      <c r="TO31" s="153"/>
      <c r="TP31" s="153"/>
      <c r="TQ31" s="153"/>
      <c r="TR31" s="153"/>
      <c r="TS31" s="153"/>
      <c r="TT31" s="153"/>
      <c r="TU31" s="153"/>
      <c r="TV31" s="153"/>
      <c r="TW31" s="153"/>
      <c r="TX31" s="153"/>
      <c r="TY31" s="153"/>
      <c r="TZ31" s="153"/>
      <c r="UA31" s="153"/>
      <c r="UB31" s="153"/>
      <c r="UC31" s="153"/>
      <c r="UD31" s="153"/>
      <c r="UE31" s="153"/>
      <c r="UF31" s="153"/>
      <c r="UG31" s="153"/>
      <c r="UH31" s="153"/>
      <c r="UI31" s="153"/>
      <c r="UJ31" s="153"/>
      <c r="UK31" s="153"/>
      <c r="UL31" s="153"/>
      <c r="UM31" s="153"/>
      <c r="UN31" s="153"/>
      <c r="UO31" s="153"/>
      <c r="UP31" s="153"/>
      <c r="UQ31" s="153"/>
      <c r="UR31" s="153"/>
      <c r="US31" s="153"/>
      <c r="UT31" s="153"/>
      <c r="UU31" s="153"/>
      <c r="UV31" s="153"/>
      <c r="UW31" s="153"/>
      <c r="UX31" s="153"/>
      <c r="UY31" s="153"/>
      <c r="UZ31" s="153"/>
      <c r="VA31" s="153"/>
      <c r="VB31" s="153"/>
      <c r="VC31" s="153"/>
      <c r="VD31" s="153"/>
      <c r="VE31" s="153"/>
      <c r="VF31" s="153"/>
      <c r="VG31" s="153"/>
      <c r="VH31" s="153"/>
      <c r="VI31" s="153"/>
      <c r="VJ31" s="153"/>
      <c r="VK31" s="153"/>
      <c r="VL31" s="153"/>
      <c r="VM31" s="153"/>
      <c r="VN31" s="153"/>
      <c r="VO31" s="153"/>
      <c r="VP31" s="153"/>
      <c r="VQ31" s="153"/>
      <c r="VR31" s="153"/>
      <c r="VS31" s="153"/>
      <c r="VT31" s="153"/>
      <c r="VU31" s="153"/>
      <c r="VV31" s="153"/>
      <c r="VW31" s="153"/>
      <c r="VX31" s="153"/>
      <c r="VY31" s="153"/>
      <c r="VZ31" s="153"/>
      <c r="WA31" s="153"/>
      <c r="WB31" s="153"/>
      <c r="WC31" s="153"/>
      <c r="WD31" s="153"/>
      <c r="WE31" s="153"/>
      <c r="WF31" s="153"/>
      <c r="WG31" s="153"/>
      <c r="WH31" s="153"/>
      <c r="WI31" s="153"/>
      <c r="WJ31" s="153"/>
      <c r="WK31" s="153"/>
      <c r="WL31" s="153"/>
      <c r="WM31" s="153"/>
      <c r="WN31" s="153"/>
      <c r="WO31" s="153"/>
      <c r="WP31" s="153"/>
      <c r="WQ31" s="153"/>
      <c r="WR31" s="153"/>
      <c r="WS31" s="153"/>
      <c r="WT31" s="153"/>
      <c r="WU31" s="153"/>
      <c r="WV31" s="153"/>
      <c r="WW31" s="153"/>
      <c r="WX31" s="153"/>
      <c r="WY31" s="153"/>
      <c r="WZ31" s="153"/>
      <c r="XA31" s="153"/>
      <c r="XB31" s="153"/>
      <c r="XC31" s="153"/>
      <c r="XD31" s="153"/>
      <c r="XE31" s="153"/>
      <c r="XF31" s="153"/>
      <c r="XG31" s="153"/>
      <c r="XH31" s="153"/>
      <c r="XI31" s="153"/>
      <c r="XJ31" s="153"/>
      <c r="XK31" s="153"/>
      <c r="XL31" s="153"/>
      <c r="XM31" s="153"/>
      <c r="XN31" s="153"/>
      <c r="XO31" s="153"/>
      <c r="XP31" s="153"/>
      <c r="XQ31" s="153"/>
      <c r="XR31" s="153"/>
      <c r="XS31" s="153"/>
      <c r="XT31" s="153"/>
      <c r="XU31" s="153"/>
      <c r="XV31" s="153"/>
      <c r="XW31" s="153"/>
      <c r="XX31" s="153"/>
      <c r="XY31" s="153"/>
      <c r="XZ31" s="153"/>
      <c r="YA31" s="153"/>
      <c r="YB31" s="153"/>
      <c r="YC31" s="153"/>
      <c r="YD31" s="153"/>
      <c r="YE31" s="153"/>
      <c r="YF31" s="153"/>
      <c r="YG31" s="153"/>
      <c r="YH31" s="153"/>
      <c r="YI31" s="153"/>
      <c r="YJ31" s="153"/>
      <c r="YK31" s="153"/>
      <c r="YL31" s="153"/>
      <c r="YM31" s="153"/>
      <c r="YN31" s="153"/>
      <c r="YO31" s="153"/>
      <c r="YP31" s="153"/>
      <c r="YQ31" s="153"/>
      <c r="YR31" s="153"/>
      <c r="YS31" s="153"/>
      <c r="YT31" s="153"/>
      <c r="YU31" s="153"/>
      <c r="YV31" s="153"/>
      <c r="YW31" s="153"/>
      <c r="YX31" s="153"/>
      <c r="YY31" s="153"/>
      <c r="YZ31" s="153"/>
      <c r="ZA31" s="153"/>
      <c r="ZB31" s="153"/>
      <c r="ZC31" s="153"/>
      <c r="ZD31" s="153"/>
      <c r="ZE31" s="153"/>
      <c r="ZF31" s="153"/>
      <c r="ZG31" s="153"/>
      <c r="ZH31" s="153"/>
      <c r="ZI31" s="153"/>
      <c r="ZJ31" s="153"/>
      <c r="ZK31" s="153"/>
      <c r="ZL31" s="153"/>
      <c r="ZM31" s="153"/>
      <c r="ZN31" s="153"/>
      <c r="ZO31" s="153"/>
      <c r="ZP31" s="153"/>
      <c r="ZQ31" s="153"/>
      <c r="ZR31" s="153"/>
      <c r="ZS31" s="153"/>
      <c r="ZT31" s="153"/>
      <c r="ZU31" s="153"/>
      <c r="ZV31" s="153"/>
      <c r="ZW31" s="153"/>
      <c r="ZX31" s="153"/>
      <c r="ZY31" s="153"/>
      <c r="ZZ31" s="153"/>
      <c r="AAA31" s="153"/>
      <c r="AAB31" s="153"/>
      <c r="AAC31" s="153"/>
      <c r="AAD31" s="153"/>
      <c r="AAE31" s="153"/>
      <c r="AAF31" s="153"/>
      <c r="AAG31" s="153"/>
      <c r="AAH31" s="153"/>
      <c r="AAI31" s="153"/>
      <c r="AAJ31" s="153"/>
      <c r="AAK31" s="153"/>
      <c r="AAL31" s="153"/>
      <c r="AAM31" s="153"/>
      <c r="AAN31" s="153"/>
      <c r="AAO31" s="153"/>
      <c r="AAP31" s="153"/>
      <c r="AAQ31" s="153"/>
      <c r="AAR31" s="153"/>
      <c r="AAS31" s="153"/>
      <c r="AAT31" s="153"/>
      <c r="AAU31" s="153"/>
      <c r="AAV31" s="153"/>
      <c r="AAW31" s="153"/>
      <c r="AAX31" s="153"/>
      <c r="AAY31" s="153"/>
      <c r="AAZ31" s="153"/>
      <c r="ABA31" s="153"/>
      <c r="ABB31" s="153"/>
      <c r="ABC31" s="153"/>
      <c r="ABD31" s="153"/>
      <c r="ABE31" s="153"/>
      <c r="ABF31" s="153"/>
      <c r="ABG31" s="153"/>
      <c r="ABH31" s="153"/>
      <c r="ABI31" s="153"/>
      <c r="ABJ31" s="153"/>
      <c r="ABK31" s="153"/>
      <c r="ABL31" s="153"/>
      <c r="ABM31" s="153"/>
      <c r="ABN31" s="153"/>
      <c r="ABO31" s="153"/>
      <c r="ABP31" s="153"/>
      <c r="ABQ31" s="153"/>
      <c r="ABR31" s="153"/>
      <c r="ABS31" s="153"/>
      <c r="ABT31" s="153"/>
      <c r="ABU31" s="153"/>
      <c r="ABV31" s="153"/>
      <c r="ABW31" s="153"/>
      <c r="ABX31" s="153"/>
      <c r="ABY31" s="153"/>
      <c r="ABZ31" s="153"/>
      <c r="ACA31" s="153"/>
      <c r="ACB31" s="153"/>
      <c r="ACC31" s="153"/>
      <c r="ACD31" s="153"/>
      <c r="ACE31" s="153"/>
      <c r="ACF31" s="153"/>
      <c r="ACG31" s="153"/>
      <c r="ACH31" s="153"/>
      <c r="ACI31" s="153"/>
      <c r="ACJ31" s="153"/>
      <c r="ACK31" s="153"/>
      <c r="ACL31" s="153"/>
      <c r="ACM31" s="153"/>
      <c r="ACN31" s="153"/>
      <c r="ACO31" s="153"/>
      <c r="ACP31" s="153"/>
      <c r="ACQ31" s="153"/>
      <c r="ACR31" s="153"/>
      <c r="ACS31" s="153"/>
      <c r="ACT31" s="153"/>
      <c r="ACU31" s="153"/>
      <c r="ACV31" s="153"/>
      <c r="ACW31" s="153"/>
      <c r="ACX31" s="153"/>
      <c r="ACY31" s="153"/>
      <c r="ACZ31" s="153"/>
      <c r="ADA31" s="153"/>
      <c r="ADB31" s="153"/>
      <c r="ADC31" s="153"/>
      <c r="ADD31" s="153"/>
      <c r="ADE31" s="153"/>
      <c r="ADF31" s="153"/>
      <c r="ADG31" s="153"/>
      <c r="ADH31" s="153"/>
      <c r="ADI31" s="153"/>
      <c r="ADJ31" s="153"/>
      <c r="ADK31" s="153"/>
      <c r="ADL31" s="153"/>
      <c r="ADM31" s="153"/>
      <c r="ADN31" s="153"/>
      <c r="ADO31" s="153"/>
      <c r="ADP31" s="153"/>
      <c r="ADQ31" s="153"/>
      <c r="ADR31" s="153"/>
      <c r="ADS31" s="153"/>
      <c r="ADT31" s="153"/>
      <c r="ADU31" s="153"/>
      <c r="ADV31" s="153"/>
      <c r="ADW31" s="153"/>
      <c r="ADX31" s="153"/>
      <c r="ADY31" s="153"/>
      <c r="ADZ31" s="153"/>
      <c r="AEA31" s="153"/>
      <c r="AEB31" s="153"/>
      <c r="AEC31" s="153"/>
      <c r="AED31" s="153"/>
      <c r="AEE31" s="153"/>
      <c r="AEF31" s="153"/>
      <c r="AEG31" s="153"/>
      <c r="AEH31" s="153"/>
      <c r="AEI31" s="153"/>
      <c r="AEJ31" s="153"/>
      <c r="AEK31" s="153"/>
      <c r="AEL31" s="153"/>
      <c r="AEM31" s="153"/>
      <c r="AEN31" s="153"/>
      <c r="AEO31" s="153"/>
      <c r="AEP31" s="153"/>
      <c r="AEQ31" s="153"/>
      <c r="AER31" s="153"/>
      <c r="AES31" s="153"/>
      <c r="AET31" s="153"/>
      <c r="AEU31" s="153"/>
      <c r="AEV31" s="153"/>
      <c r="AEW31" s="153"/>
      <c r="AEX31" s="153"/>
      <c r="AEY31" s="153"/>
      <c r="AEZ31" s="153"/>
      <c r="AFA31" s="153"/>
      <c r="AFB31" s="153"/>
      <c r="AFC31" s="153"/>
      <c r="AFD31" s="153"/>
      <c r="AFE31" s="153"/>
      <c r="AFF31" s="153"/>
      <c r="AFG31" s="153"/>
      <c r="AFH31" s="153"/>
      <c r="AFI31" s="153"/>
      <c r="AFJ31" s="153"/>
      <c r="AFK31" s="153"/>
      <c r="AFL31" s="153"/>
      <c r="AFM31" s="153"/>
      <c r="AFN31" s="153"/>
      <c r="AFO31" s="153"/>
      <c r="AFP31" s="153"/>
      <c r="AFQ31" s="153"/>
      <c r="AFR31" s="153"/>
      <c r="AFS31" s="153"/>
      <c r="AFT31" s="153"/>
      <c r="AFU31" s="153"/>
      <c r="AFV31" s="153"/>
      <c r="AFW31" s="153"/>
      <c r="AFX31" s="153"/>
      <c r="AFY31" s="153"/>
      <c r="AFZ31" s="153"/>
      <c r="AGA31" s="153"/>
      <c r="AGB31" s="153"/>
      <c r="AGC31" s="153"/>
      <c r="AGD31" s="153"/>
      <c r="AGE31" s="153"/>
      <c r="AGF31" s="153"/>
      <c r="AGG31" s="153"/>
      <c r="AGH31" s="153"/>
      <c r="AGI31" s="153"/>
      <c r="AGJ31" s="153"/>
      <c r="AGK31" s="153"/>
      <c r="AGL31" s="153"/>
      <c r="AGM31" s="153"/>
      <c r="AGN31" s="153"/>
      <c r="AGO31" s="153"/>
      <c r="AGP31" s="153"/>
      <c r="AGQ31" s="153"/>
      <c r="AGR31" s="153"/>
      <c r="AGS31" s="153"/>
      <c r="AGT31" s="153"/>
      <c r="AGU31" s="153"/>
      <c r="AGV31" s="153"/>
      <c r="AGW31" s="153"/>
      <c r="AGX31" s="153"/>
      <c r="AGY31" s="153"/>
      <c r="AGZ31" s="153"/>
      <c r="AHA31" s="153"/>
      <c r="AHB31" s="153"/>
      <c r="AHC31" s="153"/>
      <c r="AHD31" s="153"/>
      <c r="AHE31" s="153"/>
      <c r="AHF31" s="153"/>
      <c r="AHG31" s="153"/>
      <c r="AHH31" s="153"/>
      <c r="AHI31" s="153"/>
      <c r="AHJ31" s="153"/>
      <c r="AHK31" s="153"/>
      <c r="AHL31" s="153"/>
      <c r="AHM31" s="153"/>
      <c r="AHN31" s="153"/>
      <c r="AHO31" s="153"/>
      <c r="AHP31" s="153"/>
      <c r="AHQ31" s="153"/>
      <c r="AHR31" s="153"/>
      <c r="AHS31" s="153"/>
      <c r="AHT31" s="153"/>
      <c r="AHU31" s="153"/>
      <c r="AHV31" s="153"/>
      <c r="AHW31" s="153"/>
      <c r="AHX31" s="153"/>
      <c r="AHY31" s="153"/>
      <c r="AHZ31" s="153"/>
      <c r="AIA31" s="153"/>
      <c r="AIB31" s="153"/>
      <c r="AIC31" s="153"/>
      <c r="AID31" s="153"/>
      <c r="AIE31" s="153"/>
      <c r="AIF31" s="153"/>
      <c r="AIG31" s="153"/>
      <c r="AIH31" s="153"/>
      <c r="AII31" s="153"/>
      <c r="AIJ31" s="153"/>
      <c r="AIK31" s="153"/>
      <c r="AIL31" s="153"/>
      <c r="AIM31" s="153"/>
      <c r="AIN31" s="153"/>
      <c r="AIO31" s="153"/>
      <c r="AIP31" s="153"/>
      <c r="AIQ31" s="153"/>
      <c r="AIR31" s="153"/>
      <c r="AIS31" s="153"/>
      <c r="AIT31" s="153"/>
      <c r="AIU31" s="153"/>
      <c r="AIV31" s="153"/>
      <c r="AIW31" s="153"/>
      <c r="AIX31" s="153"/>
      <c r="AIY31" s="153"/>
      <c r="AIZ31" s="153"/>
      <c r="AJA31" s="153"/>
      <c r="AJB31" s="153"/>
      <c r="AJC31" s="153"/>
      <c r="AJD31" s="153"/>
      <c r="AJE31" s="153"/>
      <c r="AJF31" s="153"/>
      <c r="AJG31" s="153"/>
      <c r="AJH31" s="153"/>
      <c r="AJI31" s="153"/>
      <c r="AJJ31" s="153"/>
      <c r="AJK31" s="153"/>
      <c r="AJL31" s="153"/>
      <c r="AJM31" s="153"/>
      <c r="AJN31" s="153"/>
      <c r="AJO31" s="153"/>
      <c r="AJP31" s="153"/>
      <c r="AJQ31" s="153"/>
      <c r="AJR31" s="153"/>
      <c r="AJS31" s="153"/>
      <c r="AJT31" s="153"/>
      <c r="AJU31" s="153"/>
      <c r="AJV31" s="153"/>
      <c r="AJW31" s="153"/>
      <c r="AJX31" s="153"/>
      <c r="AJY31" s="153"/>
      <c r="AJZ31" s="153"/>
      <c r="AKA31" s="153"/>
      <c r="AKB31" s="153"/>
      <c r="AKC31" s="153"/>
      <c r="AKD31" s="153"/>
      <c r="AKE31" s="153"/>
      <c r="AKF31" s="153"/>
      <c r="AKG31" s="153"/>
      <c r="AKH31" s="153"/>
      <c r="AKI31" s="153"/>
      <c r="AKJ31" s="153"/>
      <c r="AKK31" s="153"/>
      <c r="AKL31" s="153"/>
      <c r="AKM31" s="153"/>
      <c r="AKN31" s="153"/>
      <c r="AKO31" s="153"/>
      <c r="AKP31" s="153"/>
      <c r="AKQ31" s="153"/>
      <c r="AKR31" s="153"/>
      <c r="AKS31" s="153"/>
      <c r="AKT31" s="153"/>
      <c r="AKU31" s="153"/>
      <c r="AKV31" s="153"/>
      <c r="AKW31" s="153"/>
      <c r="AKX31" s="153"/>
      <c r="AKY31" s="153"/>
      <c r="AKZ31" s="153"/>
      <c r="ALA31" s="153"/>
      <c r="ALB31" s="153"/>
      <c r="ALC31" s="153"/>
      <c r="ALD31" s="153"/>
      <c r="ALE31" s="153"/>
      <c r="ALF31" s="153"/>
      <c r="ALG31" s="153"/>
      <c r="ALH31" s="153"/>
      <c r="ALI31" s="153"/>
      <c r="ALJ31" s="153"/>
      <c r="ALK31" s="153"/>
      <c r="ALL31" s="153"/>
      <c r="ALM31" s="153"/>
      <c r="ALN31" s="153"/>
      <c r="ALO31" s="153"/>
      <c r="ALP31" s="153"/>
      <c r="ALQ31" s="153"/>
      <c r="ALR31" s="153"/>
      <c r="ALS31" s="153"/>
      <c r="ALT31" s="153"/>
      <c r="ALU31" s="153"/>
      <c r="ALV31" s="153"/>
      <c r="ALW31" s="153"/>
      <c r="ALX31" s="153"/>
      <c r="ALY31" s="153"/>
      <c r="ALZ31" s="153"/>
      <c r="AMA31" s="153"/>
      <c r="AMB31" s="153"/>
      <c r="AMC31" s="153"/>
      <c r="AMD31" s="153"/>
      <c r="AME31" s="153"/>
      <c r="AMF31" s="153"/>
      <c r="AMG31" s="153"/>
      <c r="AMH31" s="153"/>
      <c r="AMI31" s="153"/>
      <c r="AMJ31" s="153"/>
      <c r="AMK31" s="153"/>
    </row>
    <row r="32" spans="1:1025" s="417" customFormat="1" ht="11.25" x14ac:dyDescent="0.2">
      <c r="A32" s="391" t="s">
        <v>53</v>
      </c>
      <c r="B32" s="404">
        <f t="shared" si="6"/>
        <v>533941.6400000006</v>
      </c>
      <c r="C32" s="394">
        <f>C26-C27</f>
        <v>1017825.8299999982</v>
      </c>
      <c r="D32" s="394">
        <f t="shared" si="6"/>
        <v>1011614</v>
      </c>
      <c r="E32" s="390">
        <f>SUM(B32:D32)</f>
        <v>2563381.4699999988</v>
      </c>
      <c r="F32" s="153"/>
      <c r="G32" s="366"/>
      <c r="H32" s="339" t="s">
        <v>635</v>
      </c>
      <c r="I32" s="429">
        <f>B25</f>
        <v>5275050.5599999996</v>
      </c>
      <c r="J32" s="390">
        <f>C26</f>
        <v>18953236.43</v>
      </c>
      <c r="K32" s="125">
        <f>781542.65</f>
        <v>781542.65</v>
      </c>
      <c r="L32" s="430">
        <f>SUM(I32:K32)</f>
        <v>25009829.639999997</v>
      </c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53"/>
      <c r="IN32" s="153"/>
      <c r="IO32" s="153"/>
      <c r="IP32" s="153"/>
      <c r="IQ32" s="153"/>
      <c r="IR32" s="153"/>
      <c r="IS32" s="153"/>
      <c r="IT32" s="153"/>
      <c r="IU32" s="153"/>
      <c r="IV32" s="153"/>
      <c r="IW32" s="153"/>
      <c r="IX32" s="153"/>
      <c r="IY32" s="153"/>
      <c r="IZ32" s="153"/>
      <c r="JA32" s="153"/>
      <c r="JB32" s="153"/>
      <c r="JC32" s="153"/>
      <c r="JD32" s="153"/>
      <c r="JE32" s="153"/>
      <c r="JF32" s="153"/>
      <c r="JG32" s="153"/>
      <c r="JH32" s="153"/>
      <c r="JI32" s="153"/>
      <c r="JJ32" s="153"/>
      <c r="JK32" s="153"/>
      <c r="JL32" s="153"/>
      <c r="JM32" s="153"/>
      <c r="JN32" s="153"/>
      <c r="JO32" s="153"/>
      <c r="JP32" s="153"/>
      <c r="JQ32" s="153"/>
      <c r="JR32" s="153"/>
      <c r="JS32" s="153"/>
      <c r="JT32" s="153"/>
      <c r="JU32" s="153"/>
      <c r="JV32" s="153"/>
      <c r="JW32" s="153"/>
      <c r="JX32" s="153"/>
      <c r="JY32" s="153"/>
      <c r="JZ32" s="153"/>
      <c r="KA32" s="153"/>
      <c r="KB32" s="153"/>
      <c r="KC32" s="153"/>
      <c r="KD32" s="153"/>
      <c r="KE32" s="153"/>
      <c r="KF32" s="153"/>
      <c r="KG32" s="153"/>
      <c r="KH32" s="153"/>
      <c r="KI32" s="153"/>
      <c r="KJ32" s="153"/>
      <c r="KK32" s="153"/>
      <c r="KL32" s="153"/>
      <c r="KM32" s="153"/>
      <c r="KN32" s="153"/>
      <c r="KO32" s="153"/>
      <c r="KP32" s="153"/>
      <c r="KQ32" s="153"/>
      <c r="KR32" s="153"/>
      <c r="KS32" s="153"/>
      <c r="KT32" s="153"/>
      <c r="KU32" s="153"/>
      <c r="KV32" s="153"/>
      <c r="KW32" s="153"/>
      <c r="KX32" s="153"/>
      <c r="KY32" s="153"/>
      <c r="KZ32" s="153"/>
      <c r="LA32" s="153"/>
      <c r="LB32" s="153"/>
      <c r="LC32" s="153"/>
      <c r="LD32" s="153"/>
      <c r="LE32" s="153"/>
      <c r="LF32" s="153"/>
      <c r="LG32" s="153"/>
      <c r="LH32" s="153"/>
      <c r="LI32" s="153"/>
      <c r="LJ32" s="153"/>
      <c r="LK32" s="153"/>
      <c r="LL32" s="153"/>
      <c r="LM32" s="153"/>
      <c r="LN32" s="153"/>
      <c r="LO32" s="153"/>
      <c r="LP32" s="153"/>
      <c r="LQ32" s="153"/>
      <c r="LR32" s="153"/>
      <c r="LS32" s="153"/>
      <c r="LT32" s="153"/>
      <c r="LU32" s="153"/>
      <c r="LV32" s="153"/>
      <c r="LW32" s="153"/>
      <c r="LX32" s="153"/>
      <c r="LY32" s="153"/>
      <c r="LZ32" s="153"/>
      <c r="MA32" s="153"/>
      <c r="MB32" s="153"/>
      <c r="MC32" s="153"/>
      <c r="MD32" s="153"/>
      <c r="ME32" s="153"/>
      <c r="MF32" s="153"/>
      <c r="MG32" s="153"/>
      <c r="MH32" s="153"/>
      <c r="MI32" s="153"/>
      <c r="MJ32" s="153"/>
      <c r="MK32" s="153"/>
      <c r="ML32" s="153"/>
      <c r="MM32" s="153"/>
      <c r="MN32" s="153"/>
      <c r="MO32" s="153"/>
      <c r="MP32" s="153"/>
      <c r="MQ32" s="153"/>
      <c r="MR32" s="153"/>
      <c r="MS32" s="153"/>
      <c r="MT32" s="153"/>
      <c r="MU32" s="153"/>
      <c r="MV32" s="153"/>
      <c r="MW32" s="153"/>
      <c r="MX32" s="153"/>
      <c r="MY32" s="153"/>
      <c r="MZ32" s="153"/>
      <c r="NA32" s="153"/>
      <c r="NB32" s="153"/>
      <c r="NC32" s="153"/>
      <c r="ND32" s="153"/>
      <c r="NE32" s="153"/>
      <c r="NF32" s="153"/>
      <c r="NG32" s="153"/>
      <c r="NH32" s="153"/>
      <c r="NI32" s="153"/>
      <c r="NJ32" s="153"/>
      <c r="NK32" s="153"/>
      <c r="NL32" s="153"/>
      <c r="NM32" s="153"/>
      <c r="NN32" s="153"/>
      <c r="NO32" s="153"/>
      <c r="NP32" s="153"/>
      <c r="NQ32" s="153"/>
      <c r="NR32" s="153"/>
      <c r="NS32" s="153"/>
      <c r="NT32" s="153"/>
      <c r="NU32" s="153"/>
      <c r="NV32" s="153"/>
      <c r="NW32" s="153"/>
      <c r="NX32" s="153"/>
      <c r="NY32" s="153"/>
      <c r="NZ32" s="153"/>
      <c r="OA32" s="153"/>
      <c r="OB32" s="153"/>
      <c r="OC32" s="153"/>
      <c r="OD32" s="153"/>
      <c r="OE32" s="153"/>
      <c r="OF32" s="153"/>
      <c r="OG32" s="153"/>
      <c r="OH32" s="153"/>
      <c r="OI32" s="153"/>
      <c r="OJ32" s="153"/>
      <c r="OK32" s="153"/>
      <c r="OL32" s="153"/>
      <c r="OM32" s="153"/>
      <c r="ON32" s="153"/>
      <c r="OO32" s="153"/>
      <c r="OP32" s="153"/>
      <c r="OQ32" s="153"/>
      <c r="OR32" s="153"/>
      <c r="OS32" s="153"/>
      <c r="OT32" s="153"/>
      <c r="OU32" s="153"/>
      <c r="OV32" s="153"/>
      <c r="OW32" s="153"/>
      <c r="OX32" s="153"/>
      <c r="OY32" s="153"/>
      <c r="OZ32" s="153"/>
      <c r="PA32" s="153"/>
      <c r="PB32" s="153"/>
      <c r="PC32" s="153"/>
      <c r="PD32" s="153"/>
      <c r="PE32" s="153"/>
      <c r="PF32" s="153"/>
      <c r="PG32" s="153"/>
      <c r="PH32" s="153"/>
      <c r="PI32" s="153"/>
      <c r="PJ32" s="153"/>
      <c r="PK32" s="153"/>
      <c r="PL32" s="153"/>
      <c r="PM32" s="153"/>
      <c r="PN32" s="153"/>
      <c r="PO32" s="153"/>
      <c r="PP32" s="153"/>
      <c r="PQ32" s="153"/>
      <c r="PR32" s="153"/>
      <c r="PS32" s="153"/>
      <c r="PT32" s="153"/>
      <c r="PU32" s="153"/>
      <c r="PV32" s="153"/>
      <c r="PW32" s="153"/>
      <c r="PX32" s="153"/>
      <c r="PY32" s="153"/>
      <c r="PZ32" s="153"/>
      <c r="QA32" s="153"/>
      <c r="QB32" s="153"/>
      <c r="QC32" s="153"/>
      <c r="QD32" s="153"/>
      <c r="QE32" s="153"/>
      <c r="QF32" s="153"/>
      <c r="QG32" s="153"/>
      <c r="QH32" s="153"/>
      <c r="QI32" s="153"/>
      <c r="QJ32" s="153"/>
      <c r="QK32" s="153"/>
      <c r="QL32" s="153"/>
      <c r="QM32" s="153"/>
      <c r="QN32" s="153"/>
      <c r="QO32" s="153"/>
      <c r="QP32" s="153"/>
      <c r="QQ32" s="153"/>
      <c r="QR32" s="153"/>
      <c r="QS32" s="153"/>
      <c r="QT32" s="153"/>
      <c r="QU32" s="153"/>
      <c r="QV32" s="153"/>
      <c r="QW32" s="153"/>
      <c r="QX32" s="153"/>
      <c r="QY32" s="153"/>
      <c r="QZ32" s="153"/>
      <c r="RA32" s="153"/>
      <c r="RB32" s="153"/>
      <c r="RC32" s="153"/>
      <c r="RD32" s="153"/>
      <c r="RE32" s="153"/>
      <c r="RF32" s="153"/>
      <c r="RG32" s="153"/>
      <c r="RH32" s="153"/>
      <c r="RI32" s="153"/>
      <c r="RJ32" s="153"/>
      <c r="RK32" s="153"/>
      <c r="RL32" s="153"/>
      <c r="RM32" s="153"/>
      <c r="RN32" s="153"/>
      <c r="RO32" s="153"/>
      <c r="RP32" s="153"/>
      <c r="RQ32" s="153"/>
      <c r="RR32" s="153"/>
      <c r="RS32" s="153"/>
      <c r="RT32" s="153"/>
      <c r="RU32" s="153"/>
      <c r="RV32" s="153"/>
      <c r="RW32" s="153"/>
      <c r="RX32" s="153"/>
      <c r="RY32" s="153"/>
      <c r="RZ32" s="153"/>
      <c r="SA32" s="153"/>
      <c r="SB32" s="153"/>
      <c r="SC32" s="153"/>
      <c r="SD32" s="153"/>
      <c r="SE32" s="153"/>
      <c r="SF32" s="153"/>
      <c r="SG32" s="153"/>
      <c r="SH32" s="153"/>
      <c r="SI32" s="153"/>
      <c r="SJ32" s="153"/>
      <c r="SK32" s="153"/>
      <c r="SL32" s="153"/>
      <c r="SM32" s="153"/>
      <c r="SN32" s="153"/>
      <c r="SO32" s="153"/>
      <c r="SP32" s="153"/>
      <c r="SQ32" s="153"/>
      <c r="SR32" s="153"/>
      <c r="SS32" s="153"/>
      <c r="ST32" s="153"/>
      <c r="SU32" s="153"/>
      <c r="SV32" s="153"/>
      <c r="SW32" s="153"/>
      <c r="SX32" s="153"/>
      <c r="SY32" s="153"/>
      <c r="SZ32" s="153"/>
      <c r="TA32" s="153"/>
      <c r="TB32" s="153"/>
      <c r="TC32" s="153"/>
      <c r="TD32" s="153"/>
      <c r="TE32" s="153"/>
      <c r="TF32" s="153"/>
      <c r="TG32" s="153"/>
      <c r="TH32" s="153"/>
      <c r="TI32" s="153"/>
      <c r="TJ32" s="153"/>
      <c r="TK32" s="153"/>
      <c r="TL32" s="153"/>
      <c r="TM32" s="153"/>
      <c r="TN32" s="153"/>
      <c r="TO32" s="153"/>
      <c r="TP32" s="153"/>
      <c r="TQ32" s="153"/>
      <c r="TR32" s="153"/>
      <c r="TS32" s="153"/>
      <c r="TT32" s="153"/>
      <c r="TU32" s="153"/>
      <c r="TV32" s="153"/>
      <c r="TW32" s="153"/>
      <c r="TX32" s="153"/>
      <c r="TY32" s="153"/>
      <c r="TZ32" s="153"/>
      <c r="UA32" s="153"/>
      <c r="UB32" s="153"/>
      <c r="UC32" s="153"/>
      <c r="UD32" s="153"/>
      <c r="UE32" s="153"/>
      <c r="UF32" s="153"/>
      <c r="UG32" s="153"/>
      <c r="UH32" s="153"/>
      <c r="UI32" s="153"/>
      <c r="UJ32" s="153"/>
      <c r="UK32" s="153"/>
      <c r="UL32" s="153"/>
      <c r="UM32" s="153"/>
      <c r="UN32" s="153"/>
      <c r="UO32" s="153"/>
      <c r="UP32" s="153"/>
      <c r="UQ32" s="153"/>
      <c r="UR32" s="153"/>
      <c r="US32" s="153"/>
      <c r="UT32" s="153"/>
      <c r="UU32" s="153"/>
      <c r="UV32" s="153"/>
      <c r="UW32" s="153"/>
      <c r="UX32" s="153"/>
      <c r="UY32" s="153"/>
      <c r="UZ32" s="153"/>
      <c r="VA32" s="153"/>
      <c r="VB32" s="153"/>
      <c r="VC32" s="153"/>
      <c r="VD32" s="153"/>
      <c r="VE32" s="153"/>
      <c r="VF32" s="153"/>
      <c r="VG32" s="153"/>
      <c r="VH32" s="153"/>
      <c r="VI32" s="153"/>
      <c r="VJ32" s="153"/>
      <c r="VK32" s="153"/>
      <c r="VL32" s="153"/>
      <c r="VM32" s="153"/>
      <c r="VN32" s="153"/>
      <c r="VO32" s="153"/>
      <c r="VP32" s="153"/>
      <c r="VQ32" s="153"/>
      <c r="VR32" s="153"/>
      <c r="VS32" s="153"/>
      <c r="VT32" s="153"/>
      <c r="VU32" s="153"/>
      <c r="VV32" s="153"/>
      <c r="VW32" s="153"/>
      <c r="VX32" s="153"/>
      <c r="VY32" s="153"/>
      <c r="VZ32" s="153"/>
      <c r="WA32" s="153"/>
      <c r="WB32" s="153"/>
      <c r="WC32" s="153"/>
      <c r="WD32" s="153"/>
      <c r="WE32" s="153"/>
      <c r="WF32" s="153"/>
      <c r="WG32" s="153"/>
      <c r="WH32" s="153"/>
      <c r="WI32" s="153"/>
      <c r="WJ32" s="153"/>
      <c r="WK32" s="153"/>
      <c r="WL32" s="153"/>
      <c r="WM32" s="153"/>
      <c r="WN32" s="153"/>
      <c r="WO32" s="153"/>
      <c r="WP32" s="153"/>
      <c r="WQ32" s="153"/>
      <c r="WR32" s="153"/>
      <c r="WS32" s="153"/>
      <c r="WT32" s="153"/>
      <c r="WU32" s="153"/>
      <c r="WV32" s="153"/>
      <c r="WW32" s="153"/>
      <c r="WX32" s="153"/>
      <c r="WY32" s="153"/>
      <c r="WZ32" s="153"/>
      <c r="XA32" s="153"/>
      <c r="XB32" s="153"/>
      <c r="XC32" s="153"/>
      <c r="XD32" s="153"/>
      <c r="XE32" s="153"/>
      <c r="XF32" s="153"/>
      <c r="XG32" s="153"/>
      <c r="XH32" s="153"/>
      <c r="XI32" s="153"/>
      <c r="XJ32" s="153"/>
      <c r="XK32" s="153"/>
      <c r="XL32" s="153"/>
      <c r="XM32" s="153"/>
      <c r="XN32" s="153"/>
      <c r="XO32" s="153"/>
      <c r="XP32" s="153"/>
      <c r="XQ32" s="153"/>
      <c r="XR32" s="153"/>
      <c r="XS32" s="153"/>
      <c r="XT32" s="153"/>
      <c r="XU32" s="153"/>
      <c r="XV32" s="153"/>
      <c r="XW32" s="153"/>
      <c r="XX32" s="153"/>
      <c r="XY32" s="153"/>
      <c r="XZ32" s="153"/>
      <c r="YA32" s="153"/>
      <c r="YB32" s="153"/>
      <c r="YC32" s="153"/>
      <c r="YD32" s="153"/>
      <c r="YE32" s="153"/>
      <c r="YF32" s="153"/>
      <c r="YG32" s="153"/>
      <c r="YH32" s="153"/>
      <c r="YI32" s="153"/>
      <c r="YJ32" s="153"/>
      <c r="YK32" s="153"/>
      <c r="YL32" s="153"/>
      <c r="YM32" s="153"/>
      <c r="YN32" s="153"/>
      <c r="YO32" s="153"/>
      <c r="YP32" s="153"/>
      <c r="YQ32" s="153"/>
      <c r="YR32" s="153"/>
      <c r="YS32" s="153"/>
      <c r="YT32" s="153"/>
      <c r="YU32" s="153"/>
      <c r="YV32" s="153"/>
      <c r="YW32" s="153"/>
      <c r="YX32" s="153"/>
      <c r="YY32" s="153"/>
      <c r="YZ32" s="153"/>
      <c r="ZA32" s="153"/>
      <c r="ZB32" s="153"/>
      <c r="ZC32" s="153"/>
      <c r="ZD32" s="153"/>
      <c r="ZE32" s="153"/>
      <c r="ZF32" s="153"/>
      <c r="ZG32" s="153"/>
      <c r="ZH32" s="153"/>
      <c r="ZI32" s="153"/>
      <c r="ZJ32" s="153"/>
      <c r="ZK32" s="153"/>
      <c r="ZL32" s="153"/>
      <c r="ZM32" s="153"/>
      <c r="ZN32" s="153"/>
      <c r="ZO32" s="153"/>
      <c r="ZP32" s="153"/>
      <c r="ZQ32" s="153"/>
      <c r="ZR32" s="153"/>
      <c r="ZS32" s="153"/>
      <c r="ZT32" s="153"/>
      <c r="ZU32" s="153"/>
      <c r="ZV32" s="153"/>
      <c r="ZW32" s="153"/>
      <c r="ZX32" s="153"/>
      <c r="ZY32" s="153"/>
      <c r="ZZ32" s="153"/>
      <c r="AAA32" s="153"/>
      <c r="AAB32" s="153"/>
      <c r="AAC32" s="153"/>
      <c r="AAD32" s="153"/>
      <c r="AAE32" s="153"/>
      <c r="AAF32" s="153"/>
      <c r="AAG32" s="153"/>
      <c r="AAH32" s="153"/>
      <c r="AAI32" s="153"/>
      <c r="AAJ32" s="153"/>
      <c r="AAK32" s="153"/>
      <c r="AAL32" s="153"/>
      <c r="AAM32" s="153"/>
      <c r="AAN32" s="153"/>
      <c r="AAO32" s="153"/>
      <c r="AAP32" s="153"/>
      <c r="AAQ32" s="153"/>
      <c r="AAR32" s="153"/>
      <c r="AAS32" s="153"/>
      <c r="AAT32" s="153"/>
      <c r="AAU32" s="153"/>
      <c r="AAV32" s="153"/>
      <c r="AAW32" s="153"/>
      <c r="AAX32" s="153"/>
      <c r="AAY32" s="153"/>
      <c r="AAZ32" s="153"/>
      <c r="ABA32" s="153"/>
      <c r="ABB32" s="153"/>
      <c r="ABC32" s="153"/>
      <c r="ABD32" s="153"/>
      <c r="ABE32" s="153"/>
      <c r="ABF32" s="153"/>
      <c r="ABG32" s="153"/>
      <c r="ABH32" s="153"/>
      <c r="ABI32" s="153"/>
      <c r="ABJ32" s="153"/>
      <c r="ABK32" s="153"/>
      <c r="ABL32" s="153"/>
      <c r="ABM32" s="153"/>
      <c r="ABN32" s="153"/>
      <c r="ABO32" s="153"/>
      <c r="ABP32" s="153"/>
      <c r="ABQ32" s="153"/>
      <c r="ABR32" s="153"/>
      <c r="ABS32" s="153"/>
      <c r="ABT32" s="153"/>
      <c r="ABU32" s="153"/>
      <c r="ABV32" s="153"/>
      <c r="ABW32" s="153"/>
      <c r="ABX32" s="153"/>
      <c r="ABY32" s="153"/>
      <c r="ABZ32" s="153"/>
      <c r="ACA32" s="153"/>
      <c r="ACB32" s="153"/>
      <c r="ACC32" s="153"/>
      <c r="ACD32" s="153"/>
      <c r="ACE32" s="153"/>
      <c r="ACF32" s="153"/>
      <c r="ACG32" s="153"/>
      <c r="ACH32" s="153"/>
      <c r="ACI32" s="153"/>
      <c r="ACJ32" s="153"/>
      <c r="ACK32" s="153"/>
      <c r="ACL32" s="153"/>
      <c r="ACM32" s="153"/>
      <c r="ACN32" s="153"/>
      <c r="ACO32" s="153"/>
      <c r="ACP32" s="153"/>
      <c r="ACQ32" s="153"/>
      <c r="ACR32" s="153"/>
      <c r="ACS32" s="153"/>
      <c r="ACT32" s="153"/>
      <c r="ACU32" s="153"/>
      <c r="ACV32" s="153"/>
      <c r="ACW32" s="153"/>
      <c r="ACX32" s="153"/>
      <c r="ACY32" s="153"/>
      <c r="ACZ32" s="153"/>
      <c r="ADA32" s="153"/>
      <c r="ADB32" s="153"/>
      <c r="ADC32" s="153"/>
      <c r="ADD32" s="153"/>
      <c r="ADE32" s="153"/>
      <c r="ADF32" s="153"/>
      <c r="ADG32" s="153"/>
      <c r="ADH32" s="153"/>
      <c r="ADI32" s="153"/>
      <c r="ADJ32" s="153"/>
      <c r="ADK32" s="153"/>
      <c r="ADL32" s="153"/>
      <c r="ADM32" s="153"/>
      <c r="ADN32" s="153"/>
      <c r="ADO32" s="153"/>
      <c r="ADP32" s="153"/>
      <c r="ADQ32" s="153"/>
      <c r="ADR32" s="153"/>
      <c r="ADS32" s="153"/>
      <c r="ADT32" s="153"/>
      <c r="ADU32" s="153"/>
      <c r="ADV32" s="153"/>
      <c r="ADW32" s="153"/>
      <c r="ADX32" s="153"/>
      <c r="ADY32" s="153"/>
      <c r="ADZ32" s="153"/>
      <c r="AEA32" s="153"/>
      <c r="AEB32" s="153"/>
      <c r="AEC32" s="153"/>
      <c r="AED32" s="153"/>
      <c r="AEE32" s="153"/>
      <c r="AEF32" s="153"/>
      <c r="AEG32" s="153"/>
      <c r="AEH32" s="153"/>
      <c r="AEI32" s="153"/>
      <c r="AEJ32" s="153"/>
      <c r="AEK32" s="153"/>
      <c r="AEL32" s="153"/>
      <c r="AEM32" s="153"/>
      <c r="AEN32" s="153"/>
      <c r="AEO32" s="153"/>
      <c r="AEP32" s="153"/>
      <c r="AEQ32" s="153"/>
      <c r="AER32" s="153"/>
      <c r="AES32" s="153"/>
      <c r="AET32" s="153"/>
      <c r="AEU32" s="153"/>
      <c r="AEV32" s="153"/>
      <c r="AEW32" s="153"/>
      <c r="AEX32" s="153"/>
      <c r="AEY32" s="153"/>
      <c r="AEZ32" s="153"/>
      <c r="AFA32" s="153"/>
      <c r="AFB32" s="153"/>
      <c r="AFC32" s="153"/>
      <c r="AFD32" s="153"/>
      <c r="AFE32" s="153"/>
      <c r="AFF32" s="153"/>
      <c r="AFG32" s="153"/>
      <c r="AFH32" s="153"/>
      <c r="AFI32" s="153"/>
      <c r="AFJ32" s="153"/>
      <c r="AFK32" s="153"/>
      <c r="AFL32" s="153"/>
      <c r="AFM32" s="153"/>
      <c r="AFN32" s="153"/>
      <c r="AFO32" s="153"/>
      <c r="AFP32" s="153"/>
      <c r="AFQ32" s="153"/>
      <c r="AFR32" s="153"/>
      <c r="AFS32" s="153"/>
      <c r="AFT32" s="153"/>
      <c r="AFU32" s="153"/>
      <c r="AFV32" s="153"/>
      <c r="AFW32" s="153"/>
      <c r="AFX32" s="153"/>
      <c r="AFY32" s="153"/>
      <c r="AFZ32" s="153"/>
      <c r="AGA32" s="153"/>
      <c r="AGB32" s="153"/>
      <c r="AGC32" s="153"/>
      <c r="AGD32" s="153"/>
      <c r="AGE32" s="153"/>
      <c r="AGF32" s="153"/>
      <c r="AGG32" s="153"/>
      <c r="AGH32" s="153"/>
      <c r="AGI32" s="153"/>
      <c r="AGJ32" s="153"/>
      <c r="AGK32" s="153"/>
      <c r="AGL32" s="153"/>
      <c r="AGM32" s="153"/>
      <c r="AGN32" s="153"/>
      <c r="AGO32" s="153"/>
      <c r="AGP32" s="153"/>
      <c r="AGQ32" s="153"/>
      <c r="AGR32" s="153"/>
      <c r="AGS32" s="153"/>
      <c r="AGT32" s="153"/>
      <c r="AGU32" s="153"/>
      <c r="AGV32" s="153"/>
      <c r="AGW32" s="153"/>
      <c r="AGX32" s="153"/>
      <c r="AGY32" s="153"/>
      <c r="AGZ32" s="153"/>
      <c r="AHA32" s="153"/>
      <c r="AHB32" s="153"/>
      <c r="AHC32" s="153"/>
      <c r="AHD32" s="153"/>
      <c r="AHE32" s="153"/>
      <c r="AHF32" s="153"/>
      <c r="AHG32" s="153"/>
      <c r="AHH32" s="153"/>
      <c r="AHI32" s="153"/>
      <c r="AHJ32" s="153"/>
      <c r="AHK32" s="153"/>
      <c r="AHL32" s="153"/>
      <c r="AHM32" s="153"/>
      <c r="AHN32" s="153"/>
      <c r="AHO32" s="153"/>
      <c r="AHP32" s="153"/>
      <c r="AHQ32" s="153"/>
      <c r="AHR32" s="153"/>
      <c r="AHS32" s="153"/>
      <c r="AHT32" s="153"/>
      <c r="AHU32" s="153"/>
      <c r="AHV32" s="153"/>
      <c r="AHW32" s="153"/>
      <c r="AHX32" s="153"/>
      <c r="AHY32" s="153"/>
      <c r="AHZ32" s="153"/>
      <c r="AIA32" s="153"/>
      <c r="AIB32" s="153"/>
      <c r="AIC32" s="153"/>
      <c r="AID32" s="153"/>
      <c r="AIE32" s="153"/>
      <c r="AIF32" s="153"/>
      <c r="AIG32" s="153"/>
      <c r="AIH32" s="153"/>
      <c r="AII32" s="153"/>
      <c r="AIJ32" s="153"/>
      <c r="AIK32" s="153"/>
      <c r="AIL32" s="153"/>
      <c r="AIM32" s="153"/>
      <c r="AIN32" s="153"/>
      <c r="AIO32" s="153"/>
      <c r="AIP32" s="153"/>
      <c r="AIQ32" s="153"/>
      <c r="AIR32" s="153"/>
      <c r="AIS32" s="153"/>
      <c r="AIT32" s="153"/>
      <c r="AIU32" s="153"/>
      <c r="AIV32" s="153"/>
      <c r="AIW32" s="153"/>
      <c r="AIX32" s="153"/>
      <c r="AIY32" s="153"/>
      <c r="AIZ32" s="153"/>
      <c r="AJA32" s="153"/>
      <c r="AJB32" s="153"/>
      <c r="AJC32" s="153"/>
      <c r="AJD32" s="153"/>
      <c r="AJE32" s="153"/>
      <c r="AJF32" s="153"/>
      <c r="AJG32" s="153"/>
      <c r="AJH32" s="153"/>
      <c r="AJI32" s="153"/>
      <c r="AJJ32" s="153"/>
      <c r="AJK32" s="153"/>
      <c r="AJL32" s="153"/>
      <c r="AJM32" s="153"/>
      <c r="AJN32" s="153"/>
      <c r="AJO32" s="153"/>
      <c r="AJP32" s="153"/>
      <c r="AJQ32" s="153"/>
      <c r="AJR32" s="153"/>
      <c r="AJS32" s="153"/>
      <c r="AJT32" s="153"/>
      <c r="AJU32" s="153"/>
      <c r="AJV32" s="153"/>
      <c r="AJW32" s="153"/>
      <c r="AJX32" s="153"/>
      <c r="AJY32" s="153"/>
      <c r="AJZ32" s="153"/>
      <c r="AKA32" s="153"/>
      <c r="AKB32" s="153"/>
      <c r="AKC32" s="153"/>
      <c r="AKD32" s="153"/>
      <c r="AKE32" s="153"/>
      <c r="AKF32" s="153"/>
      <c r="AKG32" s="153"/>
      <c r="AKH32" s="153"/>
      <c r="AKI32" s="153"/>
      <c r="AKJ32" s="153"/>
      <c r="AKK32" s="153"/>
      <c r="AKL32" s="153"/>
      <c r="AKM32" s="153"/>
      <c r="AKN32" s="153"/>
      <c r="AKO32" s="153"/>
      <c r="AKP32" s="153"/>
      <c r="AKQ32" s="153"/>
      <c r="AKR32" s="153"/>
      <c r="AKS32" s="153"/>
      <c r="AKT32" s="153"/>
      <c r="AKU32" s="153"/>
      <c r="AKV32" s="153"/>
      <c r="AKW32" s="153"/>
      <c r="AKX32" s="153"/>
      <c r="AKY32" s="153"/>
      <c r="AKZ32" s="153"/>
      <c r="ALA32" s="153"/>
      <c r="ALB32" s="153"/>
      <c r="ALC32" s="153"/>
      <c r="ALD32" s="153"/>
      <c r="ALE32" s="153"/>
      <c r="ALF32" s="153"/>
      <c r="ALG32" s="153"/>
      <c r="ALH32" s="153"/>
      <c r="ALI32" s="153"/>
      <c r="ALJ32" s="153"/>
      <c r="ALK32" s="153"/>
      <c r="ALL32" s="153"/>
      <c r="ALM32" s="153"/>
      <c r="ALN32" s="153"/>
      <c r="ALO32" s="153"/>
      <c r="ALP32" s="153"/>
      <c r="ALQ32" s="153"/>
      <c r="ALR32" s="153"/>
      <c r="ALS32" s="153"/>
      <c r="ALT32" s="153"/>
      <c r="ALU32" s="153"/>
      <c r="ALV32" s="153"/>
      <c r="ALW32" s="153"/>
      <c r="ALX32" s="153"/>
      <c r="ALY32" s="153"/>
      <c r="ALZ32" s="153"/>
      <c r="AMA32" s="153"/>
      <c r="AMB32" s="153"/>
      <c r="AMC32" s="153"/>
      <c r="AMD32" s="153"/>
      <c r="AME32" s="153"/>
      <c r="AMF32" s="153"/>
      <c r="AMG32" s="153"/>
      <c r="AMH32" s="153"/>
      <c r="AMI32" s="153"/>
      <c r="AMJ32" s="153"/>
      <c r="AMK32" s="153"/>
    </row>
    <row r="33" spans="1:1025" s="417" customFormat="1" ht="11.25" x14ac:dyDescent="0.2">
      <c r="A33" s="391" t="s">
        <v>867</v>
      </c>
      <c r="B33" s="388">
        <f>1065.97</f>
        <v>1065.97</v>
      </c>
      <c r="C33" s="388">
        <f>58364.08</f>
        <v>58364.08</v>
      </c>
      <c r="D33" s="388">
        <f>4778.16</f>
        <v>4778.16</v>
      </c>
      <c r="E33" s="388">
        <f>SUM(B33:D33)</f>
        <v>64208.210000000006</v>
      </c>
      <c r="F33" s="389"/>
      <c r="G33" s="366"/>
      <c r="H33" s="391" t="s">
        <v>845</v>
      </c>
      <c r="I33" s="388"/>
      <c r="J33" s="406"/>
      <c r="K33" s="137"/>
      <c r="L33" s="405">
        <f>SUM(I33:K33)</f>
        <v>0</v>
      </c>
      <c r="M33" s="153"/>
      <c r="N33" s="426"/>
      <c r="O33" s="153"/>
      <c r="P33" s="336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3"/>
      <c r="HL33" s="153"/>
      <c r="HM33" s="153"/>
      <c r="HN33" s="153"/>
      <c r="HO33" s="153"/>
      <c r="HP33" s="153"/>
      <c r="HQ33" s="153"/>
      <c r="HR33" s="153"/>
      <c r="HS33" s="153"/>
      <c r="HT33" s="153"/>
      <c r="HU33" s="153"/>
      <c r="HV33" s="153"/>
      <c r="HW33" s="153"/>
      <c r="HX33" s="153"/>
      <c r="HY33" s="153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53"/>
      <c r="IM33" s="153"/>
      <c r="IN33" s="153"/>
      <c r="IO33" s="153"/>
      <c r="IP33" s="153"/>
      <c r="IQ33" s="153"/>
      <c r="IR33" s="153"/>
      <c r="IS33" s="153"/>
      <c r="IT33" s="153"/>
      <c r="IU33" s="153"/>
      <c r="IV33" s="153"/>
      <c r="IW33" s="153"/>
      <c r="IX33" s="153"/>
      <c r="IY33" s="153"/>
      <c r="IZ33" s="153"/>
      <c r="JA33" s="153"/>
      <c r="JB33" s="153"/>
      <c r="JC33" s="153"/>
      <c r="JD33" s="153"/>
      <c r="JE33" s="153"/>
      <c r="JF33" s="153"/>
      <c r="JG33" s="153"/>
      <c r="JH33" s="153"/>
      <c r="JI33" s="153"/>
      <c r="JJ33" s="153"/>
      <c r="JK33" s="153"/>
      <c r="JL33" s="153"/>
      <c r="JM33" s="153"/>
      <c r="JN33" s="153"/>
      <c r="JO33" s="153"/>
      <c r="JP33" s="153"/>
      <c r="JQ33" s="153"/>
      <c r="JR33" s="153"/>
      <c r="JS33" s="153"/>
      <c r="JT33" s="153"/>
      <c r="JU33" s="153"/>
      <c r="JV33" s="153"/>
      <c r="JW33" s="153"/>
      <c r="JX33" s="153"/>
      <c r="JY33" s="153"/>
      <c r="JZ33" s="153"/>
      <c r="KA33" s="153"/>
      <c r="KB33" s="153"/>
      <c r="KC33" s="153"/>
      <c r="KD33" s="153"/>
      <c r="KE33" s="153"/>
      <c r="KF33" s="153"/>
      <c r="KG33" s="153"/>
      <c r="KH33" s="153"/>
      <c r="KI33" s="153"/>
      <c r="KJ33" s="153"/>
      <c r="KK33" s="153"/>
      <c r="KL33" s="153"/>
      <c r="KM33" s="153"/>
      <c r="KN33" s="153"/>
      <c r="KO33" s="153"/>
      <c r="KP33" s="153"/>
      <c r="KQ33" s="153"/>
      <c r="KR33" s="153"/>
      <c r="KS33" s="153"/>
      <c r="KT33" s="153"/>
      <c r="KU33" s="153"/>
      <c r="KV33" s="153"/>
      <c r="KW33" s="153"/>
      <c r="KX33" s="153"/>
      <c r="KY33" s="153"/>
      <c r="KZ33" s="153"/>
      <c r="LA33" s="153"/>
      <c r="LB33" s="153"/>
      <c r="LC33" s="153"/>
      <c r="LD33" s="153"/>
      <c r="LE33" s="153"/>
      <c r="LF33" s="153"/>
      <c r="LG33" s="153"/>
      <c r="LH33" s="153"/>
      <c r="LI33" s="153"/>
      <c r="LJ33" s="153"/>
      <c r="LK33" s="153"/>
      <c r="LL33" s="153"/>
      <c r="LM33" s="153"/>
      <c r="LN33" s="153"/>
      <c r="LO33" s="153"/>
      <c r="LP33" s="153"/>
      <c r="LQ33" s="153"/>
      <c r="LR33" s="153"/>
      <c r="LS33" s="153"/>
      <c r="LT33" s="153"/>
      <c r="LU33" s="153"/>
      <c r="LV33" s="153"/>
      <c r="LW33" s="153"/>
      <c r="LX33" s="153"/>
      <c r="LY33" s="153"/>
      <c r="LZ33" s="153"/>
      <c r="MA33" s="153"/>
      <c r="MB33" s="153"/>
      <c r="MC33" s="153"/>
      <c r="MD33" s="153"/>
      <c r="ME33" s="153"/>
      <c r="MF33" s="153"/>
      <c r="MG33" s="153"/>
      <c r="MH33" s="153"/>
      <c r="MI33" s="153"/>
      <c r="MJ33" s="153"/>
      <c r="MK33" s="153"/>
      <c r="ML33" s="153"/>
      <c r="MM33" s="153"/>
      <c r="MN33" s="153"/>
      <c r="MO33" s="153"/>
      <c r="MP33" s="153"/>
      <c r="MQ33" s="153"/>
      <c r="MR33" s="153"/>
      <c r="MS33" s="153"/>
      <c r="MT33" s="153"/>
      <c r="MU33" s="153"/>
      <c r="MV33" s="153"/>
      <c r="MW33" s="153"/>
      <c r="MX33" s="153"/>
      <c r="MY33" s="153"/>
      <c r="MZ33" s="153"/>
      <c r="NA33" s="153"/>
      <c r="NB33" s="153"/>
      <c r="NC33" s="153"/>
      <c r="ND33" s="153"/>
      <c r="NE33" s="153"/>
      <c r="NF33" s="153"/>
      <c r="NG33" s="153"/>
      <c r="NH33" s="153"/>
      <c r="NI33" s="153"/>
      <c r="NJ33" s="153"/>
      <c r="NK33" s="153"/>
      <c r="NL33" s="153"/>
      <c r="NM33" s="153"/>
      <c r="NN33" s="153"/>
      <c r="NO33" s="153"/>
      <c r="NP33" s="153"/>
      <c r="NQ33" s="153"/>
      <c r="NR33" s="153"/>
      <c r="NS33" s="153"/>
      <c r="NT33" s="153"/>
      <c r="NU33" s="153"/>
      <c r="NV33" s="153"/>
      <c r="NW33" s="153"/>
      <c r="NX33" s="153"/>
      <c r="NY33" s="153"/>
      <c r="NZ33" s="153"/>
      <c r="OA33" s="153"/>
      <c r="OB33" s="153"/>
      <c r="OC33" s="153"/>
      <c r="OD33" s="153"/>
      <c r="OE33" s="153"/>
      <c r="OF33" s="153"/>
      <c r="OG33" s="153"/>
      <c r="OH33" s="153"/>
      <c r="OI33" s="153"/>
      <c r="OJ33" s="153"/>
      <c r="OK33" s="153"/>
      <c r="OL33" s="153"/>
      <c r="OM33" s="153"/>
      <c r="ON33" s="153"/>
      <c r="OO33" s="153"/>
      <c r="OP33" s="153"/>
      <c r="OQ33" s="153"/>
      <c r="OR33" s="153"/>
      <c r="OS33" s="153"/>
      <c r="OT33" s="153"/>
      <c r="OU33" s="153"/>
      <c r="OV33" s="153"/>
      <c r="OW33" s="153"/>
      <c r="OX33" s="153"/>
      <c r="OY33" s="153"/>
      <c r="OZ33" s="153"/>
      <c r="PA33" s="153"/>
      <c r="PB33" s="153"/>
      <c r="PC33" s="153"/>
      <c r="PD33" s="153"/>
      <c r="PE33" s="153"/>
      <c r="PF33" s="153"/>
      <c r="PG33" s="153"/>
      <c r="PH33" s="153"/>
      <c r="PI33" s="153"/>
      <c r="PJ33" s="153"/>
      <c r="PK33" s="153"/>
      <c r="PL33" s="153"/>
      <c r="PM33" s="153"/>
      <c r="PN33" s="153"/>
      <c r="PO33" s="153"/>
      <c r="PP33" s="153"/>
      <c r="PQ33" s="153"/>
      <c r="PR33" s="153"/>
      <c r="PS33" s="153"/>
      <c r="PT33" s="153"/>
      <c r="PU33" s="153"/>
      <c r="PV33" s="153"/>
      <c r="PW33" s="153"/>
      <c r="PX33" s="153"/>
      <c r="PY33" s="153"/>
      <c r="PZ33" s="153"/>
      <c r="QA33" s="153"/>
      <c r="QB33" s="153"/>
      <c r="QC33" s="153"/>
      <c r="QD33" s="153"/>
      <c r="QE33" s="153"/>
      <c r="QF33" s="153"/>
      <c r="QG33" s="153"/>
      <c r="QH33" s="153"/>
      <c r="QI33" s="153"/>
      <c r="QJ33" s="153"/>
      <c r="QK33" s="153"/>
      <c r="QL33" s="153"/>
      <c r="QM33" s="153"/>
      <c r="QN33" s="153"/>
      <c r="QO33" s="153"/>
      <c r="QP33" s="153"/>
      <c r="QQ33" s="153"/>
      <c r="QR33" s="153"/>
      <c r="QS33" s="153"/>
      <c r="QT33" s="153"/>
      <c r="QU33" s="153"/>
      <c r="QV33" s="153"/>
      <c r="QW33" s="153"/>
      <c r="QX33" s="153"/>
      <c r="QY33" s="153"/>
      <c r="QZ33" s="153"/>
      <c r="RA33" s="153"/>
      <c r="RB33" s="153"/>
      <c r="RC33" s="153"/>
      <c r="RD33" s="153"/>
      <c r="RE33" s="153"/>
      <c r="RF33" s="153"/>
      <c r="RG33" s="153"/>
      <c r="RH33" s="153"/>
      <c r="RI33" s="153"/>
      <c r="RJ33" s="153"/>
      <c r="RK33" s="153"/>
      <c r="RL33" s="153"/>
      <c r="RM33" s="153"/>
      <c r="RN33" s="153"/>
      <c r="RO33" s="153"/>
      <c r="RP33" s="153"/>
      <c r="RQ33" s="153"/>
      <c r="RR33" s="153"/>
      <c r="RS33" s="153"/>
      <c r="RT33" s="153"/>
      <c r="RU33" s="153"/>
      <c r="RV33" s="153"/>
      <c r="RW33" s="153"/>
      <c r="RX33" s="153"/>
      <c r="RY33" s="153"/>
      <c r="RZ33" s="153"/>
      <c r="SA33" s="153"/>
      <c r="SB33" s="153"/>
      <c r="SC33" s="153"/>
      <c r="SD33" s="153"/>
      <c r="SE33" s="153"/>
      <c r="SF33" s="153"/>
      <c r="SG33" s="153"/>
      <c r="SH33" s="153"/>
      <c r="SI33" s="153"/>
      <c r="SJ33" s="153"/>
      <c r="SK33" s="153"/>
      <c r="SL33" s="153"/>
      <c r="SM33" s="153"/>
      <c r="SN33" s="153"/>
      <c r="SO33" s="153"/>
      <c r="SP33" s="153"/>
      <c r="SQ33" s="153"/>
      <c r="SR33" s="153"/>
      <c r="SS33" s="153"/>
      <c r="ST33" s="153"/>
      <c r="SU33" s="153"/>
      <c r="SV33" s="153"/>
      <c r="SW33" s="153"/>
      <c r="SX33" s="153"/>
      <c r="SY33" s="153"/>
      <c r="SZ33" s="153"/>
      <c r="TA33" s="153"/>
      <c r="TB33" s="153"/>
      <c r="TC33" s="153"/>
      <c r="TD33" s="153"/>
      <c r="TE33" s="153"/>
      <c r="TF33" s="153"/>
      <c r="TG33" s="153"/>
      <c r="TH33" s="153"/>
      <c r="TI33" s="153"/>
      <c r="TJ33" s="153"/>
      <c r="TK33" s="153"/>
      <c r="TL33" s="153"/>
      <c r="TM33" s="153"/>
      <c r="TN33" s="153"/>
      <c r="TO33" s="153"/>
      <c r="TP33" s="153"/>
      <c r="TQ33" s="153"/>
      <c r="TR33" s="153"/>
      <c r="TS33" s="153"/>
      <c r="TT33" s="153"/>
      <c r="TU33" s="153"/>
      <c r="TV33" s="153"/>
      <c r="TW33" s="153"/>
      <c r="TX33" s="153"/>
      <c r="TY33" s="153"/>
      <c r="TZ33" s="153"/>
      <c r="UA33" s="153"/>
      <c r="UB33" s="153"/>
      <c r="UC33" s="153"/>
      <c r="UD33" s="153"/>
      <c r="UE33" s="153"/>
      <c r="UF33" s="153"/>
      <c r="UG33" s="153"/>
      <c r="UH33" s="153"/>
      <c r="UI33" s="153"/>
      <c r="UJ33" s="153"/>
      <c r="UK33" s="153"/>
      <c r="UL33" s="153"/>
      <c r="UM33" s="153"/>
      <c r="UN33" s="153"/>
      <c r="UO33" s="153"/>
      <c r="UP33" s="153"/>
      <c r="UQ33" s="153"/>
      <c r="UR33" s="153"/>
      <c r="US33" s="153"/>
      <c r="UT33" s="153"/>
      <c r="UU33" s="153"/>
      <c r="UV33" s="153"/>
      <c r="UW33" s="153"/>
      <c r="UX33" s="153"/>
      <c r="UY33" s="153"/>
      <c r="UZ33" s="153"/>
      <c r="VA33" s="153"/>
      <c r="VB33" s="153"/>
      <c r="VC33" s="153"/>
      <c r="VD33" s="153"/>
      <c r="VE33" s="153"/>
      <c r="VF33" s="153"/>
      <c r="VG33" s="153"/>
      <c r="VH33" s="153"/>
      <c r="VI33" s="153"/>
      <c r="VJ33" s="153"/>
      <c r="VK33" s="153"/>
      <c r="VL33" s="153"/>
      <c r="VM33" s="153"/>
      <c r="VN33" s="153"/>
      <c r="VO33" s="153"/>
      <c r="VP33" s="153"/>
      <c r="VQ33" s="153"/>
      <c r="VR33" s="153"/>
      <c r="VS33" s="153"/>
      <c r="VT33" s="153"/>
      <c r="VU33" s="153"/>
      <c r="VV33" s="153"/>
      <c r="VW33" s="153"/>
      <c r="VX33" s="153"/>
      <c r="VY33" s="153"/>
      <c r="VZ33" s="153"/>
      <c r="WA33" s="153"/>
      <c r="WB33" s="153"/>
      <c r="WC33" s="153"/>
      <c r="WD33" s="153"/>
      <c r="WE33" s="153"/>
      <c r="WF33" s="153"/>
      <c r="WG33" s="153"/>
      <c r="WH33" s="153"/>
      <c r="WI33" s="153"/>
      <c r="WJ33" s="153"/>
      <c r="WK33" s="153"/>
      <c r="WL33" s="153"/>
      <c r="WM33" s="153"/>
      <c r="WN33" s="153"/>
      <c r="WO33" s="153"/>
      <c r="WP33" s="153"/>
      <c r="WQ33" s="153"/>
      <c r="WR33" s="153"/>
      <c r="WS33" s="153"/>
      <c r="WT33" s="153"/>
      <c r="WU33" s="153"/>
      <c r="WV33" s="153"/>
      <c r="WW33" s="153"/>
      <c r="WX33" s="153"/>
      <c r="WY33" s="153"/>
      <c r="WZ33" s="153"/>
      <c r="XA33" s="153"/>
      <c r="XB33" s="153"/>
      <c r="XC33" s="153"/>
      <c r="XD33" s="153"/>
      <c r="XE33" s="153"/>
      <c r="XF33" s="153"/>
      <c r="XG33" s="153"/>
      <c r="XH33" s="153"/>
      <c r="XI33" s="153"/>
      <c r="XJ33" s="153"/>
      <c r="XK33" s="153"/>
      <c r="XL33" s="153"/>
      <c r="XM33" s="153"/>
      <c r="XN33" s="153"/>
      <c r="XO33" s="153"/>
      <c r="XP33" s="153"/>
      <c r="XQ33" s="153"/>
      <c r="XR33" s="153"/>
      <c r="XS33" s="153"/>
      <c r="XT33" s="153"/>
      <c r="XU33" s="153"/>
      <c r="XV33" s="153"/>
      <c r="XW33" s="153"/>
      <c r="XX33" s="153"/>
      <c r="XY33" s="153"/>
      <c r="XZ33" s="153"/>
      <c r="YA33" s="153"/>
      <c r="YB33" s="153"/>
      <c r="YC33" s="153"/>
      <c r="YD33" s="153"/>
      <c r="YE33" s="153"/>
      <c r="YF33" s="153"/>
      <c r="YG33" s="153"/>
      <c r="YH33" s="153"/>
      <c r="YI33" s="153"/>
      <c r="YJ33" s="153"/>
      <c r="YK33" s="153"/>
      <c r="YL33" s="153"/>
      <c r="YM33" s="153"/>
      <c r="YN33" s="153"/>
      <c r="YO33" s="153"/>
      <c r="YP33" s="153"/>
      <c r="YQ33" s="153"/>
      <c r="YR33" s="153"/>
      <c r="YS33" s="153"/>
      <c r="YT33" s="153"/>
      <c r="YU33" s="153"/>
      <c r="YV33" s="153"/>
      <c r="YW33" s="153"/>
      <c r="YX33" s="153"/>
      <c r="YY33" s="153"/>
      <c r="YZ33" s="153"/>
      <c r="ZA33" s="153"/>
      <c r="ZB33" s="153"/>
      <c r="ZC33" s="153"/>
      <c r="ZD33" s="153"/>
      <c r="ZE33" s="153"/>
      <c r="ZF33" s="153"/>
      <c r="ZG33" s="153"/>
      <c r="ZH33" s="153"/>
      <c r="ZI33" s="153"/>
      <c r="ZJ33" s="153"/>
      <c r="ZK33" s="153"/>
      <c r="ZL33" s="153"/>
      <c r="ZM33" s="153"/>
      <c r="ZN33" s="153"/>
      <c r="ZO33" s="153"/>
      <c r="ZP33" s="153"/>
      <c r="ZQ33" s="153"/>
      <c r="ZR33" s="153"/>
      <c r="ZS33" s="153"/>
      <c r="ZT33" s="153"/>
      <c r="ZU33" s="153"/>
      <c r="ZV33" s="153"/>
      <c r="ZW33" s="153"/>
      <c r="ZX33" s="153"/>
      <c r="ZY33" s="153"/>
      <c r="ZZ33" s="153"/>
      <c r="AAA33" s="153"/>
      <c r="AAB33" s="153"/>
      <c r="AAC33" s="153"/>
      <c r="AAD33" s="153"/>
      <c r="AAE33" s="153"/>
      <c r="AAF33" s="153"/>
      <c r="AAG33" s="153"/>
      <c r="AAH33" s="153"/>
      <c r="AAI33" s="153"/>
      <c r="AAJ33" s="153"/>
      <c r="AAK33" s="153"/>
      <c r="AAL33" s="153"/>
      <c r="AAM33" s="153"/>
      <c r="AAN33" s="153"/>
      <c r="AAO33" s="153"/>
      <c r="AAP33" s="153"/>
      <c r="AAQ33" s="153"/>
      <c r="AAR33" s="153"/>
      <c r="AAS33" s="153"/>
      <c r="AAT33" s="153"/>
      <c r="AAU33" s="153"/>
      <c r="AAV33" s="153"/>
      <c r="AAW33" s="153"/>
      <c r="AAX33" s="153"/>
      <c r="AAY33" s="153"/>
      <c r="AAZ33" s="153"/>
      <c r="ABA33" s="153"/>
      <c r="ABB33" s="153"/>
      <c r="ABC33" s="153"/>
      <c r="ABD33" s="153"/>
      <c r="ABE33" s="153"/>
      <c r="ABF33" s="153"/>
      <c r="ABG33" s="153"/>
      <c r="ABH33" s="153"/>
      <c r="ABI33" s="153"/>
      <c r="ABJ33" s="153"/>
      <c r="ABK33" s="153"/>
      <c r="ABL33" s="153"/>
      <c r="ABM33" s="153"/>
      <c r="ABN33" s="153"/>
      <c r="ABO33" s="153"/>
      <c r="ABP33" s="153"/>
      <c r="ABQ33" s="153"/>
      <c r="ABR33" s="153"/>
      <c r="ABS33" s="153"/>
      <c r="ABT33" s="153"/>
      <c r="ABU33" s="153"/>
      <c r="ABV33" s="153"/>
      <c r="ABW33" s="153"/>
      <c r="ABX33" s="153"/>
      <c r="ABY33" s="153"/>
      <c r="ABZ33" s="153"/>
      <c r="ACA33" s="153"/>
      <c r="ACB33" s="153"/>
      <c r="ACC33" s="153"/>
      <c r="ACD33" s="153"/>
      <c r="ACE33" s="153"/>
      <c r="ACF33" s="153"/>
      <c r="ACG33" s="153"/>
      <c r="ACH33" s="153"/>
      <c r="ACI33" s="153"/>
      <c r="ACJ33" s="153"/>
      <c r="ACK33" s="153"/>
      <c r="ACL33" s="153"/>
      <c r="ACM33" s="153"/>
      <c r="ACN33" s="153"/>
      <c r="ACO33" s="153"/>
      <c r="ACP33" s="153"/>
      <c r="ACQ33" s="153"/>
      <c r="ACR33" s="153"/>
      <c r="ACS33" s="153"/>
      <c r="ACT33" s="153"/>
      <c r="ACU33" s="153"/>
      <c r="ACV33" s="153"/>
      <c r="ACW33" s="153"/>
      <c r="ACX33" s="153"/>
      <c r="ACY33" s="153"/>
      <c r="ACZ33" s="153"/>
      <c r="ADA33" s="153"/>
      <c r="ADB33" s="153"/>
      <c r="ADC33" s="153"/>
      <c r="ADD33" s="153"/>
      <c r="ADE33" s="153"/>
      <c r="ADF33" s="153"/>
      <c r="ADG33" s="153"/>
      <c r="ADH33" s="153"/>
      <c r="ADI33" s="153"/>
      <c r="ADJ33" s="153"/>
      <c r="ADK33" s="153"/>
      <c r="ADL33" s="153"/>
      <c r="ADM33" s="153"/>
      <c r="ADN33" s="153"/>
      <c r="ADO33" s="153"/>
      <c r="ADP33" s="153"/>
      <c r="ADQ33" s="153"/>
      <c r="ADR33" s="153"/>
      <c r="ADS33" s="153"/>
      <c r="ADT33" s="153"/>
      <c r="ADU33" s="153"/>
      <c r="ADV33" s="153"/>
      <c r="ADW33" s="153"/>
      <c r="ADX33" s="153"/>
      <c r="ADY33" s="153"/>
      <c r="ADZ33" s="153"/>
      <c r="AEA33" s="153"/>
      <c r="AEB33" s="153"/>
      <c r="AEC33" s="153"/>
      <c r="AED33" s="153"/>
      <c r="AEE33" s="153"/>
      <c r="AEF33" s="153"/>
      <c r="AEG33" s="153"/>
      <c r="AEH33" s="153"/>
      <c r="AEI33" s="153"/>
      <c r="AEJ33" s="153"/>
      <c r="AEK33" s="153"/>
      <c r="AEL33" s="153"/>
      <c r="AEM33" s="153"/>
      <c r="AEN33" s="153"/>
      <c r="AEO33" s="153"/>
      <c r="AEP33" s="153"/>
      <c r="AEQ33" s="153"/>
      <c r="AER33" s="153"/>
      <c r="AES33" s="153"/>
      <c r="AET33" s="153"/>
      <c r="AEU33" s="153"/>
      <c r="AEV33" s="153"/>
      <c r="AEW33" s="153"/>
      <c r="AEX33" s="153"/>
      <c r="AEY33" s="153"/>
      <c r="AEZ33" s="153"/>
      <c r="AFA33" s="153"/>
      <c r="AFB33" s="153"/>
      <c r="AFC33" s="153"/>
      <c r="AFD33" s="153"/>
      <c r="AFE33" s="153"/>
      <c r="AFF33" s="153"/>
      <c r="AFG33" s="153"/>
      <c r="AFH33" s="153"/>
      <c r="AFI33" s="153"/>
      <c r="AFJ33" s="153"/>
      <c r="AFK33" s="153"/>
      <c r="AFL33" s="153"/>
      <c r="AFM33" s="153"/>
      <c r="AFN33" s="153"/>
      <c r="AFO33" s="153"/>
      <c r="AFP33" s="153"/>
      <c r="AFQ33" s="153"/>
      <c r="AFR33" s="153"/>
      <c r="AFS33" s="153"/>
      <c r="AFT33" s="153"/>
      <c r="AFU33" s="153"/>
      <c r="AFV33" s="153"/>
      <c r="AFW33" s="153"/>
      <c r="AFX33" s="153"/>
      <c r="AFY33" s="153"/>
      <c r="AFZ33" s="153"/>
      <c r="AGA33" s="153"/>
      <c r="AGB33" s="153"/>
      <c r="AGC33" s="153"/>
      <c r="AGD33" s="153"/>
      <c r="AGE33" s="153"/>
      <c r="AGF33" s="153"/>
      <c r="AGG33" s="153"/>
      <c r="AGH33" s="153"/>
      <c r="AGI33" s="153"/>
      <c r="AGJ33" s="153"/>
      <c r="AGK33" s="153"/>
      <c r="AGL33" s="153"/>
      <c r="AGM33" s="153"/>
      <c r="AGN33" s="153"/>
      <c r="AGO33" s="153"/>
      <c r="AGP33" s="153"/>
      <c r="AGQ33" s="153"/>
      <c r="AGR33" s="153"/>
      <c r="AGS33" s="153"/>
      <c r="AGT33" s="153"/>
      <c r="AGU33" s="153"/>
      <c r="AGV33" s="153"/>
      <c r="AGW33" s="153"/>
      <c r="AGX33" s="153"/>
      <c r="AGY33" s="153"/>
      <c r="AGZ33" s="153"/>
      <c r="AHA33" s="153"/>
      <c r="AHB33" s="153"/>
      <c r="AHC33" s="153"/>
      <c r="AHD33" s="153"/>
      <c r="AHE33" s="153"/>
      <c r="AHF33" s="153"/>
      <c r="AHG33" s="153"/>
      <c r="AHH33" s="153"/>
      <c r="AHI33" s="153"/>
      <c r="AHJ33" s="153"/>
      <c r="AHK33" s="153"/>
      <c r="AHL33" s="153"/>
      <c r="AHM33" s="153"/>
      <c r="AHN33" s="153"/>
      <c r="AHO33" s="153"/>
      <c r="AHP33" s="153"/>
      <c r="AHQ33" s="153"/>
      <c r="AHR33" s="153"/>
      <c r="AHS33" s="153"/>
      <c r="AHT33" s="153"/>
      <c r="AHU33" s="153"/>
      <c r="AHV33" s="153"/>
      <c r="AHW33" s="153"/>
      <c r="AHX33" s="153"/>
      <c r="AHY33" s="153"/>
      <c r="AHZ33" s="153"/>
      <c r="AIA33" s="153"/>
      <c r="AIB33" s="153"/>
      <c r="AIC33" s="153"/>
      <c r="AID33" s="153"/>
      <c r="AIE33" s="153"/>
      <c r="AIF33" s="153"/>
      <c r="AIG33" s="153"/>
      <c r="AIH33" s="153"/>
      <c r="AII33" s="153"/>
      <c r="AIJ33" s="153"/>
      <c r="AIK33" s="153"/>
      <c r="AIL33" s="153"/>
      <c r="AIM33" s="153"/>
      <c r="AIN33" s="153"/>
      <c r="AIO33" s="153"/>
      <c r="AIP33" s="153"/>
      <c r="AIQ33" s="153"/>
      <c r="AIR33" s="153"/>
      <c r="AIS33" s="153"/>
      <c r="AIT33" s="153"/>
      <c r="AIU33" s="153"/>
      <c r="AIV33" s="153"/>
      <c r="AIW33" s="153"/>
      <c r="AIX33" s="153"/>
      <c r="AIY33" s="153"/>
      <c r="AIZ33" s="153"/>
      <c r="AJA33" s="153"/>
      <c r="AJB33" s="153"/>
      <c r="AJC33" s="153"/>
      <c r="AJD33" s="153"/>
      <c r="AJE33" s="153"/>
      <c r="AJF33" s="153"/>
      <c r="AJG33" s="153"/>
      <c r="AJH33" s="153"/>
      <c r="AJI33" s="153"/>
      <c r="AJJ33" s="153"/>
      <c r="AJK33" s="153"/>
      <c r="AJL33" s="153"/>
      <c r="AJM33" s="153"/>
      <c r="AJN33" s="153"/>
      <c r="AJO33" s="153"/>
      <c r="AJP33" s="153"/>
      <c r="AJQ33" s="153"/>
      <c r="AJR33" s="153"/>
      <c r="AJS33" s="153"/>
      <c r="AJT33" s="153"/>
      <c r="AJU33" s="153"/>
      <c r="AJV33" s="153"/>
      <c r="AJW33" s="153"/>
      <c r="AJX33" s="153"/>
      <c r="AJY33" s="153"/>
      <c r="AJZ33" s="153"/>
      <c r="AKA33" s="153"/>
      <c r="AKB33" s="153"/>
      <c r="AKC33" s="153"/>
      <c r="AKD33" s="153"/>
      <c r="AKE33" s="153"/>
      <c r="AKF33" s="153"/>
      <c r="AKG33" s="153"/>
      <c r="AKH33" s="153"/>
      <c r="AKI33" s="153"/>
      <c r="AKJ33" s="153"/>
      <c r="AKK33" s="153"/>
      <c r="AKL33" s="153"/>
      <c r="AKM33" s="153"/>
      <c r="AKN33" s="153"/>
      <c r="AKO33" s="153"/>
      <c r="AKP33" s="153"/>
      <c r="AKQ33" s="153"/>
      <c r="AKR33" s="153"/>
      <c r="AKS33" s="153"/>
      <c r="AKT33" s="153"/>
      <c r="AKU33" s="153"/>
      <c r="AKV33" s="153"/>
      <c r="AKW33" s="153"/>
      <c r="AKX33" s="153"/>
      <c r="AKY33" s="153"/>
      <c r="AKZ33" s="153"/>
      <c r="ALA33" s="153"/>
      <c r="ALB33" s="153"/>
      <c r="ALC33" s="153"/>
      <c r="ALD33" s="153"/>
      <c r="ALE33" s="153"/>
      <c r="ALF33" s="153"/>
      <c r="ALG33" s="153"/>
      <c r="ALH33" s="153"/>
      <c r="ALI33" s="153"/>
      <c r="ALJ33" s="153"/>
      <c r="ALK33" s="153"/>
      <c r="ALL33" s="153"/>
      <c r="ALM33" s="153"/>
      <c r="ALN33" s="153"/>
      <c r="ALO33" s="153"/>
      <c r="ALP33" s="153"/>
      <c r="ALQ33" s="153"/>
      <c r="ALR33" s="153"/>
      <c r="ALS33" s="153"/>
      <c r="ALT33" s="153"/>
      <c r="ALU33" s="153"/>
      <c r="ALV33" s="153"/>
      <c r="ALW33" s="153"/>
      <c r="ALX33" s="153"/>
      <c r="ALY33" s="153"/>
      <c r="ALZ33" s="153"/>
      <c r="AMA33" s="153"/>
      <c r="AMB33" s="153"/>
      <c r="AMC33" s="153"/>
      <c r="AMD33" s="153"/>
      <c r="AME33" s="153"/>
      <c r="AMF33" s="153"/>
      <c r="AMG33" s="153"/>
      <c r="AMH33" s="153"/>
      <c r="AMI33" s="153"/>
      <c r="AMJ33" s="153"/>
      <c r="AMK33" s="153"/>
    </row>
    <row r="34" spans="1:1025" s="417" customFormat="1" ht="11.25" x14ac:dyDescent="0.2">
      <c r="A34" s="153" t="s">
        <v>868</v>
      </c>
      <c r="B34" s="153"/>
      <c r="C34" s="153"/>
      <c r="D34" s="153"/>
      <c r="E34" s="407">
        <f>(J32-(J33+J34+J36))/D19</f>
        <v>1.0638835220730376</v>
      </c>
      <c r="F34" s="389"/>
      <c r="G34" s="366"/>
      <c r="H34" s="391" t="s">
        <v>850</v>
      </c>
      <c r="I34" s="388">
        <f>43594.71</f>
        <v>43594.71</v>
      </c>
      <c r="J34" s="388">
        <f>233431.39</f>
        <v>233431.39</v>
      </c>
      <c r="K34" s="137"/>
      <c r="L34" s="405">
        <f>SUM(I34:K34)</f>
        <v>277026.10000000003</v>
      </c>
      <c r="M34" s="153"/>
      <c r="N34" s="336"/>
      <c r="O34" s="153"/>
      <c r="P34" s="336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53"/>
      <c r="IN34" s="153"/>
      <c r="IO34" s="153"/>
      <c r="IP34" s="153"/>
      <c r="IQ34" s="153"/>
      <c r="IR34" s="153"/>
      <c r="IS34" s="153"/>
      <c r="IT34" s="153"/>
      <c r="IU34" s="153"/>
      <c r="IV34" s="153"/>
      <c r="IW34" s="153"/>
      <c r="IX34" s="153"/>
      <c r="IY34" s="153"/>
      <c r="IZ34" s="153"/>
      <c r="JA34" s="153"/>
      <c r="JB34" s="153"/>
      <c r="JC34" s="153"/>
      <c r="JD34" s="153"/>
      <c r="JE34" s="153"/>
      <c r="JF34" s="153"/>
      <c r="JG34" s="153"/>
      <c r="JH34" s="153"/>
      <c r="JI34" s="153"/>
      <c r="JJ34" s="153"/>
      <c r="JK34" s="153"/>
      <c r="JL34" s="153"/>
      <c r="JM34" s="153"/>
      <c r="JN34" s="153"/>
      <c r="JO34" s="153"/>
      <c r="JP34" s="153"/>
      <c r="JQ34" s="153"/>
      <c r="JR34" s="153"/>
      <c r="JS34" s="153"/>
      <c r="JT34" s="153"/>
      <c r="JU34" s="153"/>
      <c r="JV34" s="153"/>
      <c r="JW34" s="153"/>
      <c r="JX34" s="153"/>
      <c r="JY34" s="153"/>
      <c r="JZ34" s="153"/>
      <c r="KA34" s="153"/>
      <c r="KB34" s="153"/>
      <c r="KC34" s="153"/>
      <c r="KD34" s="153"/>
      <c r="KE34" s="153"/>
      <c r="KF34" s="153"/>
      <c r="KG34" s="153"/>
      <c r="KH34" s="153"/>
      <c r="KI34" s="153"/>
      <c r="KJ34" s="153"/>
      <c r="KK34" s="153"/>
      <c r="KL34" s="153"/>
      <c r="KM34" s="153"/>
      <c r="KN34" s="153"/>
      <c r="KO34" s="153"/>
      <c r="KP34" s="153"/>
      <c r="KQ34" s="153"/>
      <c r="KR34" s="153"/>
      <c r="KS34" s="153"/>
      <c r="KT34" s="153"/>
      <c r="KU34" s="153"/>
      <c r="KV34" s="153"/>
      <c r="KW34" s="153"/>
      <c r="KX34" s="153"/>
      <c r="KY34" s="153"/>
      <c r="KZ34" s="153"/>
      <c r="LA34" s="153"/>
      <c r="LB34" s="153"/>
      <c r="LC34" s="153"/>
      <c r="LD34" s="153"/>
      <c r="LE34" s="153"/>
      <c r="LF34" s="153"/>
      <c r="LG34" s="153"/>
      <c r="LH34" s="153"/>
      <c r="LI34" s="153"/>
      <c r="LJ34" s="153"/>
      <c r="LK34" s="153"/>
      <c r="LL34" s="153"/>
      <c r="LM34" s="153"/>
      <c r="LN34" s="153"/>
      <c r="LO34" s="153"/>
      <c r="LP34" s="153"/>
      <c r="LQ34" s="153"/>
      <c r="LR34" s="153"/>
      <c r="LS34" s="153"/>
      <c r="LT34" s="153"/>
      <c r="LU34" s="153"/>
      <c r="LV34" s="153"/>
      <c r="LW34" s="153"/>
      <c r="LX34" s="153"/>
      <c r="LY34" s="153"/>
      <c r="LZ34" s="153"/>
      <c r="MA34" s="153"/>
      <c r="MB34" s="153"/>
      <c r="MC34" s="153"/>
      <c r="MD34" s="153"/>
      <c r="ME34" s="153"/>
      <c r="MF34" s="153"/>
      <c r="MG34" s="153"/>
      <c r="MH34" s="153"/>
      <c r="MI34" s="153"/>
      <c r="MJ34" s="153"/>
      <c r="MK34" s="153"/>
      <c r="ML34" s="153"/>
      <c r="MM34" s="153"/>
      <c r="MN34" s="153"/>
      <c r="MO34" s="153"/>
      <c r="MP34" s="153"/>
      <c r="MQ34" s="153"/>
      <c r="MR34" s="153"/>
      <c r="MS34" s="153"/>
      <c r="MT34" s="153"/>
      <c r="MU34" s="153"/>
      <c r="MV34" s="153"/>
      <c r="MW34" s="153"/>
      <c r="MX34" s="153"/>
      <c r="MY34" s="153"/>
      <c r="MZ34" s="153"/>
      <c r="NA34" s="153"/>
      <c r="NB34" s="153"/>
      <c r="NC34" s="153"/>
      <c r="ND34" s="153"/>
      <c r="NE34" s="153"/>
      <c r="NF34" s="153"/>
      <c r="NG34" s="153"/>
      <c r="NH34" s="153"/>
      <c r="NI34" s="153"/>
      <c r="NJ34" s="153"/>
      <c r="NK34" s="153"/>
      <c r="NL34" s="153"/>
      <c r="NM34" s="153"/>
      <c r="NN34" s="153"/>
      <c r="NO34" s="153"/>
      <c r="NP34" s="153"/>
      <c r="NQ34" s="153"/>
      <c r="NR34" s="153"/>
      <c r="NS34" s="153"/>
      <c r="NT34" s="153"/>
      <c r="NU34" s="153"/>
      <c r="NV34" s="153"/>
      <c r="NW34" s="153"/>
      <c r="NX34" s="153"/>
      <c r="NY34" s="153"/>
      <c r="NZ34" s="153"/>
      <c r="OA34" s="153"/>
      <c r="OB34" s="153"/>
      <c r="OC34" s="153"/>
      <c r="OD34" s="153"/>
      <c r="OE34" s="153"/>
      <c r="OF34" s="153"/>
      <c r="OG34" s="153"/>
      <c r="OH34" s="153"/>
      <c r="OI34" s="153"/>
      <c r="OJ34" s="153"/>
      <c r="OK34" s="153"/>
      <c r="OL34" s="153"/>
      <c r="OM34" s="153"/>
      <c r="ON34" s="153"/>
      <c r="OO34" s="153"/>
      <c r="OP34" s="153"/>
      <c r="OQ34" s="153"/>
      <c r="OR34" s="153"/>
      <c r="OS34" s="153"/>
      <c r="OT34" s="153"/>
      <c r="OU34" s="153"/>
      <c r="OV34" s="153"/>
      <c r="OW34" s="153"/>
      <c r="OX34" s="153"/>
      <c r="OY34" s="153"/>
      <c r="OZ34" s="153"/>
      <c r="PA34" s="153"/>
      <c r="PB34" s="153"/>
      <c r="PC34" s="153"/>
      <c r="PD34" s="153"/>
      <c r="PE34" s="153"/>
      <c r="PF34" s="153"/>
      <c r="PG34" s="153"/>
      <c r="PH34" s="153"/>
      <c r="PI34" s="153"/>
      <c r="PJ34" s="153"/>
      <c r="PK34" s="153"/>
      <c r="PL34" s="153"/>
      <c r="PM34" s="153"/>
      <c r="PN34" s="153"/>
      <c r="PO34" s="153"/>
      <c r="PP34" s="153"/>
      <c r="PQ34" s="153"/>
      <c r="PR34" s="153"/>
      <c r="PS34" s="153"/>
      <c r="PT34" s="153"/>
      <c r="PU34" s="153"/>
      <c r="PV34" s="153"/>
      <c r="PW34" s="153"/>
      <c r="PX34" s="153"/>
      <c r="PY34" s="153"/>
      <c r="PZ34" s="153"/>
      <c r="QA34" s="153"/>
      <c r="QB34" s="153"/>
      <c r="QC34" s="153"/>
      <c r="QD34" s="153"/>
      <c r="QE34" s="153"/>
      <c r="QF34" s="153"/>
      <c r="QG34" s="153"/>
      <c r="QH34" s="153"/>
      <c r="QI34" s="153"/>
      <c r="QJ34" s="153"/>
      <c r="QK34" s="153"/>
      <c r="QL34" s="153"/>
      <c r="QM34" s="153"/>
      <c r="QN34" s="153"/>
      <c r="QO34" s="153"/>
      <c r="QP34" s="153"/>
      <c r="QQ34" s="153"/>
      <c r="QR34" s="153"/>
      <c r="QS34" s="153"/>
      <c r="QT34" s="153"/>
      <c r="QU34" s="153"/>
      <c r="QV34" s="153"/>
      <c r="QW34" s="153"/>
      <c r="QX34" s="153"/>
      <c r="QY34" s="153"/>
      <c r="QZ34" s="153"/>
      <c r="RA34" s="153"/>
      <c r="RB34" s="153"/>
      <c r="RC34" s="153"/>
      <c r="RD34" s="153"/>
      <c r="RE34" s="153"/>
      <c r="RF34" s="153"/>
      <c r="RG34" s="153"/>
      <c r="RH34" s="153"/>
      <c r="RI34" s="153"/>
      <c r="RJ34" s="153"/>
      <c r="RK34" s="153"/>
      <c r="RL34" s="153"/>
      <c r="RM34" s="153"/>
      <c r="RN34" s="153"/>
      <c r="RO34" s="153"/>
      <c r="RP34" s="153"/>
      <c r="RQ34" s="153"/>
      <c r="RR34" s="153"/>
      <c r="RS34" s="153"/>
      <c r="RT34" s="153"/>
      <c r="RU34" s="153"/>
      <c r="RV34" s="153"/>
      <c r="RW34" s="153"/>
      <c r="RX34" s="153"/>
      <c r="RY34" s="153"/>
      <c r="RZ34" s="153"/>
      <c r="SA34" s="153"/>
      <c r="SB34" s="153"/>
      <c r="SC34" s="153"/>
      <c r="SD34" s="153"/>
      <c r="SE34" s="153"/>
      <c r="SF34" s="153"/>
      <c r="SG34" s="153"/>
      <c r="SH34" s="153"/>
      <c r="SI34" s="153"/>
      <c r="SJ34" s="153"/>
      <c r="SK34" s="153"/>
      <c r="SL34" s="153"/>
      <c r="SM34" s="153"/>
      <c r="SN34" s="153"/>
      <c r="SO34" s="153"/>
      <c r="SP34" s="153"/>
      <c r="SQ34" s="153"/>
      <c r="SR34" s="153"/>
      <c r="SS34" s="153"/>
      <c r="ST34" s="153"/>
      <c r="SU34" s="153"/>
      <c r="SV34" s="153"/>
      <c r="SW34" s="153"/>
      <c r="SX34" s="153"/>
      <c r="SY34" s="153"/>
      <c r="SZ34" s="153"/>
      <c r="TA34" s="153"/>
      <c r="TB34" s="153"/>
      <c r="TC34" s="153"/>
      <c r="TD34" s="153"/>
      <c r="TE34" s="153"/>
      <c r="TF34" s="153"/>
      <c r="TG34" s="153"/>
      <c r="TH34" s="153"/>
      <c r="TI34" s="153"/>
      <c r="TJ34" s="153"/>
      <c r="TK34" s="153"/>
      <c r="TL34" s="153"/>
      <c r="TM34" s="153"/>
      <c r="TN34" s="153"/>
      <c r="TO34" s="153"/>
      <c r="TP34" s="153"/>
      <c r="TQ34" s="153"/>
      <c r="TR34" s="153"/>
      <c r="TS34" s="153"/>
      <c r="TT34" s="153"/>
      <c r="TU34" s="153"/>
      <c r="TV34" s="153"/>
      <c r="TW34" s="153"/>
      <c r="TX34" s="153"/>
      <c r="TY34" s="153"/>
      <c r="TZ34" s="153"/>
      <c r="UA34" s="153"/>
      <c r="UB34" s="153"/>
      <c r="UC34" s="153"/>
      <c r="UD34" s="153"/>
      <c r="UE34" s="153"/>
      <c r="UF34" s="153"/>
      <c r="UG34" s="153"/>
      <c r="UH34" s="153"/>
      <c r="UI34" s="153"/>
      <c r="UJ34" s="153"/>
      <c r="UK34" s="153"/>
      <c r="UL34" s="153"/>
      <c r="UM34" s="153"/>
      <c r="UN34" s="153"/>
      <c r="UO34" s="153"/>
      <c r="UP34" s="153"/>
      <c r="UQ34" s="153"/>
      <c r="UR34" s="153"/>
      <c r="US34" s="153"/>
      <c r="UT34" s="153"/>
      <c r="UU34" s="153"/>
      <c r="UV34" s="153"/>
      <c r="UW34" s="153"/>
      <c r="UX34" s="153"/>
      <c r="UY34" s="153"/>
      <c r="UZ34" s="153"/>
      <c r="VA34" s="153"/>
      <c r="VB34" s="153"/>
      <c r="VC34" s="153"/>
      <c r="VD34" s="153"/>
      <c r="VE34" s="153"/>
      <c r="VF34" s="153"/>
      <c r="VG34" s="153"/>
      <c r="VH34" s="153"/>
      <c r="VI34" s="153"/>
      <c r="VJ34" s="153"/>
      <c r="VK34" s="153"/>
      <c r="VL34" s="153"/>
      <c r="VM34" s="153"/>
      <c r="VN34" s="153"/>
      <c r="VO34" s="153"/>
      <c r="VP34" s="153"/>
      <c r="VQ34" s="153"/>
      <c r="VR34" s="153"/>
      <c r="VS34" s="153"/>
      <c r="VT34" s="153"/>
      <c r="VU34" s="153"/>
      <c r="VV34" s="153"/>
      <c r="VW34" s="153"/>
      <c r="VX34" s="153"/>
      <c r="VY34" s="153"/>
      <c r="VZ34" s="153"/>
      <c r="WA34" s="153"/>
      <c r="WB34" s="153"/>
      <c r="WC34" s="153"/>
      <c r="WD34" s="153"/>
      <c r="WE34" s="153"/>
      <c r="WF34" s="153"/>
      <c r="WG34" s="153"/>
      <c r="WH34" s="153"/>
      <c r="WI34" s="153"/>
      <c r="WJ34" s="153"/>
      <c r="WK34" s="153"/>
      <c r="WL34" s="153"/>
      <c r="WM34" s="153"/>
      <c r="WN34" s="153"/>
      <c r="WO34" s="153"/>
      <c r="WP34" s="153"/>
      <c r="WQ34" s="153"/>
      <c r="WR34" s="153"/>
      <c r="WS34" s="153"/>
      <c r="WT34" s="153"/>
      <c r="WU34" s="153"/>
      <c r="WV34" s="153"/>
      <c r="WW34" s="153"/>
      <c r="WX34" s="153"/>
      <c r="WY34" s="153"/>
      <c r="WZ34" s="153"/>
      <c r="XA34" s="153"/>
      <c r="XB34" s="153"/>
      <c r="XC34" s="153"/>
      <c r="XD34" s="153"/>
      <c r="XE34" s="153"/>
      <c r="XF34" s="153"/>
      <c r="XG34" s="153"/>
      <c r="XH34" s="153"/>
      <c r="XI34" s="153"/>
      <c r="XJ34" s="153"/>
      <c r="XK34" s="153"/>
      <c r="XL34" s="153"/>
      <c r="XM34" s="153"/>
      <c r="XN34" s="153"/>
      <c r="XO34" s="153"/>
      <c r="XP34" s="153"/>
      <c r="XQ34" s="153"/>
      <c r="XR34" s="153"/>
      <c r="XS34" s="153"/>
      <c r="XT34" s="153"/>
      <c r="XU34" s="153"/>
      <c r="XV34" s="153"/>
      <c r="XW34" s="153"/>
      <c r="XX34" s="153"/>
      <c r="XY34" s="153"/>
      <c r="XZ34" s="153"/>
      <c r="YA34" s="153"/>
      <c r="YB34" s="153"/>
      <c r="YC34" s="153"/>
      <c r="YD34" s="153"/>
      <c r="YE34" s="153"/>
      <c r="YF34" s="153"/>
      <c r="YG34" s="153"/>
      <c r="YH34" s="153"/>
      <c r="YI34" s="153"/>
      <c r="YJ34" s="153"/>
      <c r="YK34" s="153"/>
      <c r="YL34" s="153"/>
      <c r="YM34" s="153"/>
      <c r="YN34" s="153"/>
      <c r="YO34" s="153"/>
      <c r="YP34" s="153"/>
      <c r="YQ34" s="153"/>
      <c r="YR34" s="153"/>
      <c r="YS34" s="153"/>
      <c r="YT34" s="153"/>
      <c r="YU34" s="153"/>
      <c r="YV34" s="153"/>
      <c r="YW34" s="153"/>
      <c r="YX34" s="153"/>
      <c r="YY34" s="153"/>
      <c r="YZ34" s="153"/>
      <c r="ZA34" s="153"/>
      <c r="ZB34" s="153"/>
      <c r="ZC34" s="153"/>
      <c r="ZD34" s="153"/>
      <c r="ZE34" s="153"/>
      <c r="ZF34" s="153"/>
      <c r="ZG34" s="153"/>
      <c r="ZH34" s="153"/>
      <c r="ZI34" s="153"/>
      <c r="ZJ34" s="153"/>
      <c r="ZK34" s="153"/>
      <c r="ZL34" s="153"/>
      <c r="ZM34" s="153"/>
      <c r="ZN34" s="153"/>
      <c r="ZO34" s="153"/>
      <c r="ZP34" s="153"/>
      <c r="ZQ34" s="153"/>
      <c r="ZR34" s="153"/>
      <c r="ZS34" s="153"/>
      <c r="ZT34" s="153"/>
      <c r="ZU34" s="153"/>
      <c r="ZV34" s="153"/>
      <c r="ZW34" s="153"/>
      <c r="ZX34" s="153"/>
      <c r="ZY34" s="153"/>
      <c r="ZZ34" s="153"/>
      <c r="AAA34" s="153"/>
      <c r="AAB34" s="153"/>
      <c r="AAC34" s="153"/>
      <c r="AAD34" s="153"/>
      <c r="AAE34" s="153"/>
      <c r="AAF34" s="153"/>
      <c r="AAG34" s="153"/>
      <c r="AAH34" s="153"/>
      <c r="AAI34" s="153"/>
      <c r="AAJ34" s="153"/>
      <c r="AAK34" s="153"/>
      <c r="AAL34" s="153"/>
      <c r="AAM34" s="153"/>
      <c r="AAN34" s="153"/>
      <c r="AAO34" s="153"/>
      <c r="AAP34" s="153"/>
      <c r="AAQ34" s="153"/>
      <c r="AAR34" s="153"/>
      <c r="AAS34" s="153"/>
      <c r="AAT34" s="153"/>
      <c r="AAU34" s="153"/>
      <c r="AAV34" s="153"/>
      <c r="AAW34" s="153"/>
      <c r="AAX34" s="153"/>
      <c r="AAY34" s="153"/>
      <c r="AAZ34" s="153"/>
      <c r="ABA34" s="153"/>
      <c r="ABB34" s="153"/>
      <c r="ABC34" s="153"/>
      <c r="ABD34" s="153"/>
      <c r="ABE34" s="153"/>
      <c r="ABF34" s="153"/>
      <c r="ABG34" s="153"/>
      <c r="ABH34" s="153"/>
      <c r="ABI34" s="153"/>
      <c r="ABJ34" s="153"/>
      <c r="ABK34" s="153"/>
      <c r="ABL34" s="153"/>
      <c r="ABM34" s="153"/>
      <c r="ABN34" s="153"/>
      <c r="ABO34" s="153"/>
      <c r="ABP34" s="153"/>
      <c r="ABQ34" s="153"/>
      <c r="ABR34" s="153"/>
      <c r="ABS34" s="153"/>
      <c r="ABT34" s="153"/>
      <c r="ABU34" s="153"/>
      <c r="ABV34" s="153"/>
      <c r="ABW34" s="153"/>
      <c r="ABX34" s="153"/>
      <c r="ABY34" s="153"/>
      <c r="ABZ34" s="153"/>
      <c r="ACA34" s="153"/>
      <c r="ACB34" s="153"/>
      <c r="ACC34" s="153"/>
      <c r="ACD34" s="153"/>
      <c r="ACE34" s="153"/>
      <c r="ACF34" s="153"/>
      <c r="ACG34" s="153"/>
      <c r="ACH34" s="153"/>
      <c r="ACI34" s="153"/>
      <c r="ACJ34" s="153"/>
      <c r="ACK34" s="153"/>
      <c r="ACL34" s="153"/>
      <c r="ACM34" s="153"/>
      <c r="ACN34" s="153"/>
      <c r="ACO34" s="153"/>
      <c r="ACP34" s="153"/>
      <c r="ACQ34" s="153"/>
      <c r="ACR34" s="153"/>
      <c r="ACS34" s="153"/>
      <c r="ACT34" s="153"/>
      <c r="ACU34" s="153"/>
      <c r="ACV34" s="153"/>
      <c r="ACW34" s="153"/>
      <c r="ACX34" s="153"/>
      <c r="ACY34" s="153"/>
      <c r="ACZ34" s="153"/>
      <c r="ADA34" s="153"/>
      <c r="ADB34" s="153"/>
      <c r="ADC34" s="153"/>
      <c r="ADD34" s="153"/>
      <c r="ADE34" s="153"/>
      <c r="ADF34" s="153"/>
      <c r="ADG34" s="153"/>
      <c r="ADH34" s="153"/>
      <c r="ADI34" s="153"/>
      <c r="ADJ34" s="153"/>
      <c r="ADK34" s="153"/>
      <c r="ADL34" s="153"/>
      <c r="ADM34" s="153"/>
      <c r="ADN34" s="153"/>
      <c r="ADO34" s="153"/>
      <c r="ADP34" s="153"/>
      <c r="ADQ34" s="153"/>
      <c r="ADR34" s="153"/>
      <c r="ADS34" s="153"/>
      <c r="ADT34" s="153"/>
      <c r="ADU34" s="153"/>
      <c r="ADV34" s="153"/>
      <c r="ADW34" s="153"/>
      <c r="ADX34" s="153"/>
      <c r="ADY34" s="153"/>
      <c r="ADZ34" s="153"/>
      <c r="AEA34" s="153"/>
      <c r="AEB34" s="153"/>
      <c r="AEC34" s="153"/>
      <c r="AED34" s="153"/>
      <c r="AEE34" s="153"/>
      <c r="AEF34" s="153"/>
      <c r="AEG34" s="153"/>
      <c r="AEH34" s="153"/>
      <c r="AEI34" s="153"/>
      <c r="AEJ34" s="153"/>
      <c r="AEK34" s="153"/>
      <c r="AEL34" s="153"/>
      <c r="AEM34" s="153"/>
      <c r="AEN34" s="153"/>
      <c r="AEO34" s="153"/>
      <c r="AEP34" s="153"/>
      <c r="AEQ34" s="153"/>
      <c r="AER34" s="153"/>
      <c r="AES34" s="153"/>
      <c r="AET34" s="153"/>
      <c r="AEU34" s="153"/>
      <c r="AEV34" s="153"/>
      <c r="AEW34" s="153"/>
      <c r="AEX34" s="153"/>
      <c r="AEY34" s="153"/>
      <c r="AEZ34" s="153"/>
      <c r="AFA34" s="153"/>
      <c r="AFB34" s="153"/>
      <c r="AFC34" s="153"/>
      <c r="AFD34" s="153"/>
      <c r="AFE34" s="153"/>
      <c r="AFF34" s="153"/>
      <c r="AFG34" s="153"/>
      <c r="AFH34" s="153"/>
      <c r="AFI34" s="153"/>
      <c r="AFJ34" s="153"/>
      <c r="AFK34" s="153"/>
      <c r="AFL34" s="153"/>
      <c r="AFM34" s="153"/>
      <c r="AFN34" s="153"/>
      <c r="AFO34" s="153"/>
      <c r="AFP34" s="153"/>
      <c r="AFQ34" s="153"/>
      <c r="AFR34" s="153"/>
      <c r="AFS34" s="153"/>
      <c r="AFT34" s="153"/>
      <c r="AFU34" s="153"/>
      <c r="AFV34" s="153"/>
      <c r="AFW34" s="153"/>
      <c r="AFX34" s="153"/>
      <c r="AFY34" s="153"/>
      <c r="AFZ34" s="153"/>
      <c r="AGA34" s="153"/>
      <c r="AGB34" s="153"/>
      <c r="AGC34" s="153"/>
      <c r="AGD34" s="153"/>
      <c r="AGE34" s="153"/>
      <c r="AGF34" s="153"/>
      <c r="AGG34" s="153"/>
      <c r="AGH34" s="153"/>
      <c r="AGI34" s="153"/>
      <c r="AGJ34" s="153"/>
      <c r="AGK34" s="153"/>
      <c r="AGL34" s="153"/>
      <c r="AGM34" s="153"/>
      <c r="AGN34" s="153"/>
      <c r="AGO34" s="153"/>
      <c r="AGP34" s="153"/>
      <c r="AGQ34" s="153"/>
      <c r="AGR34" s="153"/>
      <c r="AGS34" s="153"/>
      <c r="AGT34" s="153"/>
      <c r="AGU34" s="153"/>
      <c r="AGV34" s="153"/>
      <c r="AGW34" s="153"/>
      <c r="AGX34" s="153"/>
      <c r="AGY34" s="153"/>
      <c r="AGZ34" s="153"/>
      <c r="AHA34" s="153"/>
      <c r="AHB34" s="153"/>
      <c r="AHC34" s="153"/>
      <c r="AHD34" s="153"/>
      <c r="AHE34" s="153"/>
      <c r="AHF34" s="153"/>
      <c r="AHG34" s="153"/>
      <c r="AHH34" s="153"/>
      <c r="AHI34" s="153"/>
      <c r="AHJ34" s="153"/>
      <c r="AHK34" s="153"/>
      <c r="AHL34" s="153"/>
      <c r="AHM34" s="153"/>
      <c r="AHN34" s="153"/>
      <c r="AHO34" s="153"/>
      <c r="AHP34" s="153"/>
      <c r="AHQ34" s="153"/>
      <c r="AHR34" s="153"/>
      <c r="AHS34" s="153"/>
      <c r="AHT34" s="153"/>
      <c r="AHU34" s="153"/>
      <c r="AHV34" s="153"/>
      <c r="AHW34" s="153"/>
      <c r="AHX34" s="153"/>
      <c r="AHY34" s="153"/>
      <c r="AHZ34" s="153"/>
      <c r="AIA34" s="153"/>
      <c r="AIB34" s="153"/>
      <c r="AIC34" s="153"/>
      <c r="AID34" s="153"/>
      <c r="AIE34" s="153"/>
      <c r="AIF34" s="153"/>
      <c r="AIG34" s="153"/>
      <c r="AIH34" s="153"/>
      <c r="AII34" s="153"/>
      <c r="AIJ34" s="153"/>
      <c r="AIK34" s="153"/>
      <c r="AIL34" s="153"/>
      <c r="AIM34" s="153"/>
      <c r="AIN34" s="153"/>
      <c r="AIO34" s="153"/>
      <c r="AIP34" s="153"/>
      <c r="AIQ34" s="153"/>
      <c r="AIR34" s="153"/>
      <c r="AIS34" s="153"/>
      <c r="AIT34" s="153"/>
      <c r="AIU34" s="153"/>
      <c r="AIV34" s="153"/>
      <c r="AIW34" s="153"/>
      <c r="AIX34" s="153"/>
      <c r="AIY34" s="153"/>
      <c r="AIZ34" s="153"/>
      <c r="AJA34" s="153"/>
      <c r="AJB34" s="153"/>
      <c r="AJC34" s="153"/>
      <c r="AJD34" s="153"/>
      <c r="AJE34" s="153"/>
      <c r="AJF34" s="153"/>
      <c r="AJG34" s="153"/>
      <c r="AJH34" s="153"/>
      <c r="AJI34" s="153"/>
      <c r="AJJ34" s="153"/>
      <c r="AJK34" s="153"/>
      <c r="AJL34" s="153"/>
      <c r="AJM34" s="153"/>
      <c r="AJN34" s="153"/>
      <c r="AJO34" s="153"/>
      <c r="AJP34" s="153"/>
      <c r="AJQ34" s="153"/>
      <c r="AJR34" s="153"/>
      <c r="AJS34" s="153"/>
      <c r="AJT34" s="153"/>
      <c r="AJU34" s="153"/>
      <c r="AJV34" s="153"/>
      <c r="AJW34" s="153"/>
      <c r="AJX34" s="153"/>
      <c r="AJY34" s="153"/>
      <c r="AJZ34" s="153"/>
      <c r="AKA34" s="153"/>
      <c r="AKB34" s="153"/>
      <c r="AKC34" s="153"/>
      <c r="AKD34" s="153"/>
      <c r="AKE34" s="153"/>
      <c r="AKF34" s="153"/>
      <c r="AKG34" s="153"/>
      <c r="AKH34" s="153"/>
      <c r="AKI34" s="153"/>
      <c r="AKJ34" s="153"/>
      <c r="AKK34" s="153"/>
      <c r="AKL34" s="153"/>
      <c r="AKM34" s="153"/>
      <c r="AKN34" s="153"/>
      <c r="AKO34" s="153"/>
      <c r="AKP34" s="153"/>
      <c r="AKQ34" s="153"/>
      <c r="AKR34" s="153"/>
      <c r="AKS34" s="153"/>
      <c r="AKT34" s="153"/>
      <c r="AKU34" s="153"/>
      <c r="AKV34" s="153"/>
      <c r="AKW34" s="153"/>
      <c r="AKX34" s="153"/>
      <c r="AKY34" s="153"/>
      <c r="AKZ34" s="153"/>
      <c r="ALA34" s="153"/>
      <c r="ALB34" s="153"/>
      <c r="ALC34" s="153"/>
      <c r="ALD34" s="153"/>
      <c r="ALE34" s="153"/>
      <c r="ALF34" s="153"/>
      <c r="ALG34" s="153"/>
      <c r="ALH34" s="153"/>
      <c r="ALI34" s="153"/>
      <c r="ALJ34" s="153"/>
      <c r="ALK34" s="153"/>
      <c r="ALL34" s="153"/>
      <c r="ALM34" s="153"/>
      <c r="ALN34" s="153"/>
      <c r="ALO34" s="153"/>
      <c r="ALP34" s="153"/>
      <c r="ALQ34" s="153"/>
      <c r="ALR34" s="153"/>
      <c r="ALS34" s="153"/>
      <c r="ALT34" s="153"/>
      <c r="ALU34" s="153"/>
      <c r="ALV34" s="153"/>
      <c r="ALW34" s="153"/>
      <c r="ALX34" s="153"/>
      <c r="ALY34" s="153"/>
      <c r="ALZ34" s="153"/>
      <c r="AMA34" s="153"/>
      <c r="AMB34" s="153"/>
      <c r="AMC34" s="153"/>
      <c r="AMD34" s="153"/>
      <c r="AME34" s="153"/>
      <c r="AMF34" s="153"/>
      <c r="AMG34" s="153"/>
      <c r="AMH34" s="153"/>
      <c r="AMI34" s="153"/>
      <c r="AMJ34" s="153"/>
      <c r="AMK34" s="153"/>
    </row>
    <row r="35" spans="1:1025" s="417" customFormat="1" ht="11.25" x14ac:dyDescent="0.2">
      <c r="A35" s="153" t="s">
        <v>869</v>
      </c>
      <c r="B35" s="389"/>
      <c r="C35" s="389"/>
      <c r="D35" s="389"/>
      <c r="E35" s="389"/>
      <c r="F35" s="389"/>
      <c r="G35" s="366"/>
      <c r="H35" s="391" t="s">
        <v>870</v>
      </c>
      <c r="I35" s="391"/>
      <c r="J35" s="390">
        <f>D19+I20</f>
        <v>8084379.9300000016</v>
      </c>
      <c r="K35" s="192"/>
      <c r="L35" s="430">
        <f>SUM(I35:K35)</f>
        <v>8084379.9300000016</v>
      </c>
      <c r="M35" s="153"/>
      <c r="N35" s="427"/>
      <c r="O35" s="153"/>
      <c r="P35" s="395"/>
      <c r="Q35" s="336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W35" s="153"/>
      <c r="DX35" s="153"/>
      <c r="DY35" s="153"/>
      <c r="DZ35" s="153"/>
      <c r="EA35" s="153"/>
      <c r="EB35" s="153"/>
      <c r="EC35" s="153"/>
      <c r="ED35" s="153"/>
      <c r="EE35" s="153"/>
      <c r="EF35" s="153"/>
      <c r="EG35" s="153"/>
      <c r="EH35" s="153"/>
      <c r="EI35" s="153"/>
      <c r="EJ35" s="153"/>
      <c r="EK35" s="153"/>
      <c r="EL35" s="153"/>
      <c r="EM35" s="153"/>
      <c r="EN35" s="153"/>
      <c r="EO35" s="153"/>
      <c r="EP35" s="153"/>
      <c r="EQ35" s="153"/>
      <c r="ER35" s="153"/>
      <c r="ES35" s="153"/>
      <c r="ET35" s="153"/>
      <c r="EU35" s="153"/>
      <c r="EV35" s="153"/>
      <c r="EW35" s="153"/>
      <c r="EX35" s="153"/>
      <c r="EY35" s="153"/>
      <c r="EZ35" s="153"/>
      <c r="FA35" s="153"/>
      <c r="FB35" s="153"/>
      <c r="FC35" s="153"/>
      <c r="FD35" s="153"/>
      <c r="FE35" s="153"/>
      <c r="FF35" s="153"/>
      <c r="FG35" s="153"/>
      <c r="FH35" s="153"/>
      <c r="FI35" s="153"/>
      <c r="FJ35" s="153"/>
      <c r="FK35" s="153"/>
      <c r="FL35" s="153"/>
      <c r="FM35" s="153"/>
      <c r="FN35" s="153"/>
      <c r="FO35" s="153"/>
      <c r="FP35" s="153"/>
      <c r="FQ35" s="153"/>
      <c r="FR35" s="153"/>
      <c r="FS35" s="153"/>
      <c r="FT35" s="153"/>
      <c r="FU35" s="153"/>
      <c r="FV35" s="153"/>
      <c r="FW35" s="153"/>
      <c r="FX35" s="153"/>
      <c r="FY35" s="153"/>
      <c r="FZ35" s="153"/>
      <c r="GA35" s="153"/>
      <c r="GB35" s="153"/>
      <c r="GC35" s="153"/>
      <c r="GD35" s="153"/>
      <c r="GE35" s="153"/>
      <c r="GF35" s="153"/>
      <c r="GG35" s="153"/>
      <c r="GH35" s="153"/>
      <c r="GI35" s="153"/>
      <c r="GJ35" s="153"/>
      <c r="GK35" s="153"/>
      <c r="GL35" s="153"/>
      <c r="GM35" s="153"/>
      <c r="GN35" s="153"/>
      <c r="GO35" s="153"/>
      <c r="GP35" s="153"/>
      <c r="GQ35" s="153"/>
      <c r="GR35" s="153"/>
      <c r="GS35" s="153"/>
      <c r="GT35" s="153"/>
      <c r="GU35" s="153"/>
      <c r="GV35" s="153"/>
      <c r="GW35" s="153"/>
      <c r="GX35" s="153"/>
      <c r="GY35" s="153"/>
      <c r="GZ35" s="153"/>
      <c r="HA35" s="153"/>
      <c r="HB35" s="153"/>
      <c r="HC35" s="153"/>
      <c r="HD35" s="153"/>
      <c r="HE35" s="153"/>
      <c r="HF35" s="153"/>
      <c r="HG35" s="153"/>
      <c r="HH35" s="153"/>
      <c r="HI35" s="153"/>
      <c r="HJ35" s="153"/>
      <c r="HK35" s="153"/>
      <c r="HL35" s="153"/>
      <c r="HM35" s="153"/>
      <c r="HN35" s="153"/>
      <c r="HO35" s="153"/>
      <c r="HP35" s="153"/>
      <c r="HQ35" s="153"/>
      <c r="HR35" s="153"/>
      <c r="HS35" s="153"/>
      <c r="HT35" s="153"/>
      <c r="HU35" s="153"/>
      <c r="HV35" s="153"/>
      <c r="HW35" s="153"/>
      <c r="HX35" s="153"/>
      <c r="HY35" s="153"/>
      <c r="HZ35" s="153"/>
      <c r="IA35" s="153"/>
      <c r="IB35" s="153"/>
      <c r="IC35" s="153"/>
      <c r="ID35" s="153"/>
      <c r="IE35" s="153"/>
      <c r="IF35" s="153"/>
      <c r="IG35" s="153"/>
      <c r="IH35" s="153"/>
      <c r="II35" s="153"/>
      <c r="IJ35" s="153"/>
      <c r="IK35" s="153"/>
      <c r="IL35" s="153"/>
      <c r="IM35" s="153"/>
      <c r="IN35" s="153"/>
      <c r="IO35" s="153"/>
      <c r="IP35" s="153"/>
      <c r="IQ35" s="153"/>
      <c r="IR35" s="153"/>
      <c r="IS35" s="153"/>
      <c r="IT35" s="153"/>
      <c r="IU35" s="153"/>
      <c r="IV35" s="153"/>
      <c r="IW35" s="153"/>
      <c r="IX35" s="153"/>
      <c r="IY35" s="153"/>
      <c r="IZ35" s="153"/>
      <c r="JA35" s="153"/>
      <c r="JB35" s="153"/>
      <c r="JC35" s="153"/>
      <c r="JD35" s="153"/>
      <c r="JE35" s="153"/>
      <c r="JF35" s="153"/>
      <c r="JG35" s="153"/>
      <c r="JH35" s="153"/>
      <c r="JI35" s="153"/>
      <c r="JJ35" s="153"/>
      <c r="JK35" s="153"/>
      <c r="JL35" s="153"/>
      <c r="JM35" s="153"/>
      <c r="JN35" s="153"/>
      <c r="JO35" s="153"/>
      <c r="JP35" s="153"/>
      <c r="JQ35" s="153"/>
      <c r="JR35" s="153"/>
      <c r="JS35" s="153"/>
      <c r="JT35" s="153"/>
      <c r="JU35" s="153"/>
      <c r="JV35" s="153"/>
      <c r="JW35" s="153"/>
      <c r="JX35" s="153"/>
      <c r="JY35" s="153"/>
      <c r="JZ35" s="153"/>
      <c r="KA35" s="153"/>
      <c r="KB35" s="153"/>
      <c r="KC35" s="153"/>
      <c r="KD35" s="153"/>
      <c r="KE35" s="153"/>
      <c r="KF35" s="153"/>
      <c r="KG35" s="153"/>
      <c r="KH35" s="153"/>
      <c r="KI35" s="153"/>
      <c r="KJ35" s="153"/>
      <c r="KK35" s="153"/>
      <c r="KL35" s="153"/>
      <c r="KM35" s="153"/>
      <c r="KN35" s="153"/>
      <c r="KO35" s="153"/>
      <c r="KP35" s="153"/>
      <c r="KQ35" s="153"/>
      <c r="KR35" s="153"/>
      <c r="KS35" s="153"/>
      <c r="KT35" s="153"/>
      <c r="KU35" s="153"/>
      <c r="KV35" s="153"/>
      <c r="KW35" s="153"/>
      <c r="KX35" s="153"/>
      <c r="KY35" s="153"/>
      <c r="KZ35" s="153"/>
      <c r="LA35" s="153"/>
      <c r="LB35" s="153"/>
      <c r="LC35" s="153"/>
      <c r="LD35" s="153"/>
      <c r="LE35" s="153"/>
      <c r="LF35" s="153"/>
      <c r="LG35" s="153"/>
      <c r="LH35" s="153"/>
      <c r="LI35" s="153"/>
      <c r="LJ35" s="153"/>
      <c r="LK35" s="153"/>
      <c r="LL35" s="153"/>
      <c r="LM35" s="153"/>
      <c r="LN35" s="153"/>
      <c r="LO35" s="153"/>
      <c r="LP35" s="153"/>
      <c r="LQ35" s="153"/>
      <c r="LR35" s="153"/>
      <c r="LS35" s="153"/>
      <c r="LT35" s="153"/>
      <c r="LU35" s="153"/>
      <c r="LV35" s="153"/>
      <c r="LW35" s="153"/>
      <c r="LX35" s="153"/>
      <c r="LY35" s="153"/>
      <c r="LZ35" s="153"/>
      <c r="MA35" s="153"/>
      <c r="MB35" s="153"/>
      <c r="MC35" s="153"/>
      <c r="MD35" s="153"/>
      <c r="ME35" s="153"/>
      <c r="MF35" s="153"/>
      <c r="MG35" s="153"/>
      <c r="MH35" s="153"/>
      <c r="MI35" s="153"/>
      <c r="MJ35" s="153"/>
      <c r="MK35" s="153"/>
      <c r="ML35" s="153"/>
      <c r="MM35" s="153"/>
      <c r="MN35" s="153"/>
      <c r="MO35" s="153"/>
      <c r="MP35" s="153"/>
      <c r="MQ35" s="153"/>
      <c r="MR35" s="153"/>
      <c r="MS35" s="153"/>
      <c r="MT35" s="153"/>
      <c r="MU35" s="153"/>
      <c r="MV35" s="153"/>
      <c r="MW35" s="153"/>
      <c r="MX35" s="153"/>
      <c r="MY35" s="153"/>
      <c r="MZ35" s="153"/>
      <c r="NA35" s="153"/>
      <c r="NB35" s="153"/>
      <c r="NC35" s="153"/>
      <c r="ND35" s="153"/>
      <c r="NE35" s="153"/>
      <c r="NF35" s="153"/>
      <c r="NG35" s="153"/>
      <c r="NH35" s="153"/>
      <c r="NI35" s="153"/>
      <c r="NJ35" s="153"/>
      <c r="NK35" s="153"/>
      <c r="NL35" s="153"/>
      <c r="NM35" s="153"/>
      <c r="NN35" s="153"/>
      <c r="NO35" s="153"/>
      <c r="NP35" s="153"/>
      <c r="NQ35" s="153"/>
      <c r="NR35" s="153"/>
      <c r="NS35" s="153"/>
      <c r="NT35" s="153"/>
      <c r="NU35" s="153"/>
      <c r="NV35" s="153"/>
      <c r="NW35" s="153"/>
      <c r="NX35" s="153"/>
      <c r="NY35" s="153"/>
      <c r="NZ35" s="153"/>
      <c r="OA35" s="153"/>
      <c r="OB35" s="153"/>
      <c r="OC35" s="153"/>
      <c r="OD35" s="153"/>
      <c r="OE35" s="153"/>
      <c r="OF35" s="153"/>
      <c r="OG35" s="153"/>
      <c r="OH35" s="153"/>
      <c r="OI35" s="153"/>
      <c r="OJ35" s="153"/>
      <c r="OK35" s="153"/>
      <c r="OL35" s="153"/>
      <c r="OM35" s="153"/>
      <c r="ON35" s="153"/>
      <c r="OO35" s="153"/>
      <c r="OP35" s="153"/>
      <c r="OQ35" s="153"/>
      <c r="OR35" s="153"/>
      <c r="OS35" s="153"/>
      <c r="OT35" s="153"/>
      <c r="OU35" s="153"/>
      <c r="OV35" s="153"/>
      <c r="OW35" s="153"/>
      <c r="OX35" s="153"/>
      <c r="OY35" s="153"/>
      <c r="OZ35" s="153"/>
      <c r="PA35" s="153"/>
      <c r="PB35" s="153"/>
      <c r="PC35" s="153"/>
      <c r="PD35" s="153"/>
      <c r="PE35" s="153"/>
      <c r="PF35" s="153"/>
      <c r="PG35" s="153"/>
      <c r="PH35" s="153"/>
      <c r="PI35" s="153"/>
      <c r="PJ35" s="153"/>
      <c r="PK35" s="153"/>
      <c r="PL35" s="153"/>
      <c r="PM35" s="153"/>
      <c r="PN35" s="153"/>
      <c r="PO35" s="153"/>
      <c r="PP35" s="153"/>
      <c r="PQ35" s="153"/>
      <c r="PR35" s="153"/>
      <c r="PS35" s="153"/>
      <c r="PT35" s="153"/>
      <c r="PU35" s="153"/>
      <c r="PV35" s="153"/>
      <c r="PW35" s="153"/>
      <c r="PX35" s="153"/>
      <c r="PY35" s="153"/>
      <c r="PZ35" s="153"/>
      <c r="QA35" s="153"/>
      <c r="QB35" s="153"/>
      <c r="QC35" s="153"/>
      <c r="QD35" s="153"/>
      <c r="QE35" s="153"/>
      <c r="QF35" s="153"/>
      <c r="QG35" s="153"/>
      <c r="QH35" s="153"/>
      <c r="QI35" s="153"/>
      <c r="QJ35" s="153"/>
      <c r="QK35" s="153"/>
      <c r="QL35" s="153"/>
      <c r="QM35" s="153"/>
      <c r="QN35" s="153"/>
      <c r="QO35" s="153"/>
      <c r="QP35" s="153"/>
      <c r="QQ35" s="153"/>
      <c r="QR35" s="153"/>
      <c r="QS35" s="153"/>
      <c r="QT35" s="153"/>
      <c r="QU35" s="153"/>
      <c r="QV35" s="153"/>
      <c r="QW35" s="153"/>
      <c r="QX35" s="153"/>
      <c r="QY35" s="153"/>
      <c r="QZ35" s="153"/>
      <c r="RA35" s="153"/>
      <c r="RB35" s="153"/>
      <c r="RC35" s="153"/>
      <c r="RD35" s="153"/>
      <c r="RE35" s="153"/>
      <c r="RF35" s="153"/>
      <c r="RG35" s="153"/>
      <c r="RH35" s="153"/>
      <c r="RI35" s="153"/>
      <c r="RJ35" s="153"/>
      <c r="RK35" s="153"/>
      <c r="RL35" s="153"/>
      <c r="RM35" s="153"/>
      <c r="RN35" s="153"/>
      <c r="RO35" s="153"/>
      <c r="RP35" s="153"/>
      <c r="RQ35" s="153"/>
      <c r="RR35" s="153"/>
      <c r="RS35" s="153"/>
      <c r="RT35" s="153"/>
      <c r="RU35" s="153"/>
      <c r="RV35" s="153"/>
      <c r="RW35" s="153"/>
      <c r="RX35" s="153"/>
      <c r="RY35" s="153"/>
      <c r="RZ35" s="153"/>
      <c r="SA35" s="153"/>
      <c r="SB35" s="153"/>
      <c r="SC35" s="153"/>
      <c r="SD35" s="153"/>
      <c r="SE35" s="153"/>
      <c r="SF35" s="153"/>
      <c r="SG35" s="153"/>
      <c r="SH35" s="153"/>
      <c r="SI35" s="153"/>
      <c r="SJ35" s="153"/>
      <c r="SK35" s="153"/>
      <c r="SL35" s="153"/>
      <c r="SM35" s="153"/>
      <c r="SN35" s="153"/>
      <c r="SO35" s="153"/>
      <c r="SP35" s="153"/>
      <c r="SQ35" s="153"/>
      <c r="SR35" s="153"/>
      <c r="SS35" s="153"/>
      <c r="ST35" s="153"/>
      <c r="SU35" s="153"/>
      <c r="SV35" s="153"/>
      <c r="SW35" s="153"/>
      <c r="SX35" s="153"/>
      <c r="SY35" s="153"/>
      <c r="SZ35" s="153"/>
      <c r="TA35" s="153"/>
      <c r="TB35" s="153"/>
      <c r="TC35" s="153"/>
      <c r="TD35" s="153"/>
      <c r="TE35" s="153"/>
      <c r="TF35" s="153"/>
      <c r="TG35" s="153"/>
      <c r="TH35" s="153"/>
      <c r="TI35" s="153"/>
      <c r="TJ35" s="153"/>
      <c r="TK35" s="153"/>
      <c r="TL35" s="153"/>
      <c r="TM35" s="153"/>
      <c r="TN35" s="153"/>
      <c r="TO35" s="153"/>
      <c r="TP35" s="153"/>
      <c r="TQ35" s="153"/>
      <c r="TR35" s="153"/>
      <c r="TS35" s="153"/>
      <c r="TT35" s="153"/>
      <c r="TU35" s="153"/>
      <c r="TV35" s="153"/>
      <c r="TW35" s="153"/>
      <c r="TX35" s="153"/>
      <c r="TY35" s="153"/>
      <c r="TZ35" s="153"/>
      <c r="UA35" s="153"/>
      <c r="UB35" s="153"/>
      <c r="UC35" s="153"/>
      <c r="UD35" s="153"/>
      <c r="UE35" s="153"/>
      <c r="UF35" s="153"/>
      <c r="UG35" s="153"/>
      <c r="UH35" s="153"/>
      <c r="UI35" s="153"/>
      <c r="UJ35" s="153"/>
      <c r="UK35" s="153"/>
      <c r="UL35" s="153"/>
      <c r="UM35" s="153"/>
      <c r="UN35" s="153"/>
      <c r="UO35" s="153"/>
      <c r="UP35" s="153"/>
      <c r="UQ35" s="153"/>
      <c r="UR35" s="153"/>
      <c r="US35" s="153"/>
      <c r="UT35" s="153"/>
      <c r="UU35" s="153"/>
      <c r="UV35" s="153"/>
      <c r="UW35" s="153"/>
      <c r="UX35" s="153"/>
      <c r="UY35" s="153"/>
      <c r="UZ35" s="153"/>
      <c r="VA35" s="153"/>
      <c r="VB35" s="153"/>
      <c r="VC35" s="153"/>
      <c r="VD35" s="153"/>
      <c r="VE35" s="153"/>
      <c r="VF35" s="153"/>
      <c r="VG35" s="153"/>
      <c r="VH35" s="153"/>
      <c r="VI35" s="153"/>
      <c r="VJ35" s="153"/>
      <c r="VK35" s="153"/>
      <c r="VL35" s="153"/>
      <c r="VM35" s="153"/>
      <c r="VN35" s="153"/>
      <c r="VO35" s="153"/>
      <c r="VP35" s="153"/>
      <c r="VQ35" s="153"/>
      <c r="VR35" s="153"/>
      <c r="VS35" s="153"/>
      <c r="VT35" s="153"/>
      <c r="VU35" s="153"/>
      <c r="VV35" s="153"/>
      <c r="VW35" s="153"/>
      <c r="VX35" s="153"/>
      <c r="VY35" s="153"/>
      <c r="VZ35" s="153"/>
      <c r="WA35" s="153"/>
      <c r="WB35" s="153"/>
      <c r="WC35" s="153"/>
      <c r="WD35" s="153"/>
      <c r="WE35" s="153"/>
      <c r="WF35" s="153"/>
      <c r="WG35" s="153"/>
      <c r="WH35" s="153"/>
      <c r="WI35" s="153"/>
      <c r="WJ35" s="153"/>
      <c r="WK35" s="153"/>
      <c r="WL35" s="153"/>
      <c r="WM35" s="153"/>
      <c r="WN35" s="153"/>
      <c r="WO35" s="153"/>
      <c r="WP35" s="153"/>
      <c r="WQ35" s="153"/>
      <c r="WR35" s="153"/>
      <c r="WS35" s="153"/>
      <c r="WT35" s="153"/>
      <c r="WU35" s="153"/>
      <c r="WV35" s="153"/>
      <c r="WW35" s="153"/>
      <c r="WX35" s="153"/>
      <c r="WY35" s="153"/>
      <c r="WZ35" s="153"/>
      <c r="XA35" s="153"/>
      <c r="XB35" s="153"/>
      <c r="XC35" s="153"/>
      <c r="XD35" s="153"/>
      <c r="XE35" s="153"/>
      <c r="XF35" s="153"/>
      <c r="XG35" s="153"/>
      <c r="XH35" s="153"/>
      <c r="XI35" s="153"/>
      <c r="XJ35" s="153"/>
      <c r="XK35" s="153"/>
      <c r="XL35" s="153"/>
      <c r="XM35" s="153"/>
      <c r="XN35" s="153"/>
      <c r="XO35" s="153"/>
      <c r="XP35" s="153"/>
      <c r="XQ35" s="153"/>
      <c r="XR35" s="153"/>
      <c r="XS35" s="153"/>
      <c r="XT35" s="153"/>
      <c r="XU35" s="153"/>
      <c r="XV35" s="153"/>
      <c r="XW35" s="153"/>
      <c r="XX35" s="153"/>
      <c r="XY35" s="153"/>
      <c r="XZ35" s="153"/>
      <c r="YA35" s="153"/>
      <c r="YB35" s="153"/>
      <c r="YC35" s="153"/>
      <c r="YD35" s="153"/>
      <c r="YE35" s="153"/>
      <c r="YF35" s="153"/>
      <c r="YG35" s="153"/>
      <c r="YH35" s="153"/>
      <c r="YI35" s="153"/>
      <c r="YJ35" s="153"/>
      <c r="YK35" s="153"/>
      <c r="YL35" s="153"/>
      <c r="YM35" s="153"/>
      <c r="YN35" s="153"/>
      <c r="YO35" s="153"/>
      <c r="YP35" s="153"/>
      <c r="YQ35" s="153"/>
      <c r="YR35" s="153"/>
      <c r="YS35" s="153"/>
      <c r="YT35" s="153"/>
      <c r="YU35" s="153"/>
      <c r="YV35" s="153"/>
      <c r="YW35" s="153"/>
      <c r="YX35" s="153"/>
      <c r="YY35" s="153"/>
      <c r="YZ35" s="153"/>
      <c r="ZA35" s="153"/>
      <c r="ZB35" s="153"/>
      <c r="ZC35" s="153"/>
      <c r="ZD35" s="153"/>
      <c r="ZE35" s="153"/>
      <c r="ZF35" s="153"/>
      <c r="ZG35" s="153"/>
      <c r="ZH35" s="153"/>
      <c r="ZI35" s="153"/>
      <c r="ZJ35" s="153"/>
      <c r="ZK35" s="153"/>
      <c r="ZL35" s="153"/>
      <c r="ZM35" s="153"/>
      <c r="ZN35" s="153"/>
      <c r="ZO35" s="153"/>
      <c r="ZP35" s="153"/>
      <c r="ZQ35" s="153"/>
      <c r="ZR35" s="153"/>
      <c r="ZS35" s="153"/>
      <c r="ZT35" s="153"/>
      <c r="ZU35" s="153"/>
      <c r="ZV35" s="153"/>
      <c r="ZW35" s="153"/>
      <c r="ZX35" s="153"/>
      <c r="ZY35" s="153"/>
      <c r="ZZ35" s="153"/>
      <c r="AAA35" s="153"/>
      <c r="AAB35" s="153"/>
      <c r="AAC35" s="153"/>
      <c r="AAD35" s="153"/>
      <c r="AAE35" s="153"/>
      <c r="AAF35" s="153"/>
      <c r="AAG35" s="153"/>
      <c r="AAH35" s="153"/>
      <c r="AAI35" s="153"/>
      <c r="AAJ35" s="153"/>
      <c r="AAK35" s="153"/>
      <c r="AAL35" s="153"/>
      <c r="AAM35" s="153"/>
      <c r="AAN35" s="153"/>
      <c r="AAO35" s="153"/>
      <c r="AAP35" s="153"/>
      <c r="AAQ35" s="153"/>
      <c r="AAR35" s="153"/>
      <c r="AAS35" s="153"/>
      <c r="AAT35" s="153"/>
      <c r="AAU35" s="153"/>
      <c r="AAV35" s="153"/>
      <c r="AAW35" s="153"/>
      <c r="AAX35" s="153"/>
      <c r="AAY35" s="153"/>
      <c r="AAZ35" s="153"/>
      <c r="ABA35" s="153"/>
      <c r="ABB35" s="153"/>
      <c r="ABC35" s="153"/>
      <c r="ABD35" s="153"/>
      <c r="ABE35" s="153"/>
      <c r="ABF35" s="153"/>
      <c r="ABG35" s="153"/>
      <c r="ABH35" s="153"/>
      <c r="ABI35" s="153"/>
      <c r="ABJ35" s="153"/>
      <c r="ABK35" s="153"/>
      <c r="ABL35" s="153"/>
      <c r="ABM35" s="153"/>
      <c r="ABN35" s="153"/>
      <c r="ABO35" s="153"/>
      <c r="ABP35" s="153"/>
      <c r="ABQ35" s="153"/>
      <c r="ABR35" s="153"/>
      <c r="ABS35" s="153"/>
      <c r="ABT35" s="153"/>
      <c r="ABU35" s="153"/>
      <c r="ABV35" s="153"/>
      <c r="ABW35" s="153"/>
      <c r="ABX35" s="153"/>
      <c r="ABY35" s="153"/>
      <c r="ABZ35" s="153"/>
      <c r="ACA35" s="153"/>
      <c r="ACB35" s="153"/>
      <c r="ACC35" s="153"/>
      <c r="ACD35" s="153"/>
      <c r="ACE35" s="153"/>
      <c r="ACF35" s="153"/>
      <c r="ACG35" s="153"/>
      <c r="ACH35" s="153"/>
      <c r="ACI35" s="153"/>
      <c r="ACJ35" s="153"/>
      <c r="ACK35" s="153"/>
      <c r="ACL35" s="153"/>
      <c r="ACM35" s="153"/>
      <c r="ACN35" s="153"/>
      <c r="ACO35" s="153"/>
      <c r="ACP35" s="153"/>
      <c r="ACQ35" s="153"/>
      <c r="ACR35" s="153"/>
      <c r="ACS35" s="153"/>
      <c r="ACT35" s="153"/>
      <c r="ACU35" s="153"/>
      <c r="ACV35" s="153"/>
      <c r="ACW35" s="153"/>
      <c r="ACX35" s="153"/>
      <c r="ACY35" s="153"/>
      <c r="ACZ35" s="153"/>
      <c r="ADA35" s="153"/>
      <c r="ADB35" s="153"/>
      <c r="ADC35" s="153"/>
      <c r="ADD35" s="153"/>
      <c r="ADE35" s="153"/>
      <c r="ADF35" s="153"/>
      <c r="ADG35" s="153"/>
      <c r="ADH35" s="153"/>
      <c r="ADI35" s="153"/>
      <c r="ADJ35" s="153"/>
      <c r="ADK35" s="153"/>
      <c r="ADL35" s="153"/>
      <c r="ADM35" s="153"/>
      <c r="ADN35" s="153"/>
      <c r="ADO35" s="153"/>
      <c r="ADP35" s="153"/>
      <c r="ADQ35" s="153"/>
      <c r="ADR35" s="153"/>
      <c r="ADS35" s="153"/>
      <c r="ADT35" s="153"/>
      <c r="ADU35" s="153"/>
      <c r="ADV35" s="153"/>
      <c r="ADW35" s="153"/>
      <c r="ADX35" s="153"/>
      <c r="ADY35" s="153"/>
      <c r="ADZ35" s="153"/>
      <c r="AEA35" s="153"/>
      <c r="AEB35" s="153"/>
      <c r="AEC35" s="153"/>
      <c r="AED35" s="153"/>
      <c r="AEE35" s="153"/>
      <c r="AEF35" s="153"/>
      <c r="AEG35" s="153"/>
      <c r="AEH35" s="153"/>
      <c r="AEI35" s="153"/>
      <c r="AEJ35" s="153"/>
      <c r="AEK35" s="153"/>
      <c r="AEL35" s="153"/>
      <c r="AEM35" s="153"/>
      <c r="AEN35" s="153"/>
      <c r="AEO35" s="153"/>
      <c r="AEP35" s="153"/>
      <c r="AEQ35" s="153"/>
      <c r="AER35" s="153"/>
      <c r="AES35" s="153"/>
      <c r="AET35" s="153"/>
      <c r="AEU35" s="153"/>
      <c r="AEV35" s="153"/>
      <c r="AEW35" s="153"/>
      <c r="AEX35" s="153"/>
      <c r="AEY35" s="153"/>
      <c r="AEZ35" s="153"/>
      <c r="AFA35" s="153"/>
      <c r="AFB35" s="153"/>
      <c r="AFC35" s="153"/>
      <c r="AFD35" s="153"/>
      <c r="AFE35" s="153"/>
      <c r="AFF35" s="153"/>
      <c r="AFG35" s="153"/>
      <c r="AFH35" s="153"/>
      <c r="AFI35" s="153"/>
      <c r="AFJ35" s="153"/>
      <c r="AFK35" s="153"/>
      <c r="AFL35" s="153"/>
      <c r="AFM35" s="153"/>
      <c r="AFN35" s="153"/>
      <c r="AFO35" s="153"/>
      <c r="AFP35" s="153"/>
      <c r="AFQ35" s="153"/>
      <c r="AFR35" s="153"/>
      <c r="AFS35" s="153"/>
      <c r="AFT35" s="153"/>
      <c r="AFU35" s="153"/>
      <c r="AFV35" s="153"/>
      <c r="AFW35" s="153"/>
      <c r="AFX35" s="153"/>
      <c r="AFY35" s="153"/>
      <c r="AFZ35" s="153"/>
      <c r="AGA35" s="153"/>
      <c r="AGB35" s="153"/>
      <c r="AGC35" s="153"/>
      <c r="AGD35" s="153"/>
      <c r="AGE35" s="153"/>
      <c r="AGF35" s="153"/>
      <c r="AGG35" s="153"/>
      <c r="AGH35" s="153"/>
      <c r="AGI35" s="153"/>
      <c r="AGJ35" s="153"/>
      <c r="AGK35" s="153"/>
      <c r="AGL35" s="153"/>
      <c r="AGM35" s="153"/>
      <c r="AGN35" s="153"/>
      <c r="AGO35" s="153"/>
      <c r="AGP35" s="153"/>
      <c r="AGQ35" s="153"/>
      <c r="AGR35" s="153"/>
      <c r="AGS35" s="153"/>
      <c r="AGT35" s="153"/>
      <c r="AGU35" s="153"/>
      <c r="AGV35" s="153"/>
      <c r="AGW35" s="153"/>
      <c r="AGX35" s="153"/>
      <c r="AGY35" s="153"/>
      <c r="AGZ35" s="153"/>
      <c r="AHA35" s="153"/>
      <c r="AHB35" s="153"/>
      <c r="AHC35" s="153"/>
      <c r="AHD35" s="153"/>
      <c r="AHE35" s="153"/>
      <c r="AHF35" s="153"/>
      <c r="AHG35" s="153"/>
      <c r="AHH35" s="153"/>
      <c r="AHI35" s="153"/>
      <c r="AHJ35" s="153"/>
      <c r="AHK35" s="153"/>
      <c r="AHL35" s="153"/>
      <c r="AHM35" s="153"/>
      <c r="AHN35" s="153"/>
      <c r="AHO35" s="153"/>
      <c r="AHP35" s="153"/>
      <c r="AHQ35" s="153"/>
      <c r="AHR35" s="153"/>
      <c r="AHS35" s="153"/>
      <c r="AHT35" s="153"/>
      <c r="AHU35" s="153"/>
      <c r="AHV35" s="153"/>
      <c r="AHW35" s="153"/>
      <c r="AHX35" s="153"/>
      <c r="AHY35" s="153"/>
      <c r="AHZ35" s="153"/>
      <c r="AIA35" s="153"/>
      <c r="AIB35" s="153"/>
      <c r="AIC35" s="153"/>
      <c r="AID35" s="153"/>
      <c r="AIE35" s="153"/>
      <c r="AIF35" s="153"/>
      <c r="AIG35" s="153"/>
      <c r="AIH35" s="153"/>
      <c r="AII35" s="153"/>
      <c r="AIJ35" s="153"/>
      <c r="AIK35" s="153"/>
      <c r="AIL35" s="153"/>
      <c r="AIM35" s="153"/>
      <c r="AIN35" s="153"/>
      <c r="AIO35" s="153"/>
      <c r="AIP35" s="153"/>
      <c r="AIQ35" s="153"/>
      <c r="AIR35" s="153"/>
      <c r="AIS35" s="153"/>
      <c r="AIT35" s="153"/>
      <c r="AIU35" s="153"/>
      <c r="AIV35" s="153"/>
      <c r="AIW35" s="153"/>
      <c r="AIX35" s="153"/>
      <c r="AIY35" s="153"/>
      <c r="AIZ35" s="153"/>
      <c r="AJA35" s="153"/>
      <c r="AJB35" s="153"/>
      <c r="AJC35" s="153"/>
      <c r="AJD35" s="153"/>
      <c r="AJE35" s="153"/>
      <c r="AJF35" s="153"/>
      <c r="AJG35" s="153"/>
      <c r="AJH35" s="153"/>
      <c r="AJI35" s="153"/>
      <c r="AJJ35" s="153"/>
      <c r="AJK35" s="153"/>
      <c r="AJL35" s="153"/>
      <c r="AJM35" s="153"/>
      <c r="AJN35" s="153"/>
      <c r="AJO35" s="153"/>
      <c r="AJP35" s="153"/>
      <c r="AJQ35" s="153"/>
      <c r="AJR35" s="153"/>
      <c r="AJS35" s="153"/>
      <c r="AJT35" s="153"/>
      <c r="AJU35" s="153"/>
      <c r="AJV35" s="153"/>
      <c r="AJW35" s="153"/>
      <c r="AJX35" s="153"/>
      <c r="AJY35" s="153"/>
      <c r="AJZ35" s="153"/>
      <c r="AKA35" s="153"/>
      <c r="AKB35" s="153"/>
      <c r="AKC35" s="153"/>
      <c r="AKD35" s="153"/>
      <c r="AKE35" s="153"/>
      <c r="AKF35" s="153"/>
      <c r="AKG35" s="153"/>
      <c r="AKH35" s="153"/>
      <c r="AKI35" s="153"/>
      <c r="AKJ35" s="153"/>
      <c r="AKK35" s="153"/>
      <c r="AKL35" s="153"/>
      <c r="AKM35" s="153"/>
      <c r="AKN35" s="153"/>
      <c r="AKO35" s="153"/>
      <c r="AKP35" s="153"/>
      <c r="AKQ35" s="153"/>
      <c r="AKR35" s="153"/>
      <c r="AKS35" s="153"/>
      <c r="AKT35" s="153"/>
      <c r="AKU35" s="153"/>
      <c r="AKV35" s="153"/>
      <c r="AKW35" s="153"/>
      <c r="AKX35" s="153"/>
      <c r="AKY35" s="153"/>
      <c r="AKZ35" s="153"/>
      <c r="ALA35" s="153"/>
      <c r="ALB35" s="153"/>
      <c r="ALC35" s="153"/>
      <c r="ALD35" s="153"/>
      <c r="ALE35" s="153"/>
      <c r="ALF35" s="153"/>
      <c r="ALG35" s="153"/>
      <c r="ALH35" s="153"/>
      <c r="ALI35" s="153"/>
      <c r="ALJ35" s="153"/>
      <c r="ALK35" s="153"/>
      <c r="ALL35" s="153"/>
      <c r="ALM35" s="153"/>
      <c r="ALN35" s="153"/>
      <c r="ALO35" s="153"/>
      <c r="ALP35" s="153"/>
      <c r="ALQ35" s="153"/>
      <c r="ALR35" s="153"/>
      <c r="ALS35" s="153"/>
      <c r="ALT35" s="153"/>
      <c r="ALU35" s="153"/>
      <c r="ALV35" s="153"/>
      <c r="ALW35" s="153"/>
      <c r="ALX35" s="153"/>
      <c r="ALY35" s="153"/>
      <c r="ALZ35" s="153"/>
      <c r="AMA35" s="153"/>
      <c r="AMB35" s="153"/>
      <c r="AMC35" s="153"/>
      <c r="AMD35" s="153"/>
      <c r="AME35" s="153"/>
      <c r="AMF35" s="153"/>
      <c r="AMG35" s="153"/>
      <c r="AMH35" s="153"/>
      <c r="AMI35" s="153"/>
      <c r="AMJ35" s="153"/>
      <c r="AMK35" s="153"/>
    </row>
    <row r="36" spans="1:1025" s="417" customFormat="1" ht="11.25" x14ac:dyDescent="0.2">
      <c r="A36" s="153"/>
      <c r="B36" s="389"/>
      <c r="C36" s="389"/>
      <c r="D36" s="389"/>
      <c r="E36" s="389"/>
      <c r="F36" s="389"/>
      <c r="G36" s="153"/>
      <c r="H36" s="393" t="s">
        <v>853</v>
      </c>
      <c r="I36" s="388">
        <f>B33</f>
        <v>1065.97</v>
      </c>
      <c r="J36" s="388">
        <f>C33</f>
        <v>58364.08</v>
      </c>
      <c r="K36" s="235"/>
      <c r="L36" s="405">
        <f>SUM(I36:K36)</f>
        <v>59430.05</v>
      </c>
      <c r="M36" s="153"/>
      <c r="N36" s="153"/>
      <c r="O36" s="153"/>
      <c r="P36" s="395"/>
      <c r="Q36" s="336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53"/>
      <c r="CT36" s="153"/>
      <c r="CU36" s="153"/>
      <c r="CV36" s="153"/>
      <c r="CW36" s="153"/>
      <c r="CX36" s="153"/>
      <c r="CY36" s="153"/>
      <c r="CZ36" s="153"/>
      <c r="DA36" s="153"/>
      <c r="DB36" s="153"/>
      <c r="DC36" s="153"/>
      <c r="DD36" s="153"/>
      <c r="DE36" s="153"/>
      <c r="DF36" s="153"/>
      <c r="DG36" s="153"/>
      <c r="DH36" s="153"/>
      <c r="DI36" s="153"/>
      <c r="DJ36" s="153"/>
      <c r="DK36" s="153"/>
      <c r="DL36" s="153"/>
      <c r="DM36" s="153"/>
      <c r="DN36" s="153"/>
      <c r="DO36" s="153"/>
      <c r="DP36" s="153"/>
      <c r="DQ36" s="153"/>
      <c r="DR36" s="153"/>
      <c r="DS36" s="153"/>
      <c r="DT36" s="153"/>
      <c r="DU36" s="153"/>
      <c r="DV36" s="153"/>
      <c r="DW36" s="153"/>
      <c r="DX36" s="153"/>
      <c r="DY36" s="153"/>
      <c r="DZ36" s="153"/>
      <c r="EA36" s="153"/>
      <c r="EB36" s="153"/>
      <c r="EC36" s="153"/>
      <c r="ED36" s="153"/>
      <c r="EE36" s="153"/>
      <c r="EF36" s="153"/>
      <c r="EG36" s="153"/>
      <c r="EH36" s="153"/>
      <c r="EI36" s="153"/>
      <c r="EJ36" s="153"/>
      <c r="EK36" s="153"/>
      <c r="EL36" s="153"/>
      <c r="EM36" s="153"/>
      <c r="EN36" s="153"/>
      <c r="EO36" s="153"/>
      <c r="EP36" s="153"/>
      <c r="EQ36" s="153"/>
      <c r="ER36" s="153"/>
      <c r="ES36" s="153"/>
      <c r="ET36" s="153"/>
      <c r="EU36" s="153"/>
      <c r="EV36" s="153"/>
      <c r="EW36" s="153"/>
      <c r="EX36" s="153"/>
      <c r="EY36" s="153"/>
      <c r="EZ36" s="153"/>
      <c r="FA36" s="153"/>
      <c r="FB36" s="153"/>
      <c r="FC36" s="153"/>
      <c r="FD36" s="153"/>
      <c r="FE36" s="153"/>
      <c r="FF36" s="153"/>
      <c r="FG36" s="153"/>
      <c r="FH36" s="153"/>
      <c r="FI36" s="153"/>
      <c r="FJ36" s="153"/>
      <c r="FK36" s="153"/>
      <c r="FL36" s="153"/>
      <c r="FM36" s="153"/>
      <c r="FN36" s="153"/>
      <c r="FO36" s="153"/>
      <c r="FP36" s="153"/>
      <c r="FQ36" s="153"/>
      <c r="FR36" s="153"/>
      <c r="FS36" s="153"/>
      <c r="FT36" s="153"/>
      <c r="FU36" s="153"/>
      <c r="FV36" s="153"/>
      <c r="FW36" s="153"/>
      <c r="FX36" s="153"/>
      <c r="FY36" s="153"/>
      <c r="FZ36" s="153"/>
      <c r="GA36" s="153"/>
      <c r="GB36" s="153"/>
      <c r="GC36" s="153"/>
      <c r="GD36" s="153"/>
      <c r="GE36" s="153"/>
      <c r="GF36" s="153"/>
      <c r="GG36" s="153"/>
      <c r="GH36" s="153"/>
      <c r="GI36" s="153"/>
      <c r="GJ36" s="153"/>
      <c r="GK36" s="153"/>
      <c r="GL36" s="153"/>
      <c r="GM36" s="153"/>
      <c r="GN36" s="153"/>
      <c r="GO36" s="153"/>
      <c r="GP36" s="153"/>
      <c r="GQ36" s="153"/>
      <c r="GR36" s="153"/>
      <c r="GS36" s="153"/>
      <c r="GT36" s="153"/>
      <c r="GU36" s="153"/>
      <c r="GV36" s="153"/>
      <c r="GW36" s="153"/>
      <c r="GX36" s="153"/>
      <c r="GY36" s="153"/>
      <c r="GZ36" s="153"/>
      <c r="HA36" s="153"/>
      <c r="HB36" s="153"/>
      <c r="HC36" s="153"/>
      <c r="HD36" s="153"/>
      <c r="HE36" s="153"/>
      <c r="HF36" s="153"/>
      <c r="HG36" s="153"/>
      <c r="HH36" s="153"/>
      <c r="HI36" s="153"/>
      <c r="HJ36" s="153"/>
      <c r="HK36" s="153"/>
      <c r="HL36" s="153"/>
      <c r="HM36" s="153"/>
      <c r="HN36" s="153"/>
      <c r="HO36" s="153"/>
      <c r="HP36" s="153"/>
      <c r="HQ36" s="153"/>
      <c r="HR36" s="153"/>
      <c r="HS36" s="153"/>
      <c r="HT36" s="153"/>
      <c r="HU36" s="153"/>
      <c r="HV36" s="153"/>
      <c r="HW36" s="153"/>
      <c r="HX36" s="153"/>
      <c r="HY36" s="153"/>
      <c r="HZ36" s="153"/>
      <c r="IA36" s="153"/>
      <c r="IB36" s="153"/>
      <c r="IC36" s="153"/>
      <c r="ID36" s="153"/>
      <c r="IE36" s="153"/>
      <c r="IF36" s="153"/>
      <c r="IG36" s="153"/>
      <c r="IH36" s="153"/>
      <c r="II36" s="153"/>
      <c r="IJ36" s="153"/>
      <c r="IK36" s="153"/>
      <c r="IL36" s="153"/>
      <c r="IM36" s="153"/>
      <c r="IN36" s="153"/>
      <c r="IO36" s="153"/>
      <c r="IP36" s="153"/>
      <c r="IQ36" s="153"/>
      <c r="IR36" s="153"/>
      <c r="IS36" s="153"/>
      <c r="IT36" s="153"/>
      <c r="IU36" s="153"/>
      <c r="IV36" s="153"/>
      <c r="IW36" s="153"/>
      <c r="IX36" s="153"/>
      <c r="IY36" s="153"/>
      <c r="IZ36" s="153"/>
      <c r="JA36" s="153"/>
      <c r="JB36" s="153"/>
      <c r="JC36" s="153"/>
      <c r="JD36" s="153"/>
      <c r="JE36" s="153"/>
      <c r="JF36" s="153"/>
      <c r="JG36" s="153"/>
      <c r="JH36" s="153"/>
      <c r="JI36" s="153"/>
      <c r="JJ36" s="153"/>
      <c r="JK36" s="153"/>
      <c r="JL36" s="153"/>
      <c r="JM36" s="153"/>
      <c r="JN36" s="153"/>
      <c r="JO36" s="153"/>
      <c r="JP36" s="153"/>
      <c r="JQ36" s="153"/>
      <c r="JR36" s="153"/>
      <c r="JS36" s="153"/>
      <c r="JT36" s="153"/>
      <c r="JU36" s="153"/>
      <c r="JV36" s="153"/>
      <c r="JW36" s="153"/>
      <c r="JX36" s="153"/>
      <c r="JY36" s="153"/>
      <c r="JZ36" s="153"/>
      <c r="KA36" s="153"/>
      <c r="KB36" s="153"/>
      <c r="KC36" s="153"/>
      <c r="KD36" s="153"/>
      <c r="KE36" s="153"/>
      <c r="KF36" s="153"/>
      <c r="KG36" s="153"/>
      <c r="KH36" s="153"/>
      <c r="KI36" s="153"/>
      <c r="KJ36" s="153"/>
      <c r="KK36" s="153"/>
      <c r="KL36" s="153"/>
      <c r="KM36" s="153"/>
      <c r="KN36" s="153"/>
      <c r="KO36" s="153"/>
      <c r="KP36" s="153"/>
      <c r="KQ36" s="153"/>
      <c r="KR36" s="153"/>
      <c r="KS36" s="153"/>
      <c r="KT36" s="153"/>
      <c r="KU36" s="153"/>
      <c r="KV36" s="153"/>
      <c r="KW36" s="153"/>
      <c r="KX36" s="153"/>
      <c r="KY36" s="153"/>
      <c r="KZ36" s="153"/>
      <c r="LA36" s="153"/>
      <c r="LB36" s="153"/>
      <c r="LC36" s="153"/>
      <c r="LD36" s="153"/>
      <c r="LE36" s="153"/>
      <c r="LF36" s="153"/>
      <c r="LG36" s="153"/>
      <c r="LH36" s="153"/>
      <c r="LI36" s="153"/>
      <c r="LJ36" s="153"/>
      <c r="LK36" s="153"/>
      <c r="LL36" s="153"/>
      <c r="LM36" s="153"/>
      <c r="LN36" s="153"/>
      <c r="LO36" s="153"/>
      <c r="LP36" s="153"/>
      <c r="LQ36" s="153"/>
      <c r="LR36" s="153"/>
      <c r="LS36" s="153"/>
      <c r="LT36" s="153"/>
      <c r="LU36" s="153"/>
      <c r="LV36" s="153"/>
      <c r="LW36" s="153"/>
      <c r="LX36" s="153"/>
      <c r="LY36" s="153"/>
      <c r="LZ36" s="153"/>
      <c r="MA36" s="153"/>
      <c r="MB36" s="153"/>
      <c r="MC36" s="153"/>
      <c r="MD36" s="153"/>
      <c r="ME36" s="153"/>
      <c r="MF36" s="153"/>
      <c r="MG36" s="153"/>
      <c r="MH36" s="153"/>
      <c r="MI36" s="153"/>
      <c r="MJ36" s="153"/>
      <c r="MK36" s="153"/>
      <c r="ML36" s="153"/>
      <c r="MM36" s="153"/>
      <c r="MN36" s="153"/>
      <c r="MO36" s="153"/>
      <c r="MP36" s="153"/>
      <c r="MQ36" s="153"/>
      <c r="MR36" s="153"/>
      <c r="MS36" s="153"/>
      <c r="MT36" s="153"/>
      <c r="MU36" s="153"/>
      <c r="MV36" s="153"/>
      <c r="MW36" s="153"/>
      <c r="MX36" s="153"/>
      <c r="MY36" s="153"/>
      <c r="MZ36" s="153"/>
      <c r="NA36" s="153"/>
      <c r="NB36" s="153"/>
      <c r="NC36" s="153"/>
      <c r="ND36" s="153"/>
      <c r="NE36" s="153"/>
      <c r="NF36" s="153"/>
      <c r="NG36" s="153"/>
      <c r="NH36" s="153"/>
      <c r="NI36" s="153"/>
      <c r="NJ36" s="153"/>
      <c r="NK36" s="153"/>
      <c r="NL36" s="153"/>
      <c r="NM36" s="153"/>
      <c r="NN36" s="153"/>
      <c r="NO36" s="153"/>
      <c r="NP36" s="153"/>
      <c r="NQ36" s="153"/>
      <c r="NR36" s="153"/>
      <c r="NS36" s="153"/>
      <c r="NT36" s="153"/>
      <c r="NU36" s="153"/>
      <c r="NV36" s="153"/>
      <c r="NW36" s="153"/>
      <c r="NX36" s="153"/>
      <c r="NY36" s="153"/>
      <c r="NZ36" s="153"/>
      <c r="OA36" s="153"/>
      <c r="OB36" s="153"/>
      <c r="OC36" s="153"/>
      <c r="OD36" s="153"/>
      <c r="OE36" s="153"/>
      <c r="OF36" s="153"/>
      <c r="OG36" s="153"/>
      <c r="OH36" s="153"/>
      <c r="OI36" s="153"/>
      <c r="OJ36" s="153"/>
      <c r="OK36" s="153"/>
      <c r="OL36" s="153"/>
      <c r="OM36" s="153"/>
      <c r="ON36" s="153"/>
      <c r="OO36" s="153"/>
      <c r="OP36" s="153"/>
      <c r="OQ36" s="153"/>
      <c r="OR36" s="153"/>
      <c r="OS36" s="153"/>
      <c r="OT36" s="153"/>
      <c r="OU36" s="153"/>
      <c r="OV36" s="153"/>
      <c r="OW36" s="153"/>
      <c r="OX36" s="153"/>
      <c r="OY36" s="153"/>
      <c r="OZ36" s="153"/>
      <c r="PA36" s="153"/>
      <c r="PB36" s="153"/>
      <c r="PC36" s="153"/>
      <c r="PD36" s="153"/>
      <c r="PE36" s="153"/>
      <c r="PF36" s="153"/>
      <c r="PG36" s="153"/>
      <c r="PH36" s="153"/>
      <c r="PI36" s="153"/>
      <c r="PJ36" s="153"/>
      <c r="PK36" s="153"/>
      <c r="PL36" s="153"/>
      <c r="PM36" s="153"/>
      <c r="PN36" s="153"/>
      <c r="PO36" s="153"/>
      <c r="PP36" s="153"/>
      <c r="PQ36" s="153"/>
      <c r="PR36" s="153"/>
      <c r="PS36" s="153"/>
      <c r="PT36" s="153"/>
      <c r="PU36" s="153"/>
      <c r="PV36" s="153"/>
      <c r="PW36" s="153"/>
      <c r="PX36" s="153"/>
      <c r="PY36" s="153"/>
      <c r="PZ36" s="153"/>
      <c r="QA36" s="153"/>
      <c r="QB36" s="153"/>
      <c r="QC36" s="153"/>
      <c r="QD36" s="153"/>
      <c r="QE36" s="153"/>
      <c r="QF36" s="153"/>
      <c r="QG36" s="153"/>
      <c r="QH36" s="153"/>
      <c r="QI36" s="153"/>
      <c r="QJ36" s="153"/>
      <c r="QK36" s="153"/>
      <c r="QL36" s="153"/>
      <c r="QM36" s="153"/>
      <c r="QN36" s="153"/>
      <c r="QO36" s="153"/>
      <c r="QP36" s="153"/>
      <c r="QQ36" s="153"/>
      <c r="QR36" s="153"/>
      <c r="QS36" s="153"/>
      <c r="QT36" s="153"/>
      <c r="QU36" s="153"/>
      <c r="QV36" s="153"/>
      <c r="QW36" s="153"/>
      <c r="QX36" s="153"/>
      <c r="QY36" s="153"/>
      <c r="QZ36" s="153"/>
      <c r="RA36" s="153"/>
      <c r="RB36" s="153"/>
      <c r="RC36" s="153"/>
      <c r="RD36" s="153"/>
      <c r="RE36" s="153"/>
      <c r="RF36" s="153"/>
      <c r="RG36" s="153"/>
      <c r="RH36" s="153"/>
      <c r="RI36" s="153"/>
      <c r="RJ36" s="153"/>
      <c r="RK36" s="153"/>
      <c r="RL36" s="153"/>
      <c r="RM36" s="153"/>
      <c r="RN36" s="153"/>
      <c r="RO36" s="153"/>
      <c r="RP36" s="153"/>
      <c r="RQ36" s="153"/>
      <c r="RR36" s="153"/>
      <c r="RS36" s="153"/>
      <c r="RT36" s="153"/>
      <c r="RU36" s="153"/>
      <c r="RV36" s="153"/>
      <c r="RW36" s="153"/>
      <c r="RX36" s="153"/>
      <c r="RY36" s="153"/>
      <c r="RZ36" s="153"/>
      <c r="SA36" s="153"/>
      <c r="SB36" s="153"/>
      <c r="SC36" s="153"/>
      <c r="SD36" s="153"/>
      <c r="SE36" s="153"/>
      <c r="SF36" s="153"/>
      <c r="SG36" s="153"/>
      <c r="SH36" s="153"/>
      <c r="SI36" s="153"/>
      <c r="SJ36" s="153"/>
      <c r="SK36" s="153"/>
      <c r="SL36" s="153"/>
      <c r="SM36" s="153"/>
      <c r="SN36" s="153"/>
      <c r="SO36" s="153"/>
      <c r="SP36" s="153"/>
      <c r="SQ36" s="153"/>
      <c r="SR36" s="153"/>
      <c r="SS36" s="153"/>
      <c r="ST36" s="153"/>
      <c r="SU36" s="153"/>
      <c r="SV36" s="153"/>
      <c r="SW36" s="153"/>
      <c r="SX36" s="153"/>
      <c r="SY36" s="153"/>
      <c r="SZ36" s="153"/>
      <c r="TA36" s="153"/>
      <c r="TB36" s="153"/>
      <c r="TC36" s="153"/>
      <c r="TD36" s="153"/>
      <c r="TE36" s="153"/>
      <c r="TF36" s="153"/>
      <c r="TG36" s="153"/>
      <c r="TH36" s="153"/>
      <c r="TI36" s="153"/>
      <c r="TJ36" s="153"/>
      <c r="TK36" s="153"/>
      <c r="TL36" s="153"/>
      <c r="TM36" s="153"/>
      <c r="TN36" s="153"/>
      <c r="TO36" s="153"/>
      <c r="TP36" s="153"/>
      <c r="TQ36" s="153"/>
      <c r="TR36" s="153"/>
      <c r="TS36" s="153"/>
      <c r="TT36" s="153"/>
      <c r="TU36" s="153"/>
      <c r="TV36" s="153"/>
      <c r="TW36" s="153"/>
      <c r="TX36" s="153"/>
      <c r="TY36" s="153"/>
      <c r="TZ36" s="153"/>
      <c r="UA36" s="153"/>
      <c r="UB36" s="153"/>
      <c r="UC36" s="153"/>
      <c r="UD36" s="153"/>
      <c r="UE36" s="153"/>
      <c r="UF36" s="153"/>
      <c r="UG36" s="153"/>
      <c r="UH36" s="153"/>
      <c r="UI36" s="153"/>
      <c r="UJ36" s="153"/>
      <c r="UK36" s="153"/>
      <c r="UL36" s="153"/>
      <c r="UM36" s="153"/>
      <c r="UN36" s="153"/>
      <c r="UO36" s="153"/>
      <c r="UP36" s="153"/>
      <c r="UQ36" s="153"/>
      <c r="UR36" s="153"/>
      <c r="US36" s="153"/>
      <c r="UT36" s="153"/>
      <c r="UU36" s="153"/>
      <c r="UV36" s="153"/>
      <c r="UW36" s="153"/>
      <c r="UX36" s="153"/>
      <c r="UY36" s="153"/>
      <c r="UZ36" s="153"/>
      <c r="VA36" s="153"/>
      <c r="VB36" s="153"/>
      <c r="VC36" s="153"/>
      <c r="VD36" s="153"/>
      <c r="VE36" s="153"/>
      <c r="VF36" s="153"/>
      <c r="VG36" s="153"/>
      <c r="VH36" s="153"/>
      <c r="VI36" s="153"/>
      <c r="VJ36" s="153"/>
      <c r="VK36" s="153"/>
      <c r="VL36" s="153"/>
      <c r="VM36" s="153"/>
      <c r="VN36" s="153"/>
      <c r="VO36" s="153"/>
      <c r="VP36" s="153"/>
      <c r="VQ36" s="153"/>
      <c r="VR36" s="153"/>
      <c r="VS36" s="153"/>
      <c r="VT36" s="153"/>
      <c r="VU36" s="153"/>
      <c r="VV36" s="153"/>
      <c r="VW36" s="153"/>
      <c r="VX36" s="153"/>
      <c r="VY36" s="153"/>
      <c r="VZ36" s="153"/>
      <c r="WA36" s="153"/>
      <c r="WB36" s="153"/>
      <c r="WC36" s="153"/>
      <c r="WD36" s="153"/>
      <c r="WE36" s="153"/>
      <c r="WF36" s="153"/>
      <c r="WG36" s="153"/>
      <c r="WH36" s="153"/>
      <c r="WI36" s="153"/>
      <c r="WJ36" s="153"/>
      <c r="WK36" s="153"/>
      <c r="WL36" s="153"/>
      <c r="WM36" s="153"/>
      <c r="WN36" s="153"/>
      <c r="WO36" s="153"/>
      <c r="WP36" s="153"/>
      <c r="WQ36" s="153"/>
      <c r="WR36" s="153"/>
      <c r="WS36" s="153"/>
      <c r="WT36" s="153"/>
      <c r="WU36" s="153"/>
      <c r="WV36" s="153"/>
      <c r="WW36" s="153"/>
      <c r="WX36" s="153"/>
      <c r="WY36" s="153"/>
      <c r="WZ36" s="153"/>
      <c r="XA36" s="153"/>
      <c r="XB36" s="153"/>
      <c r="XC36" s="153"/>
      <c r="XD36" s="153"/>
      <c r="XE36" s="153"/>
      <c r="XF36" s="153"/>
      <c r="XG36" s="153"/>
      <c r="XH36" s="153"/>
      <c r="XI36" s="153"/>
      <c r="XJ36" s="153"/>
      <c r="XK36" s="153"/>
      <c r="XL36" s="153"/>
      <c r="XM36" s="153"/>
      <c r="XN36" s="153"/>
      <c r="XO36" s="153"/>
      <c r="XP36" s="153"/>
      <c r="XQ36" s="153"/>
      <c r="XR36" s="153"/>
      <c r="XS36" s="153"/>
      <c r="XT36" s="153"/>
      <c r="XU36" s="153"/>
      <c r="XV36" s="153"/>
      <c r="XW36" s="153"/>
      <c r="XX36" s="153"/>
      <c r="XY36" s="153"/>
      <c r="XZ36" s="153"/>
      <c r="YA36" s="153"/>
      <c r="YB36" s="153"/>
      <c r="YC36" s="153"/>
      <c r="YD36" s="153"/>
      <c r="YE36" s="153"/>
      <c r="YF36" s="153"/>
      <c r="YG36" s="153"/>
      <c r="YH36" s="153"/>
      <c r="YI36" s="153"/>
      <c r="YJ36" s="153"/>
      <c r="YK36" s="153"/>
      <c r="YL36" s="153"/>
      <c r="YM36" s="153"/>
      <c r="YN36" s="153"/>
      <c r="YO36" s="153"/>
      <c r="YP36" s="153"/>
      <c r="YQ36" s="153"/>
      <c r="YR36" s="153"/>
      <c r="YS36" s="153"/>
      <c r="YT36" s="153"/>
      <c r="YU36" s="153"/>
      <c r="YV36" s="153"/>
      <c r="YW36" s="153"/>
      <c r="YX36" s="153"/>
      <c r="YY36" s="153"/>
      <c r="YZ36" s="153"/>
      <c r="ZA36" s="153"/>
      <c r="ZB36" s="153"/>
      <c r="ZC36" s="153"/>
      <c r="ZD36" s="153"/>
      <c r="ZE36" s="153"/>
      <c r="ZF36" s="153"/>
      <c r="ZG36" s="153"/>
      <c r="ZH36" s="153"/>
      <c r="ZI36" s="153"/>
      <c r="ZJ36" s="153"/>
      <c r="ZK36" s="153"/>
      <c r="ZL36" s="153"/>
      <c r="ZM36" s="153"/>
      <c r="ZN36" s="153"/>
      <c r="ZO36" s="153"/>
      <c r="ZP36" s="153"/>
      <c r="ZQ36" s="153"/>
      <c r="ZR36" s="153"/>
      <c r="ZS36" s="153"/>
      <c r="ZT36" s="153"/>
      <c r="ZU36" s="153"/>
      <c r="ZV36" s="153"/>
      <c r="ZW36" s="153"/>
      <c r="ZX36" s="153"/>
      <c r="ZY36" s="153"/>
      <c r="ZZ36" s="153"/>
      <c r="AAA36" s="153"/>
      <c r="AAB36" s="153"/>
      <c r="AAC36" s="153"/>
      <c r="AAD36" s="153"/>
      <c r="AAE36" s="153"/>
      <c r="AAF36" s="153"/>
      <c r="AAG36" s="153"/>
      <c r="AAH36" s="153"/>
      <c r="AAI36" s="153"/>
      <c r="AAJ36" s="153"/>
      <c r="AAK36" s="153"/>
      <c r="AAL36" s="153"/>
      <c r="AAM36" s="153"/>
      <c r="AAN36" s="153"/>
      <c r="AAO36" s="153"/>
      <c r="AAP36" s="153"/>
      <c r="AAQ36" s="153"/>
      <c r="AAR36" s="153"/>
      <c r="AAS36" s="153"/>
      <c r="AAT36" s="153"/>
      <c r="AAU36" s="153"/>
      <c r="AAV36" s="153"/>
      <c r="AAW36" s="153"/>
      <c r="AAX36" s="153"/>
      <c r="AAY36" s="153"/>
      <c r="AAZ36" s="153"/>
      <c r="ABA36" s="153"/>
      <c r="ABB36" s="153"/>
      <c r="ABC36" s="153"/>
      <c r="ABD36" s="153"/>
      <c r="ABE36" s="153"/>
      <c r="ABF36" s="153"/>
      <c r="ABG36" s="153"/>
      <c r="ABH36" s="153"/>
      <c r="ABI36" s="153"/>
      <c r="ABJ36" s="153"/>
      <c r="ABK36" s="153"/>
      <c r="ABL36" s="153"/>
      <c r="ABM36" s="153"/>
      <c r="ABN36" s="153"/>
      <c r="ABO36" s="153"/>
      <c r="ABP36" s="153"/>
      <c r="ABQ36" s="153"/>
      <c r="ABR36" s="153"/>
      <c r="ABS36" s="153"/>
      <c r="ABT36" s="153"/>
      <c r="ABU36" s="153"/>
      <c r="ABV36" s="153"/>
      <c r="ABW36" s="153"/>
      <c r="ABX36" s="153"/>
      <c r="ABY36" s="153"/>
      <c r="ABZ36" s="153"/>
      <c r="ACA36" s="153"/>
      <c r="ACB36" s="153"/>
      <c r="ACC36" s="153"/>
      <c r="ACD36" s="153"/>
      <c r="ACE36" s="153"/>
      <c r="ACF36" s="153"/>
      <c r="ACG36" s="153"/>
      <c r="ACH36" s="153"/>
      <c r="ACI36" s="153"/>
      <c r="ACJ36" s="153"/>
      <c r="ACK36" s="153"/>
      <c r="ACL36" s="153"/>
      <c r="ACM36" s="153"/>
      <c r="ACN36" s="153"/>
      <c r="ACO36" s="153"/>
      <c r="ACP36" s="153"/>
      <c r="ACQ36" s="153"/>
      <c r="ACR36" s="153"/>
      <c r="ACS36" s="153"/>
      <c r="ACT36" s="153"/>
      <c r="ACU36" s="153"/>
      <c r="ACV36" s="153"/>
      <c r="ACW36" s="153"/>
      <c r="ACX36" s="153"/>
      <c r="ACY36" s="153"/>
      <c r="ACZ36" s="153"/>
      <c r="ADA36" s="153"/>
      <c r="ADB36" s="153"/>
      <c r="ADC36" s="153"/>
      <c r="ADD36" s="153"/>
      <c r="ADE36" s="153"/>
      <c r="ADF36" s="153"/>
      <c r="ADG36" s="153"/>
      <c r="ADH36" s="153"/>
      <c r="ADI36" s="153"/>
      <c r="ADJ36" s="153"/>
      <c r="ADK36" s="153"/>
      <c r="ADL36" s="153"/>
      <c r="ADM36" s="153"/>
      <c r="ADN36" s="153"/>
      <c r="ADO36" s="153"/>
      <c r="ADP36" s="153"/>
      <c r="ADQ36" s="153"/>
      <c r="ADR36" s="153"/>
      <c r="ADS36" s="153"/>
      <c r="ADT36" s="153"/>
      <c r="ADU36" s="153"/>
      <c r="ADV36" s="153"/>
      <c r="ADW36" s="153"/>
      <c r="ADX36" s="153"/>
      <c r="ADY36" s="153"/>
      <c r="ADZ36" s="153"/>
      <c r="AEA36" s="153"/>
      <c r="AEB36" s="153"/>
      <c r="AEC36" s="153"/>
      <c r="AED36" s="153"/>
      <c r="AEE36" s="153"/>
      <c r="AEF36" s="153"/>
      <c r="AEG36" s="153"/>
      <c r="AEH36" s="153"/>
      <c r="AEI36" s="153"/>
      <c r="AEJ36" s="153"/>
      <c r="AEK36" s="153"/>
      <c r="AEL36" s="153"/>
      <c r="AEM36" s="153"/>
      <c r="AEN36" s="153"/>
      <c r="AEO36" s="153"/>
      <c r="AEP36" s="153"/>
      <c r="AEQ36" s="153"/>
      <c r="AER36" s="153"/>
      <c r="AES36" s="153"/>
      <c r="AET36" s="153"/>
      <c r="AEU36" s="153"/>
      <c r="AEV36" s="153"/>
      <c r="AEW36" s="153"/>
      <c r="AEX36" s="153"/>
      <c r="AEY36" s="153"/>
      <c r="AEZ36" s="153"/>
      <c r="AFA36" s="153"/>
      <c r="AFB36" s="153"/>
      <c r="AFC36" s="153"/>
      <c r="AFD36" s="153"/>
      <c r="AFE36" s="153"/>
      <c r="AFF36" s="153"/>
      <c r="AFG36" s="153"/>
      <c r="AFH36" s="153"/>
      <c r="AFI36" s="153"/>
      <c r="AFJ36" s="153"/>
      <c r="AFK36" s="153"/>
      <c r="AFL36" s="153"/>
      <c r="AFM36" s="153"/>
      <c r="AFN36" s="153"/>
      <c r="AFO36" s="153"/>
      <c r="AFP36" s="153"/>
      <c r="AFQ36" s="153"/>
      <c r="AFR36" s="153"/>
      <c r="AFS36" s="153"/>
      <c r="AFT36" s="153"/>
      <c r="AFU36" s="153"/>
      <c r="AFV36" s="153"/>
      <c r="AFW36" s="153"/>
      <c r="AFX36" s="153"/>
      <c r="AFY36" s="153"/>
      <c r="AFZ36" s="153"/>
      <c r="AGA36" s="153"/>
      <c r="AGB36" s="153"/>
      <c r="AGC36" s="153"/>
      <c r="AGD36" s="153"/>
      <c r="AGE36" s="153"/>
      <c r="AGF36" s="153"/>
      <c r="AGG36" s="153"/>
      <c r="AGH36" s="153"/>
      <c r="AGI36" s="153"/>
      <c r="AGJ36" s="153"/>
      <c r="AGK36" s="153"/>
      <c r="AGL36" s="153"/>
      <c r="AGM36" s="153"/>
      <c r="AGN36" s="153"/>
      <c r="AGO36" s="153"/>
      <c r="AGP36" s="153"/>
      <c r="AGQ36" s="153"/>
      <c r="AGR36" s="153"/>
      <c r="AGS36" s="153"/>
      <c r="AGT36" s="153"/>
      <c r="AGU36" s="153"/>
      <c r="AGV36" s="153"/>
      <c r="AGW36" s="153"/>
      <c r="AGX36" s="153"/>
      <c r="AGY36" s="153"/>
      <c r="AGZ36" s="153"/>
      <c r="AHA36" s="153"/>
      <c r="AHB36" s="153"/>
      <c r="AHC36" s="153"/>
      <c r="AHD36" s="153"/>
      <c r="AHE36" s="153"/>
      <c r="AHF36" s="153"/>
      <c r="AHG36" s="153"/>
      <c r="AHH36" s="153"/>
      <c r="AHI36" s="153"/>
      <c r="AHJ36" s="153"/>
      <c r="AHK36" s="153"/>
      <c r="AHL36" s="153"/>
      <c r="AHM36" s="153"/>
      <c r="AHN36" s="153"/>
      <c r="AHO36" s="153"/>
      <c r="AHP36" s="153"/>
      <c r="AHQ36" s="153"/>
      <c r="AHR36" s="153"/>
      <c r="AHS36" s="153"/>
      <c r="AHT36" s="153"/>
      <c r="AHU36" s="153"/>
      <c r="AHV36" s="153"/>
      <c r="AHW36" s="153"/>
      <c r="AHX36" s="153"/>
      <c r="AHY36" s="153"/>
      <c r="AHZ36" s="153"/>
      <c r="AIA36" s="153"/>
      <c r="AIB36" s="153"/>
      <c r="AIC36" s="153"/>
      <c r="AID36" s="153"/>
      <c r="AIE36" s="153"/>
      <c r="AIF36" s="153"/>
      <c r="AIG36" s="153"/>
      <c r="AIH36" s="153"/>
      <c r="AII36" s="153"/>
      <c r="AIJ36" s="153"/>
      <c r="AIK36" s="153"/>
      <c r="AIL36" s="153"/>
      <c r="AIM36" s="153"/>
      <c r="AIN36" s="153"/>
      <c r="AIO36" s="153"/>
      <c r="AIP36" s="153"/>
      <c r="AIQ36" s="153"/>
      <c r="AIR36" s="153"/>
      <c r="AIS36" s="153"/>
      <c r="AIT36" s="153"/>
      <c r="AIU36" s="153"/>
      <c r="AIV36" s="153"/>
      <c r="AIW36" s="153"/>
      <c r="AIX36" s="153"/>
      <c r="AIY36" s="153"/>
      <c r="AIZ36" s="153"/>
      <c r="AJA36" s="153"/>
      <c r="AJB36" s="153"/>
      <c r="AJC36" s="153"/>
      <c r="AJD36" s="153"/>
      <c r="AJE36" s="153"/>
      <c r="AJF36" s="153"/>
      <c r="AJG36" s="153"/>
      <c r="AJH36" s="153"/>
      <c r="AJI36" s="153"/>
      <c r="AJJ36" s="153"/>
      <c r="AJK36" s="153"/>
      <c r="AJL36" s="153"/>
      <c r="AJM36" s="153"/>
      <c r="AJN36" s="153"/>
      <c r="AJO36" s="153"/>
      <c r="AJP36" s="153"/>
      <c r="AJQ36" s="153"/>
      <c r="AJR36" s="153"/>
      <c r="AJS36" s="153"/>
      <c r="AJT36" s="153"/>
      <c r="AJU36" s="153"/>
      <c r="AJV36" s="153"/>
      <c r="AJW36" s="153"/>
      <c r="AJX36" s="153"/>
      <c r="AJY36" s="153"/>
      <c r="AJZ36" s="153"/>
      <c r="AKA36" s="153"/>
      <c r="AKB36" s="153"/>
      <c r="AKC36" s="153"/>
      <c r="AKD36" s="153"/>
      <c r="AKE36" s="153"/>
      <c r="AKF36" s="153"/>
      <c r="AKG36" s="153"/>
      <c r="AKH36" s="153"/>
      <c r="AKI36" s="153"/>
      <c r="AKJ36" s="153"/>
      <c r="AKK36" s="153"/>
      <c r="AKL36" s="153"/>
      <c r="AKM36" s="153"/>
      <c r="AKN36" s="153"/>
      <c r="AKO36" s="153"/>
      <c r="AKP36" s="153"/>
      <c r="AKQ36" s="153"/>
      <c r="AKR36" s="153"/>
      <c r="AKS36" s="153"/>
      <c r="AKT36" s="153"/>
      <c r="AKU36" s="153"/>
      <c r="AKV36" s="153"/>
      <c r="AKW36" s="153"/>
      <c r="AKX36" s="153"/>
      <c r="AKY36" s="153"/>
      <c r="AKZ36" s="153"/>
      <c r="ALA36" s="153"/>
      <c r="ALB36" s="153"/>
      <c r="ALC36" s="153"/>
      <c r="ALD36" s="153"/>
      <c r="ALE36" s="153"/>
      <c r="ALF36" s="153"/>
      <c r="ALG36" s="153"/>
      <c r="ALH36" s="153"/>
      <c r="ALI36" s="153"/>
      <c r="ALJ36" s="153"/>
      <c r="ALK36" s="153"/>
      <c r="ALL36" s="153"/>
      <c r="ALM36" s="153"/>
      <c r="ALN36" s="153"/>
      <c r="ALO36" s="153"/>
      <c r="ALP36" s="153"/>
      <c r="ALQ36" s="153"/>
      <c r="ALR36" s="153"/>
      <c r="ALS36" s="153"/>
      <c r="ALT36" s="153"/>
      <c r="ALU36" s="153"/>
      <c r="ALV36" s="153"/>
      <c r="ALW36" s="153"/>
      <c r="ALX36" s="153"/>
      <c r="ALY36" s="153"/>
      <c r="ALZ36" s="153"/>
      <c r="AMA36" s="153"/>
      <c r="AMB36" s="153"/>
      <c r="AMC36" s="153"/>
      <c r="AMD36" s="153"/>
      <c r="AME36" s="153"/>
      <c r="AMF36" s="153"/>
      <c r="AMG36" s="153"/>
      <c r="AMH36" s="153"/>
      <c r="AMI36" s="153"/>
      <c r="AMJ36" s="153"/>
      <c r="AMK36" s="153"/>
    </row>
    <row r="37" spans="1:1025" s="417" customFormat="1" ht="11.25" x14ac:dyDescent="0.2">
      <c r="A37" s="153"/>
      <c r="B37" s="153"/>
      <c r="C37" s="153"/>
      <c r="D37" s="153"/>
      <c r="G37" s="153"/>
      <c r="H37" s="296" t="s">
        <v>856</v>
      </c>
      <c r="I37" s="428">
        <f>I32-SUM(I33:I36)</f>
        <v>5230389.88</v>
      </c>
      <c r="J37" s="430">
        <f>J32-SUM(J33:J36)</f>
        <v>10577061.029999997</v>
      </c>
      <c r="K37" s="408">
        <f>K32-SUM(K33:K36)</f>
        <v>781542.65</v>
      </c>
      <c r="L37" s="404">
        <f>L32-SUM(L33:L36)</f>
        <v>16588993.559999995</v>
      </c>
      <c r="M37" s="153"/>
      <c r="N37" s="153"/>
      <c r="O37" s="153"/>
      <c r="P37" s="395"/>
      <c r="Q37" s="336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3"/>
      <c r="FG37" s="153"/>
      <c r="FH37" s="153"/>
      <c r="FI37" s="153"/>
      <c r="FJ37" s="153"/>
      <c r="FK37" s="153"/>
      <c r="FL37" s="153"/>
      <c r="FM37" s="153"/>
      <c r="FN37" s="153"/>
      <c r="FO37" s="153"/>
      <c r="FP37" s="153"/>
      <c r="FQ37" s="153"/>
      <c r="FR37" s="153"/>
      <c r="FS37" s="153"/>
      <c r="FT37" s="153"/>
      <c r="FU37" s="153"/>
      <c r="FV37" s="153"/>
      <c r="FW37" s="153"/>
      <c r="FX37" s="153"/>
      <c r="FY37" s="153"/>
      <c r="FZ37" s="153"/>
      <c r="GA37" s="153"/>
      <c r="GB37" s="153"/>
      <c r="GC37" s="153"/>
      <c r="GD37" s="153"/>
      <c r="GE37" s="153"/>
      <c r="GF37" s="153"/>
      <c r="GG37" s="153"/>
      <c r="GH37" s="153"/>
      <c r="GI37" s="153"/>
      <c r="GJ37" s="153"/>
      <c r="GK37" s="153"/>
      <c r="GL37" s="153"/>
      <c r="GM37" s="153"/>
      <c r="GN37" s="153"/>
      <c r="GO37" s="153"/>
      <c r="GP37" s="153"/>
      <c r="GQ37" s="153"/>
      <c r="GR37" s="153"/>
      <c r="GS37" s="153"/>
      <c r="GT37" s="153"/>
      <c r="GU37" s="153"/>
      <c r="GV37" s="153"/>
      <c r="GW37" s="153"/>
      <c r="GX37" s="153"/>
      <c r="GY37" s="153"/>
      <c r="GZ37" s="153"/>
      <c r="HA37" s="153"/>
      <c r="HB37" s="153"/>
      <c r="HC37" s="153"/>
      <c r="HD37" s="153"/>
      <c r="HE37" s="153"/>
      <c r="HF37" s="153"/>
      <c r="HG37" s="153"/>
      <c r="HH37" s="153"/>
      <c r="HI37" s="153"/>
      <c r="HJ37" s="153"/>
      <c r="HK37" s="153"/>
      <c r="HL37" s="153"/>
      <c r="HM37" s="153"/>
      <c r="HN37" s="153"/>
      <c r="HO37" s="153"/>
      <c r="HP37" s="153"/>
      <c r="HQ37" s="153"/>
      <c r="HR37" s="153"/>
      <c r="HS37" s="153"/>
      <c r="HT37" s="153"/>
      <c r="HU37" s="153"/>
      <c r="HV37" s="153"/>
      <c r="HW37" s="153"/>
      <c r="HX37" s="153"/>
      <c r="HY37" s="153"/>
      <c r="HZ37" s="153"/>
      <c r="IA37" s="153"/>
      <c r="IB37" s="153"/>
      <c r="IC37" s="153"/>
      <c r="ID37" s="153"/>
      <c r="IE37" s="153"/>
      <c r="IF37" s="153"/>
      <c r="IG37" s="153"/>
      <c r="IH37" s="153"/>
      <c r="II37" s="153"/>
      <c r="IJ37" s="153"/>
      <c r="IK37" s="153"/>
      <c r="IL37" s="153"/>
      <c r="IM37" s="153"/>
      <c r="IN37" s="153"/>
      <c r="IO37" s="153"/>
      <c r="IP37" s="153"/>
      <c r="IQ37" s="153"/>
      <c r="IR37" s="153"/>
      <c r="IS37" s="153"/>
      <c r="IT37" s="153"/>
      <c r="IU37" s="153"/>
      <c r="IV37" s="153"/>
      <c r="IW37" s="153"/>
      <c r="IX37" s="153"/>
      <c r="IY37" s="153"/>
      <c r="IZ37" s="153"/>
      <c r="JA37" s="153"/>
      <c r="JB37" s="153"/>
      <c r="JC37" s="153"/>
      <c r="JD37" s="153"/>
      <c r="JE37" s="153"/>
      <c r="JF37" s="153"/>
      <c r="JG37" s="153"/>
      <c r="JH37" s="153"/>
      <c r="JI37" s="153"/>
      <c r="JJ37" s="153"/>
      <c r="JK37" s="153"/>
      <c r="JL37" s="153"/>
      <c r="JM37" s="153"/>
      <c r="JN37" s="153"/>
      <c r="JO37" s="153"/>
      <c r="JP37" s="153"/>
      <c r="JQ37" s="153"/>
      <c r="JR37" s="153"/>
      <c r="JS37" s="153"/>
      <c r="JT37" s="153"/>
      <c r="JU37" s="153"/>
      <c r="JV37" s="153"/>
      <c r="JW37" s="153"/>
      <c r="JX37" s="153"/>
      <c r="JY37" s="153"/>
      <c r="JZ37" s="153"/>
      <c r="KA37" s="153"/>
      <c r="KB37" s="153"/>
      <c r="KC37" s="153"/>
      <c r="KD37" s="153"/>
      <c r="KE37" s="153"/>
      <c r="KF37" s="153"/>
      <c r="KG37" s="153"/>
      <c r="KH37" s="153"/>
      <c r="KI37" s="153"/>
      <c r="KJ37" s="153"/>
      <c r="KK37" s="153"/>
      <c r="KL37" s="153"/>
      <c r="KM37" s="153"/>
      <c r="KN37" s="153"/>
      <c r="KO37" s="153"/>
      <c r="KP37" s="153"/>
      <c r="KQ37" s="153"/>
      <c r="KR37" s="153"/>
      <c r="KS37" s="153"/>
      <c r="KT37" s="153"/>
      <c r="KU37" s="153"/>
      <c r="KV37" s="153"/>
      <c r="KW37" s="153"/>
      <c r="KX37" s="153"/>
      <c r="KY37" s="153"/>
      <c r="KZ37" s="153"/>
      <c r="LA37" s="153"/>
      <c r="LB37" s="153"/>
      <c r="LC37" s="153"/>
      <c r="LD37" s="153"/>
      <c r="LE37" s="153"/>
      <c r="LF37" s="153"/>
      <c r="LG37" s="153"/>
      <c r="LH37" s="153"/>
      <c r="LI37" s="153"/>
      <c r="LJ37" s="153"/>
      <c r="LK37" s="153"/>
      <c r="LL37" s="153"/>
      <c r="LM37" s="153"/>
      <c r="LN37" s="153"/>
      <c r="LO37" s="153"/>
      <c r="LP37" s="153"/>
      <c r="LQ37" s="153"/>
      <c r="LR37" s="153"/>
      <c r="LS37" s="153"/>
      <c r="LT37" s="153"/>
      <c r="LU37" s="153"/>
      <c r="LV37" s="153"/>
      <c r="LW37" s="153"/>
      <c r="LX37" s="153"/>
      <c r="LY37" s="153"/>
      <c r="LZ37" s="153"/>
      <c r="MA37" s="153"/>
      <c r="MB37" s="153"/>
      <c r="MC37" s="153"/>
      <c r="MD37" s="153"/>
      <c r="ME37" s="153"/>
      <c r="MF37" s="153"/>
      <c r="MG37" s="153"/>
      <c r="MH37" s="153"/>
      <c r="MI37" s="153"/>
      <c r="MJ37" s="153"/>
      <c r="MK37" s="153"/>
      <c r="ML37" s="153"/>
      <c r="MM37" s="153"/>
      <c r="MN37" s="153"/>
      <c r="MO37" s="153"/>
      <c r="MP37" s="153"/>
      <c r="MQ37" s="153"/>
      <c r="MR37" s="153"/>
      <c r="MS37" s="153"/>
      <c r="MT37" s="153"/>
      <c r="MU37" s="153"/>
      <c r="MV37" s="153"/>
      <c r="MW37" s="153"/>
      <c r="MX37" s="153"/>
      <c r="MY37" s="153"/>
      <c r="MZ37" s="153"/>
      <c r="NA37" s="153"/>
      <c r="NB37" s="153"/>
      <c r="NC37" s="153"/>
      <c r="ND37" s="153"/>
      <c r="NE37" s="153"/>
      <c r="NF37" s="153"/>
      <c r="NG37" s="153"/>
      <c r="NH37" s="153"/>
      <c r="NI37" s="153"/>
      <c r="NJ37" s="153"/>
      <c r="NK37" s="153"/>
      <c r="NL37" s="153"/>
      <c r="NM37" s="153"/>
      <c r="NN37" s="153"/>
      <c r="NO37" s="153"/>
      <c r="NP37" s="153"/>
      <c r="NQ37" s="153"/>
      <c r="NR37" s="153"/>
      <c r="NS37" s="153"/>
      <c r="NT37" s="153"/>
      <c r="NU37" s="153"/>
      <c r="NV37" s="153"/>
      <c r="NW37" s="153"/>
      <c r="NX37" s="153"/>
      <c r="NY37" s="153"/>
      <c r="NZ37" s="153"/>
      <c r="OA37" s="153"/>
      <c r="OB37" s="153"/>
      <c r="OC37" s="153"/>
      <c r="OD37" s="153"/>
      <c r="OE37" s="153"/>
      <c r="OF37" s="153"/>
      <c r="OG37" s="153"/>
      <c r="OH37" s="153"/>
      <c r="OI37" s="153"/>
      <c r="OJ37" s="153"/>
      <c r="OK37" s="153"/>
      <c r="OL37" s="153"/>
      <c r="OM37" s="153"/>
      <c r="ON37" s="153"/>
      <c r="OO37" s="153"/>
      <c r="OP37" s="153"/>
      <c r="OQ37" s="153"/>
      <c r="OR37" s="153"/>
      <c r="OS37" s="153"/>
      <c r="OT37" s="153"/>
      <c r="OU37" s="153"/>
      <c r="OV37" s="153"/>
      <c r="OW37" s="153"/>
      <c r="OX37" s="153"/>
      <c r="OY37" s="153"/>
      <c r="OZ37" s="153"/>
      <c r="PA37" s="153"/>
      <c r="PB37" s="153"/>
      <c r="PC37" s="153"/>
      <c r="PD37" s="153"/>
      <c r="PE37" s="153"/>
      <c r="PF37" s="153"/>
      <c r="PG37" s="153"/>
      <c r="PH37" s="153"/>
      <c r="PI37" s="153"/>
      <c r="PJ37" s="153"/>
      <c r="PK37" s="153"/>
      <c r="PL37" s="153"/>
      <c r="PM37" s="153"/>
      <c r="PN37" s="153"/>
      <c r="PO37" s="153"/>
      <c r="PP37" s="153"/>
      <c r="PQ37" s="153"/>
      <c r="PR37" s="153"/>
      <c r="PS37" s="153"/>
      <c r="PT37" s="153"/>
      <c r="PU37" s="153"/>
      <c r="PV37" s="153"/>
      <c r="PW37" s="153"/>
      <c r="PX37" s="153"/>
      <c r="PY37" s="153"/>
      <c r="PZ37" s="153"/>
      <c r="QA37" s="153"/>
      <c r="QB37" s="153"/>
      <c r="QC37" s="153"/>
      <c r="QD37" s="153"/>
      <c r="QE37" s="153"/>
      <c r="QF37" s="153"/>
      <c r="QG37" s="153"/>
      <c r="QH37" s="153"/>
      <c r="QI37" s="153"/>
      <c r="QJ37" s="153"/>
      <c r="QK37" s="153"/>
      <c r="QL37" s="153"/>
      <c r="QM37" s="153"/>
      <c r="QN37" s="153"/>
      <c r="QO37" s="153"/>
      <c r="QP37" s="153"/>
      <c r="QQ37" s="153"/>
      <c r="QR37" s="153"/>
      <c r="QS37" s="153"/>
      <c r="QT37" s="153"/>
      <c r="QU37" s="153"/>
      <c r="QV37" s="153"/>
      <c r="QW37" s="153"/>
      <c r="QX37" s="153"/>
      <c r="QY37" s="153"/>
      <c r="QZ37" s="153"/>
      <c r="RA37" s="153"/>
      <c r="RB37" s="153"/>
      <c r="RC37" s="153"/>
      <c r="RD37" s="153"/>
      <c r="RE37" s="153"/>
      <c r="RF37" s="153"/>
      <c r="RG37" s="153"/>
      <c r="RH37" s="153"/>
      <c r="RI37" s="153"/>
      <c r="RJ37" s="153"/>
      <c r="RK37" s="153"/>
      <c r="RL37" s="153"/>
      <c r="RM37" s="153"/>
      <c r="RN37" s="153"/>
      <c r="RO37" s="153"/>
      <c r="RP37" s="153"/>
      <c r="RQ37" s="153"/>
      <c r="RR37" s="153"/>
      <c r="RS37" s="153"/>
      <c r="RT37" s="153"/>
      <c r="RU37" s="153"/>
      <c r="RV37" s="153"/>
      <c r="RW37" s="153"/>
      <c r="RX37" s="153"/>
      <c r="RY37" s="153"/>
      <c r="RZ37" s="153"/>
      <c r="SA37" s="153"/>
      <c r="SB37" s="153"/>
      <c r="SC37" s="153"/>
      <c r="SD37" s="153"/>
      <c r="SE37" s="153"/>
      <c r="SF37" s="153"/>
      <c r="SG37" s="153"/>
      <c r="SH37" s="153"/>
      <c r="SI37" s="153"/>
      <c r="SJ37" s="153"/>
      <c r="SK37" s="153"/>
      <c r="SL37" s="153"/>
      <c r="SM37" s="153"/>
      <c r="SN37" s="153"/>
      <c r="SO37" s="153"/>
      <c r="SP37" s="153"/>
      <c r="SQ37" s="153"/>
      <c r="SR37" s="153"/>
      <c r="SS37" s="153"/>
      <c r="ST37" s="153"/>
      <c r="SU37" s="153"/>
      <c r="SV37" s="153"/>
      <c r="SW37" s="153"/>
      <c r="SX37" s="153"/>
      <c r="SY37" s="153"/>
      <c r="SZ37" s="153"/>
      <c r="TA37" s="153"/>
      <c r="TB37" s="153"/>
      <c r="TC37" s="153"/>
      <c r="TD37" s="153"/>
      <c r="TE37" s="153"/>
      <c r="TF37" s="153"/>
      <c r="TG37" s="153"/>
      <c r="TH37" s="153"/>
      <c r="TI37" s="153"/>
      <c r="TJ37" s="153"/>
      <c r="TK37" s="153"/>
      <c r="TL37" s="153"/>
      <c r="TM37" s="153"/>
      <c r="TN37" s="153"/>
      <c r="TO37" s="153"/>
      <c r="TP37" s="153"/>
      <c r="TQ37" s="153"/>
      <c r="TR37" s="153"/>
      <c r="TS37" s="153"/>
      <c r="TT37" s="153"/>
      <c r="TU37" s="153"/>
      <c r="TV37" s="153"/>
      <c r="TW37" s="153"/>
      <c r="TX37" s="153"/>
      <c r="TY37" s="153"/>
      <c r="TZ37" s="153"/>
      <c r="UA37" s="153"/>
      <c r="UB37" s="153"/>
      <c r="UC37" s="153"/>
      <c r="UD37" s="153"/>
      <c r="UE37" s="153"/>
      <c r="UF37" s="153"/>
      <c r="UG37" s="153"/>
      <c r="UH37" s="153"/>
      <c r="UI37" s="153"/>
      <c r="UJ37" s="153"/>
      <c r="UK37" s="153"/>
      <c r="UL37" s="153"/>
      <c r="UM37" s="153"/>
      <c r="UN37" s="153"/>
      <c r="UO37" s="153"/>
      <c r="UP37" s="153"/>
      <c r="UQ37" s="153"/>
      <c r="UR37" s="153"/>
      <c r="US37" s="153"/>
      <c r="UT37" s="153"/>
      <c r="UU37" s="153"/>
      <c r="UV37" s="153"/>
      <c r="UW37" s="153"/>
      <c r="UX37" s="153"/>
      <c r="UY37" s="153"/>
      <c r="UZ37" s="153"/>
      <c r="VA37" s="153"/>
      <c r="VB37" s="153"/>
      <c r="VC37" s="153"/>
      <c r="VD37" s="153"/>
      <c r="VE37" s="153"/>
      <c r="VF37" s="153"/>
      <c r="VG37" s="153"/>
      <c r="VH37" s="153"/>
      <c r="VI37" s="153"/>
      <c r="VJ37" s="153"/>
      <c r="VK37" s="153"/>
      <c r="VL37" s="153"/>
      <c r="VM37" s="153"/>
      <c r="VN37" s="153"/>
      <c r="VO37" s="153"/>
      <c r="VP37" s="153"/>
      <c r="VQ37" s="153"/>
      <c r="VR37" s="153"/>
      <c r="VS37" s="153"/>
      <c r="VT37" s="153"/>
      <c r="VU37" s="153"/>
      <c r="VV37" s="153"/>
      <c r="VW37" s="153"/>
      <c r="VX37" s="153"/>
      <c r="VY37" s="153"/>
      <c r="VZ37" s="153"/>
      <c r="WA37" s="153"/>
      <c r="WB37" s="153"/>
      <c r="WC37" s="153"/>
      <c r="WD37" s="153"/>
      <c r="WE37" s="153"/>
      <c r="WF37" s="153"/>
      <c r="WG37" s="153"/>
      <c r="WH37" s="153"/>
      <c r="WI37" s="153"/>
      <c r="WJ37" s="153"/>
      <c r="WK37" s="153"/>
      <c r="WL37" s="153"/>
      <c r="WM37" s="153"/>
      <c r="WN37" s="153"/>
      <c r="WO37" s="153"/>
      <c r="WP37" s="153"/>
      <c r="WQ37" s="153"/>
      <c r="WR37" s="153"/>
      <c r="WS37" s="153"/>
      <c r="WT37" s="153"/>
      <c r="WU37" s="153"/>
      <c r="WV37" s="153"/>
      <c r="WW37" s="153"/>
      <c r="WX37" s="153"/>
      <c r="WY37" s="153"/>
      <c r="WZ37" s="153"/>
      <c r="XA37" s="153"/>
      <c r="XB37" s="153"/>
      <c r="XC37" s="153"/>
      <c r="XD37" s="153"/>
      <c r="XE37" s="153"/>
      <c r="XF37" s="153"/>
      <c r="XG37" s="153"/>
      <c r="XH37" s="153"/>
      <c r="XI37" s="153"/>
      <c r="XJ37" s="153"/>
      <c r="XK37" s="153"/>
      <c r="XL37" s="153"/>
      <c r="XM37" s="153"/>
      <c r="XN37" s="153"/>
      <c r="XO37" s="153"/>
      <c r="XP37" s="153"/>
      <c r="XQ37" s="153"/>
      <c r="XR37" s="153"/>
      <c r="XS37" s="153"/>
      <c r="XT37" s="153"/>
      <c r="XU37" s="153"/>
      <c r="XV37" s="153"/>
      <c r="XW37" s="153"/>
      <c r="XX37" s="153"/>
      <c r="XY37" s="153"/>
      <c r="XZ37" s="153"/>
      <c r="YA37" s="153"/>
      <c r="YB37" s="153"/>
      <c r="YC37" s="153"/>
      <c r="YD37" s="153"/>
      <c r="YE37" s="153"/>
      <c r="YF37" s="153"/>
      <c r="YG37" s="153"/>
      <c r="YH37" s="153"/>
      <c r="YI37" s="153"/>
      <c r="YJ37" s="153"/>
      <c r="YK37" s="153"/>
      <c r="YL37" s="153"/>
      <c r="YM37" s="153"/>
      <c r="YN37" s="153"/>
      <c r="YO37" s="153"/>
      <c r="YP37" s="153"/>
      <c r="YQ37" s="153"/>
      <c r="YR37" s="153"/>
      <c r="YS37" s="153"/>
      <c r="YT37" s="153"/>
      <c r="YU37" s="153"/>
      <c r="YV37" s="153"/>
      <c r="YW37" s="153"/>
      <c r="YX37" s="153"/>
      <c r="YY37" s="153"/>
      <c r="YZ37" s="153"/>
      <c r="ZA37" s="153"/>
      <c r="ZB37" s="153"/>
      <c r="ZC37" s="153"/>
      <c r="ZD37" s="153"/>
      <c r="ZE37" s="153"/>
      <c r="ZF37" s="153"/>
      <c r="ZG37" s="153"/>
      <c r="ZH37" s="153"/>
      <c r="ZI37" s="153"/>
      <c r="ZJ37" s="153"/>
      <c r="ZK37" s="153"/>
      <c r="ZL37" s="153"/>
      <c r="ZM37" s="153"/>
      <c r="ZN37" s="153"/>
      <c r="ZO37" s="153"/>
      <c r="ZP37" s="153"/>
      <c r="ZQ37" s="153"/>
      <c r="ZR37" s="153"/>
      <c r="ZS37" s="153"/>
      <c r="ZT37" s="153"/>
      <c r="ZU37" s="153"/>
      <c r="ZV37" s="153"/>
      <c r="ZW37" s="153"/>
      <c r="ZX37" s="153"/>
      <c r="ZY37" s="153"/>
      <c r="ZZ37" s="153"/>
      <c r="AAA37" s="153"/>
      <c r="AAB37" s="153"/>
      <c r="AAC37" s="153"/>
      <c r="AAD37" s="153"/>
      <c r="AAE37" s="153"/>
      <c r="AAF37" s="153"/>
      <c r="AAG37" s="153"/>
      <c r="AAH37" s="153"/>
      <c r="AAI37" s="153"/>
      <c r="AAJ37" s="153"/>
      <c r="AAK37" s="153"/>
      <c r="AAL37" s="153"/>
      <c r="AAM37" s="153"/>
      <c r="AAN37" s="153"/>
      <c r="AAO37" s="153"/>
      <c r="AAP37" s="153"/>
      <c r="AAQ37" s="153"/>
      <c r="AAR37" s="153"/>
      <c r="AAS37" s="153"/>
      <c r="AAT37" s="153"/>
      <c r="AAU37" s="153"/>
      <c r="AAV37" s="153"/>
      <c r="AAW37" s="153"/>
      <c r="AAX37" s="153"/>
      <c r="AAY37" s="153"/>
      <c r="AAZ37" s="153"/>
      <c r="ABA37" s="153"/>
      <c r="ABB37" s="153"/>
      <c r="ABC37" s="153"/>
      <c r="ABD37" s="153"/>
      <c r="ABE37" s="153"/>
      <c r="ABF37" s="153"/>
      <c r="ABG37" s="153"/>
      <c r="ABH37" s="153"/>
      <c r="ABI37" s="153"/>
      <c r="ABJ37" s="153"/>
      <c r="ABK37" s="153"/>
      <c r="ABL37" s="153"/>
      <c r="ABM37" s="153"/>
      <c r="ABN37" s="153"/>
      <c r="ABO37" s="153"/>
      <c r="ABP37" s="153"/>
      <c r="ABQ37" s="153"/>
      <c r="ABR37" s="153"/>
      <c r="ABS37" s="153"/>
      <c r="ABT37" s="153"/>
      <c r="ABU37" s="153"/>
      <c r="ABV37" s="153"/>
      <c r="ABW37" s="153"/>
      <c r="ABX37" s="153"/>
      <c r="ABY37" s="153"/>
      <c r="ABZ37" s="153"/>
      <c r="ACA37" s="153"/>
      <c r="ACB37" s="153"/>
      <c r="ACC37" s="153"/>
      <c r="ACD37" s="153"/>
      <c r="ACE37" s="153"/>
      <c r="ACF37" s="153"/>
      <c r="ACG37" s="153"/>
      <c r="ACH37" s="153"/>
      <c r="ACI37" s="153"/>
      <c r="ACJ37" s="153"/>
      <c r="ACK37" s="153"/>
      <c r="ACL37" s="153"/>
      <c r="ACM37" s="153"/>
      <c r="ACN37" s="153"/>
      <c r="ACO37" s="153"/>
      <c r="ACP37" s="153"/>
      <c r="ACQ37" s="153"/>
      <c r="ACR37" s="153"/>
      <c r="ACS37" s="153"/>
      <c r="ACT37" s="153"/>
      <c r="ACU37" s="153"/>
      <c r="ACV37" s="153"/>
      <c r="ACW37" s="153"/>
      <c r="ACX37" s="153"/>
      <c r="ACY37" s="153"/>
      <c r="ACZ37" s="153"/>
      <c r="ADA37" s="153"/>
      <c r="ADB37" s="153"/>
      <c r="ADC37" s="153"/>
      <c r="ADD37" s="153"/>
      <c r="ADE37" s="153"/>
      <c r="ADF37" s="153"/>
      <c r="ADG37" s="153"/>
      <c r="ADH37" s="153"/>
      <c r="ADI37" s="153"/>
      <c r="ADJ37" s="153"/>
      <c r="ADK37" s="153"/>
      <c r="ADL37" s="153"/>
      <c r="ADM37" s="153"/>
      <c r="ADN37" s="153"/>
      <c r="ADO37" s="153"/>
      <c r="ADP37" s="153"/>
      <c r="ADQ37" s="153"/>
      <c r="ADR37" s="153"/>
      <c r="ADS37" s="153"/>
      <c r="ADT37" s="153"/>
      <c r="ADU37" s="153"/>
      <c r="ADV37" s="153"/>
      <c r="ADW37" s="153"/>
      <c r="ADX37" s="153"/>
      <c r="ADY37" s="153"/>
      <c r="ADZ37" s="153"/>
      <c r="AEA37" s="153"/>
      <c r="AEB37" s="153"/>
      <c r="AEC37" s="153"/>
      <c r="AED37" s="153"/>
      <c r="AEE37" s="153"/>
      <c r="AEF37" s="153"/>
      <c r="AEG37" s="153"/>
      <c r="AEH37" s="153"/>
      <c r="AEI37" s="153"/>
      <c r="AEJ37" s="153"/>
      <c r="AEK37" s="153"/>
      <c r="AEL37" s="153"/>
      <c r="AEM37" s="153"/>
      <c r="AEN37" s="153"/>
      <c r="AEO37" s="153"/>
      <c r="AEP37" s="153"/>
      <c r="AEQ37" s="153"/>
      <c r="AER37" s="153"/>
      <c r="AES37" s="153"/>
      <c r="AET37" s="153"/>
      <c r="AEU37" s="153"/>
      <c r="AEV37" s="153"/>
      <c r="AEW37" s="153"/>
      <c r="AEX37" s="153"/>
      <c r="AEY37" s="153"/>
      <c r="AEZ37" s="153"/>
      <c r="AFA37" s="153"/>
      <c r="AFB37" s="153"/>
      <c r="AFC37" s="153"/>
      <c r="AFD37" s="153"/>
      <c r="AFE37" s="153"/>
      <c r="AFF37" s="153"/>
      <c r="AFG37" s="153"/>
      <c r="AFH37" s="153"/>
      <c r="AFI37" s="153"/>
      <c r="AFJ37" s="153"/>
      <c r="AFK37" s="153"/>
      <c r="AFL37" s="153"/>
      <c r="AFM37" s="153"/>
      <c r="AFN37" s="153"/>
      <c r="AFO37" s="153"/>
      <c r="AFP37" s="153"/>
      <c r="AFQ37" s="153"/>
      <c r="AFR37" s="153"/>
      <c r="AFS37" s="153"/>
      <c r="AFT37" s="153"/>
      <c r="AFU37" s="153"/>
      <c r="AFV37" s="153"/>
      <c r="AFW37" s="153"/>
      <c r="AFX37" s="153"/>
      <c r="AFY37" s="153"/>
      <c r="AFZ37" s="153"/>
      <c r="AGA37" s="153"/>
      <c r="AGB37" s="153"/>
      <c r="AGC37" s="153"/>
      <c r="AGD37" s="153"/>
      <c r="AGE37" s="153"/>
      <c r="AGF37" s="153"/>
      <c r="AGG37" s="153"/>
      <c r="AGH37" s="153"/>
      <c r="AGI37" s="153"/>
      <c r="AGJ37" s="153"/>
      <c r="AGK37" s="153"/>
      <c r="AGL37" s="153"/>
      <c r="AGM37" s="153"/>
      <c r="AGN37" s="153"/>
      <c r="AGO37" s="153"/>
      <c r="AGP37" s="153"/>
      <c r="AGQ37" s="153"/>
      <c r="AGR37" s="153"/>
      <c r="AGS37" s="153"/>
      <c r="AGT37" s="153"/>
      <c r="AGU37" s="153"/>
      <c r="AGV37" s="153"/>
      <c r="AGW37" s="153"/>
      <c r="AGX37" s="153"/>
      <c r="AGY37" s="153"/>
      <c r="AGZ37" s="153"/>
      <c r="AHA37" s="153"/>
      <c r="AHB37" s="153"/>
      <c r="AHC37" s="153"/>
      <c r="AHD37" s="153"/>
      <c r="AHE37" s="153"/>
      <c r="AHF37" s="153"/>
      <c r="AHG37" s="153"/>
      <c r="AHH37" s="153"/>
      <c r="AHI37" s="153"/>
      <c r="AHJ37" s="153"/>
      <c r="AHK37" s="153"/>
      <c r="AHL37" s="153"/>
      <c r="AHM37" s="153"/>
      <c r="AHN37" s="153"/>
      <c r="AHO37" s="153"/>
      <c r="AHP37" s="153"/>
      <c r="AHQ37" s="153"/>
      <c r="AHR37" s="153"/>
      <c r="AHS37" s="153"/>
      <c r="AHT37" s="153"/>
      <c r="AHU37" s="153"/>
      <c r="AHV37" s="153"/>
      <c r="AHW37" s="153"/>
      <c r="AHX37" s="153"/>
      <c r="AHY37" s="153"/>
      <c r="AHZ37" s="153"/>
      <c r="AIA37" s="153"/>
      <c r="AIB37" s="153"/>
      <c r="AIC37" s="153"/>
      <c r="AID37" s="153"/>
      <c r="AIE37" s="153"/>
      <c r="AIF37" s="153"/>
      <c r="AIG37" s="153"/>
      <c r="AIH37" s="153"/>
      <c r="AII37" s="153"/>
      <c r="AIJ37" s="153"/>
      <c r="AIK37" s="153"/>
      <c r="AIL37" s="153"/>
      <c r="AIM37" s="153"/>
      <c r="AIN37" s="153"/>
      <c r="AIO37" s="153"/>
      <c r="AIP37" s="153"/>
      <c r="AIQ37" s="153"/>
      <c r="AIR37" s="153"/>
      <c r="AIS37" s="153"/>
      <c r="AIT37" s="153"/>
      <c r="AIU37" s="153"/>
      <c r="AIV37" s="153"/>
      <c r="AIW37" s="153"/>
      <c r="AIX37" s="153"/>
      <c r="AIY37" s="153"/>
      <c r="AIZ37" s="153"/>
      <c r="AJA37" s="153"/>
      <c r="AJB37" s="153"/>
      <c r="AJC37" s="153"/>
      <c r="AJD37" s="153"/>
      <c r="AJE37" s="153"/>
      <c r="AJF37" s="153"/>
      <c r="AJG37" s="153"/>
      <c r="AJH37" s="153"/>
      <c r="AJI37" s="153"/>
      <c r="AJJ37" s="153"/>
      <c r="AJK37" s="153"/>
      <c r="AJL37" s="153"/>
      <c r="AJM37" s="153"/>
      <c r="AJN37" s="153"/>
      <c r="AJO37" s="153"/>
      <c r="AJP37" s="153"/>
      <c r="AJQ37" s="153"/>
      <c r="AJR37" s="153"/>
      <c r="AJS37" s="153"/>
      <c r="AJT37" s="153"/>
      <c r="AJU37" s="153"/>
      <c r="AJV37" s="153"/>
      <c r="AJW37" s="153"/>
      <c r="AJX37" s="153"/>
      <c r="AJY37" s="153"/>
      <c r="AJZ37" s="153"/>
      <c r="AKA37" s="153"/>
      <c r="AKB37" s="153"/>
      <c r="AKC37" s="153"/>
      <c r="AKD37" s="153"/>
      <c r="AKE37" s="153"/>
      <c r="AKF37" s="153"/>
      <c r="AKG37" s="153"/>
      <c r="AKH37" s="153"/>
      <c r="AKI37" s="153"/>
      <c r="AKJ37" s="153"/>
      <c r="AKK37" s="153"/>
      <c r="AKL37" s="153"/>
      <c r="AKM37" s="153"/>
      <c r="AKN37" s="153"/>
      <c r="AKO37" s="153"/>
      <c r="AKP37" s="153"/>
      <c r="AKQ37" s="153"/>
      <c r="AKR37" s="153"/>
      <c r="AKS37" s="153"/>
      <c r="AKT37" s="153"/>
      <c r="AKU37" s="153"/>
      <c r="AKV37" s="153"/>
      <c r="AKW37" s="153"/>
      <c r="AKX37" s="153"/>
      <c r="AKY37" s="153"/>
      <c r="AKZ37" s="153"/>
      <c r="ALA37" s="153"/>
      <c r="ALB37" s="153"/>
      <c r="ALC37" s="153"/>
      <c r="ALD37" s="153"/>
      <c r="ALE37" s="153"/>
      <c r="ALF37" s="153"/>
      <c r="ALG37" s="153"/>
      <c r="ALH37" s="153"/>
      <c r="ALI37" s="153"/>
      <c r="ALJ37" s="153"/>
      <c r="ALK37" s="153"/>
      <c r="ALL37" s="153"/>
      <c r="ALM37" s="153"/>
      <c r="ALN37" s="153"/>
      <c r="ALO37" s="153"/>
      <c r="ALP37" s="153"/>
      <c r="ALQ37" s="153"/>
      <c r="ALR37" s="153"/>
      <c r="ALS37" s="153"/>
      <c r="ALT37" s="153"/>
      <c r="ALU37" s="153"/>
      <c r="ALV37" s="153"/>
      <c r="ALW37" s="153"/>
      <c r="ALX37" s="153"/>
      <c r="ALY37" s="153"/>
      <c r="ALZ37" s="153"/>
      <c r="AMA37" s="153"/>
      <c r="AMB37" s="153"/>
      <c r="AMC37" s="153"/>
      <c r="AMD37" s="153"/>
      <c r="AME37" s="153"/>
      <c r="AMF37" s="153"/>
      <c r="AMG37" s="153"/>
      <c r="AMH37" s="153"/>
      <c r="AMI37" s="153"/>
      <c r="AMJ37" s="153"/>
      <c r="AMK37" s="153"/>
    </row>
    <row r="38" spans="1:1025" s="417" customFormat="1" ht="11.25" x14ac:dyDescent="0.2">
      <c r="A38" s="153"/>
      <c r="B38" s="153"/>
      <c r="C38" s="153"/>
      <c r="D38" s="153"/>
      <c r="G38" s="153"/>
      <c r="H38" s="339" t="s">
        <v>871</v>
      </c>
      <c r="I38" s="406">
        <f>(I37/(SUM(D8:D18)))*100</f>
        <v>8.8725785136515949</v>
      </c>
      <c r="J38" s="388">
        <f>(J37/(SUM(D8:D18)))*100</f>
        <v>17.942410907303071</v>
      </c>
      <c r="K38" s="388">
        <f>(K37/(SUM(D8:D18))*100)</f>
        <v>1.3257708666055177</v>
      </c>
      <c r="L38" s="332">
        <f>(L37/(SUM(D8:D18)))*100</f>
        <v>28.14076028756018</v>
      </c>
      <c r="M38" s="153"/>
      <c r="N38" s="153"/>
      <c r="O38" s="153"/>
      <c r="P38" s="337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153"/>
      <c r="CR38" s="153"/>
      <c r="CS38" s="153"/>
      <c r="CT38" s="153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53"/>
      <c r="DN38" s="153"/>
      <c r="DO38" s="153"/>
      <c r="DP38" s="153"/>
      <c r="DQ38" s="153"/>
      <c r="DR38" s="153"/>
      <c r="DS38" s="153"/>
      <c r="DT38" s="153"/>
      <c r="DU38" s="153"/>
      <c r="DV38" s="153"/>
      <c r="DW38" s="153"/>
      <c r="DX38" s="153"/>
      <c r="DY38" s="153"/>
      <c r="DZ38" s="153"/>
      <c r="EA38" s="153"/>
      <c r="EB38" s="153"/>
      <c r="EC38" s="153"/>
      <c r="ED38" s="153"/>
      <c r="EE38" s="153"/>
      <c r="EF38" s="153"/>
      <c r="EG38" s="153"/>
      <c r="EH38" s="153"/>
      <c r="EI38" s="153"/>
      <c r="EJ38" s="153"/>
      <c r="EK38" s="153"/>
      <c r="EL38" s="153"/>
      <c r="EM38" s="153"/>
      <c r="EN38" s="153"/>
      <c r="EO38" s="153"/>
      <c r="EP38" s="153"/>
      <c r="EQ38" s="153"/>
      <c r="ER38" s="153"/>
      <c r="ES38" s="153"/>
      <c r="ET38" s="153"/>
      <c r="EU38" s="153"/>
      <c r="EV38" s="153"/>
      <c r="EW38" s="153"/>
      <c r="EX38" s="153"/>
      <c r="EY38" s="153"/>
      <c r="EZ38" s="153"/>
      <c r="FA38" s="153"/>
      <c r="FB38" s="153"/>
      <c r="FC38" s="153"/>
      <c r="FD38" s="153"/>
      <c r="FE38" s="153"/>
      <c r="FF38" s="153"/>
      <c r="FG38" s="153"/>
      <c r="FH38" s="153"/>
      <c r="FI38" s="153"/>
      <c r="FJ38" s="153"/>
      <c r="FK38" s="153"/>
      <c r="FL38" s="153"/>
      <c r="FM38" s="153"/>
      <c r="FN38" s="153"/>
      <c r="FO38" s="153"/>
      <c r="FP38" s="153"/>
      <c r="FQ38" s="153"/>
      <c r="FR38" s="153"/>
      <c r="FS38" s="153"/>
      <c r="FT38" s="153"/>
      <c r="FU38" s="153"/>
      <c r="FV38" s="153"/>
      <c r="FW38" s="153"/>
      <c r="FX38" s="153"/>
      <c r="FY38" s="153"/>
      <c r="FZ38" s="153"/>
      <c r="GA38" s="153"/>
      <c r="GB38" s="153"/>
      <c r="GC38" s="153"/>
      <c r="GD38" s="153"/>
      <c r="GE38" s="153"/>
      <c r="GF38" s="153"/>
      <c r="GG38" s="153"/>
      <c r="GH38" s="153"/>
      <c r="GI38" s="153"/>
      <c r="GJ38" s="153"/>
      <c r="GK38" s="153"/>
      <c r="GL38" s="153"/>
      <c r="GM38" s="153"/>
      <c r="GN38" s="153"/>
      <c r="GO38" s="153"/>
      <c r="GP38" s="153"/>
      <c r="GQ38" s="153"/>
      <c r="GR38" s="153"/>
      <c r="GS38" s="153"/>
      <c r="GT38" s="153"/>
      <c r="GU38" s="153"/>
      <c r="GV38" s="153"/>
      <c r="GW38" s="153"/>
      <c r="GX38" s="153"/>
      <c r="GY38" s="153"/>
      <c r="GZ38" s="153"/>
      <c r="HA38" s="153"/>
      <c r="HB38" s="153"/>
      <c r="HC38" s="153"/>
      <c r="HD38" s="153"/>
      <c r="HE38" s="153"/>
      <c r="HF38" s="153"/>
      <c r="HG38" s="153"/>
      <c r="HH38" s="153"/>
      <c r="HI38" s="153"/>
      <c r="HJ38" s="153"/>
      <c r="HK38" s="153"/>
      <c r="HL38" s="153"/>
      <c r="HM38" s="153"/>
      <c r="HN38" s="153"/>
      <c r="HO38" s="153"/>
      <c r="HP38" s="153"/>
      <c r="HQ38" s="153"/>
      <c r="HR38" s="153"/>
      <c r="HS38" s="153"/>
      <c r="HT38" s="153"/>
      <c r="HU38" s="153"/>
      <c r="HV38" s="153"/>
      <c r="HW38" s="153"/>
      <c r="HX38" s="153"/>
      <c r="HY38" s="153"/>
      <c r="HZ38" s="153"/>
      <c r="IA38" s="153"/>
      <c r="IB38" s="153"/>
      <c r="IC38" s="153"/>
      <c r="ID38" s="153"/>
      <c r="IE38" s="153"/>
      <c r="IF38" s="153"/>
      <c r="IG38" s="153"/>
      <c r="IH38" s="153"/>
      <c r="II38" s="153"/>
      <c r="IJ38" s="153"/>
      <c r="IK38" s="153"/>
      <c r="IL38" s="153"/>
      <c r="IM38" s="153"/>
      <c r="IN38" s="153"/>
      <c r="IO38" s="153"/>
      <c r="IP38" s="153"/>
      <c r="IQ38" s="153"/>
      <c r="IR38" s="153"/>
      <c r="IS38" s="153"/>
      <c r="IT38" s="153"/>
      <c r="IU38" s="153"/>
      <c r="IV38" s="153"/>
      <c r="IW38" s="153"/>
      <c r="IX38" s="153"/>
      <c r="IY38" s="153"/>
      <c r="IZ38" s="153"/>
      <c r="JA38" s="153"/>
      <c r="JB38" s="153"/>
      <c r="JC38" s="153"/>
      <c r="JD38" s="153"/>
      <c r="JE38" s="153"/>
      <c r="JF38" s="153"/>
      <c r="JG38" s="153"/>
      <c r="JH38" s="153"/>
      <c r="JI38" s="153"/>
      <c r="JJ38" s="153"/>
      <c r="JK38" s="153"/>
      <c r="JL38" s="153"/>
      <c r="JM38" s="153"/>
      <c r="JN38" s="153"/>
      <c r="JO38" s="153"/>
      <c r="JP38" s="153"/>
      <c r="JQ38" s="153"/>
      <c r="JR38" s="153"/>
      <c r="JS38" s="153"/>
      <c r="JT38" s="153"/>
      <c r="JU38" s="153"/>
      <c r="JV38" s="153"/>
      <c r="JW38" s="153"/>
      <c r="JX38" s="153"/>
      <c r="JY38" s="153"/>
      <c r="JZ38" s="153"/>
      <c r="KA38" s="153"/>
      <c r="KB38" s="153"/>
      <c r="KC38" s="153"/>
      <c r="KD38" s="153"/>
      <c r="KE38" s="153"/>
      <c r="KF38" s="153"/>
      <c r="KG38" s="153"/>
      <c r="KH38" s="153"/>
      <c r="KI38" s="153"/>
      <c r="KJ38" s="153"/>
      <c r="KK38" s="153"/>
      <c r="KL38" s="153"/>
      <c r="KM38" s="153"/>
      <c r="KN38" s="153"/>
      <c r="KO38" s="153"/>
      <c r="KP38" s="153"/>
      <c r="KQ38" s="153"/>
      <c r="KR38" s="153"/>
      <c r="KS38" s="153"/>
      <c r="KT38" s="153"/>
      <c r="KU38" s="153"/>
      <c r="KV38" s="153"/>
      <c r="KW38" s="153"/>
      <c r="KX38" s="153"/>
      <c r="KY38" s="153"/>
      <c r="KZ38" s="153"/>
      <c r="LA38" s="153"/>
      <c r="LB38" s="153"/>
      <c r="LC38" s="153"/>
      <c r="LD38" s="153"/>
      <c r="LE38" s="153"/>
      <c r="LF38" s="153"/>
      <c r="LG38" s="153"/>
      <c r="LH38" s="153"/>
      <c r="LI38" s="153"/>
      <c r="LJ38" s="153"/>
      <c r="LK38" s="153"/>
      <c r="LL38" s="153"/>
      <c r="LM38" s="153"/>
      <c r="LN38" s="153"/>
      <c r="LO38" s="153"/>
      <c r="LP38" s="153"/>
      <c r="LQ38" s="153"/>
      <c r="LR38" s="153"/>
      <c r="LS38" s="153"/>
      <c r="LT38" s="153"/>
      <c r="LU38" s="153"/>
      <c r="LV38" s="153"/>
      <c r="LW38" s="153"/>
      <c r="LX38" s="153"/>
      <c r="LY38" s="153"/>
      <c r="LZ38" s="153"/>
      <c r="MA38" s="153"/>
      <c r="MB38" s="153"/>
      <c r="MC38" s="153"/>
      <c r="MD38" s="153"/>
      <c r="ME38" s="153"/>
      <c r="MF38" s="153"/>
      <c r="MG38" s="153"/>
      <c r="MH38" s="153"/>
      <c r="MI38" s="153"/>
      <c r="MJ38" s="153"/>
      <c r="MK38" s="153"/>
      <c r="ML38" s="153"/>
      <c r="MM38" s="153"/>
      <c r="MN38" s="153"/>
      <c r="MO38" s="153"/>
      <c r="MP38" s="153"/>
      <c r="MQ38" s="153"/>
      <c r="MR38" s="153"/>
      <c r="MS38" s="153"/>
      <c r="MT38" s="153"/>
      <c r="MU38" s="153"/>
      <c r="MV38" s="153"/>
      <c r="MW38" s="153"/>
      <c r="MX38" s="153"/>
      <c r="MY38" s="153"/>
      <c r="MZ38" s="153"/>
      <c r="NA38" s="153"/>
      <c r="NB38" s="153"/>
      <c r="NC38" s="153"/>
      <c r="ND38" s="153"/>
      <c r="NE38" s="153"/>
      <c r="NF38" s="153"/>
      <c r="NG38" s="153"/>
      <c r="NH38" s="153"/>
      <c r="NI38" s="153"/>
      <c r="NJ38" s="153"/>
      <c r="NK38" s="153"/>
      <c r="NL38" s="153"/>
      <c r="NM38" s="153"/>
      <c r="NN38" s="153"/>
      <c r="NO38" s="153"/>
      <c r="NP38" s="153"/>
      <c r="NQ38" s="153"/>
      <c r="NR38" s="153"/>
      <c r="NS38" s="153"/>
      <c r="NT38" s="153"/>
      <c r="NU38" s="153"/>
      <c r="NV38" s="153"/>
      <c r="NW38" s="153"/>
      <c r="NX38" s="153"/>
      <c r="NY38" s="153"/>
      <c r="NZ38" s="153"/>
      <c r="OA38" s="153"/>
      <c r="OB38" s="153"/>
      <c r="OC38" s="153"/>
      <c r="OD38" s="153"/>
      <c r="OE38" s="153"/>
      <c r="OF38" s="153"/>
      <c r="OG38" s="153"/>
      <c r="OH38" s="153"/>
      <c r="OI38" s="153"/>
      <c r="OJ38" s="153"/>
      <c r="OK38" s="153"/>
      <c r="OL38" s="153"/>
      <c r="OM38" s="153"/>
      <c r="ON38" s="153"/>
      <c r="OO38" s="153"/>
      <c r="OP38" s="153"/>
      <c r="OQ38" s="153"/>
      <c r="OR38" s="153"/>
      <c r="OS38" s="153"/>
      <c r="OT38" s="153"/>
      <c r="OU38" s="153"/>
      <c r="OV38" s="153"/>
      <c r="OW38" s="153"/>
      <c r="OX38" s="153"/>
      <c r="OY38" s="153"/>
      <c r="OZ38" s="153"/>
      <c r="PA38" s="153"/>
      <c r="PB38" s="153"/>
      <c r="PC38" s="153"/>
      <c r="PD38" s="153"/>
      <c r="PE38" s="153"/>
      <c r="PF38" s="153"/>
      <c r="PG38" s="153"/>
      <c r="PH38" s="153"/>
      <c r="PI38" s="153"/>
      <c r="PJ38" s="153"/>
      <c r="PK38" s="153"/>
      <c r="PL38" s="153"/>
      <c r="PM38" s="153"/>
      <c r="PN38" s="153"/>
      <c r="PO38" s="153"/>
      <c r="PP38" s="153"/>
      <c r="PQ38" s="153"/>
      <c r="PR38" s="153"/>
      <c r="PS38" s="153"/>
      <c r="PT38" s="153"/>
      <c r="PU38" s="153"/>
      <c r="PV38" s="153"/>
      <c r="PW38" s="153"/>
      <c r="PX38" s="153"/>
      <c r="PY38" s="153"/>
      <c r="PZ38" s="153"/>
      <c r="QA38" s="153"/>
      <c r="QB38" s="153"/>
      <c r="QC38" s="153"/>
      <c r="QD38" s="153"/>
      <c r="QE38" s="153"/>
      <c r="QF38" s="153"/>
      <c r="QG38" s="153"/>
      <c r="QH38" s="153"/>
      <c r="QI38" s="153"/>
      <c r="QJ38" s="153"/>
      <c r="QK38" s="153"/>
      <c r="QL38" s="153"/>
      <c r="QM38" s="153"/>
      <c r="QN38" s="153"/>
      <c r="QO38" s="153"/>
      <c r="QP38" s="153"/>
      <c r="QQ38" s="153"/>
      <c r="QR38" s="153"/>
      <c r="QS38" s="153"/>
      <c r="QT38" s="153"/>
      <c r="QU38" s="153"/>
      <c r="QV38" s="153"/>
      <c r="QW38" s="153"/>
      <c r="QX38" s="153"/>
      <c r="QY38" s="153"/>
      <c r="QZ38" s="153"/>
      <c r="RA38" s="153"/>
      <c r="RB38" s="153"/>
      <c r="RC38" s="153"/>
      <c r="RD38" s="153"/>
      <c r="RE38" s="153"/>
      <c r="RF38" s="153"/>
      <c r="RG38" s="153"/>
      <c r="RH38" s="153"/>
      <c r="RI38" s="153"/>
      <c r="RJ38" s="153"/>
      <c r="RK38" s="153"/>
      <c r="RL38" s="153"/>
      <c r="RM38" s="153"/>
      <c r="RN38" s="153"/>
      <c r="RO38" s="153"/>
      <c r="RP38" s="153"/>
      <c r="RQ38" s="153"/>
      <c r="RR38" s="153"/>
      <c r="RS38" s="153"/>
      <c r="RT38" s="153"/>
      <c r="RU38" s="153"/>
      <c r="RV38" s="153"/>
      <c r="RW38" s="153"/>
      <c r="RX38" s="153"/>
      <c r="RY38" s="153"/>
      <c r="RZ38" s="153"/>
      <c r="SA38" s="153"/>
      <c r="SB38" s="153"/>
      <c r="SC38" s="153"/>
      <c r="SD38" s="153"/>
      <c r="SE38" s="153"/>
      <c r="SF38" s="153"/>
      <c r="SG38" s="153"/>
      <c r="SH38" s="153"/>
      <c r="SI38" s="153"/>
      <c r="SJ38" s="153"/>
      <c r="SK38" s="153"/>
      <c r="SL38" s="153"/>
      <c r="SM38" s="153"/>
      <c r="SN38" s="153"/>
      <c r="SO38" s="153"/>
      <c r="SP38" s="153"/>
      <c r="SQ38" s="153"/>
      <c r="SR38" s="153"/>
      <c r="SS38" s="153"/>
      <c r="ST38" s="153"/>
      <c r="SU38" s="153"/>
      <c r="SV38" s="153"/>
      <c r="SW38" s="153"/>
      <c r="SX38" s="153"/>
      <c r="SY38" s="153"/>
      <c r="SZ38" s="153"/>
      <c r="TA38" s="153"/>
      <c r="TB38" s="153"/>
      <c r="TC38" s="153"/>
      <c r="TD38" s="153"/>
      <c r="TE38" s="153"/>
      <c r="TF38" s="153"/>
      <c r="TG38" s="153"/>
      <c r="TH38" s="153"/>
      <c r="TI38" s="153"/>
      <c r="TJ38" s="153"/>
      <c r="TK38" s="153"/>
      <c r="TL38" s="153"/>
      <c r="TM38" s="153"/>
      <c r="TN38" s="153"/>
      <c r="TO38" s="153"/>
      <c r="TP38" s="153"/>
      <c r="TQ38" s="153"/>
      <c r="TR38" s="153"/>
      <c r="TS38" s="153"/>
      <c r="TT38" s="153"/>
      <c r="TU38" s="153"/>
      <c r="TV38" s="153"/>
      <c r="TW38" s="153"/>
      <c r="TX38" s="153"/>
      <c r="TY38" s="153"/>
      <c r="TZ38" s="153"/>
      <c r="UA38" s="153"/>
      <c r="UB38" s="153"/>
      <c r="UC38" s="153"/>
      <c r="UD38" s="153"/>
      <c r="UE38" s="153"/>
      <c r="UF38" s="153"/>
      <c r="UG38" s="153"/>
      <c r="UH38" s="153"/>
      <c r="UI38" s="153"/>
      <c r="UJ38" s="153"/>
      <c r="UK38" s="153"/>
      <c r="UL38" s="153"/>
      <c r="UM38" s="153"/>
      <c r="UN38" s="153"/>
      <c r="UO38" s="153"/>
      <c r="UP38" s="153"/>
      <c r="UQ38" s="153"/>
      <c r="UR38" s="153"/>
      <c r="US38" s="153"/>
      <c r="UT38" s="153"/>
      <c r="UU38" s="153"/>
      <c r="UV38" s="153"/>
      <c r="UW38" s="153"/>
      <c r="UX38" s="153"/>
      <c r="UY38" s="153"/>
      <c r="UZ38" s="153"/>
      <c r="VA38" s="153"/>
      <c r="VB38" s="153"/>
      <c r="VC38" s="153"/>
      <c r="VD38" s="153"/>
      <c r="VE38" s="153"/>
      <c r="VF38" s="153"/>
      <c r="VG38" s="153"/>
      <c r="VH38" s="153"/>
      <c r="VI38" s="153"/>
      <c r="VJ38" s="153"/>
      <c r="VK38" s="153"/>
      <c r="VL38" s="153"/>
      <c r="VM38" s="153"/>
      <c r="VN38" s="153"/>
      <c r="VO38" s="153"/>
      <c r="VP38" s="153"/>
      <c r="VQ38" s="153"/>
      <c r="VR38" s="153"/>
      <c r="VS38" s="153"/>
      <c r="VT38" s="153"/>
      <c r="VU38" s="153"/>
      <c r="VV38" s="153"/>
      <c r="VW38" s="153"/>
      <c r="VX38" s="153"/>
      <c r="VY38" s="153"/>
      <c r="VZ38" s="153"/>
      <c r="WA38" s="153"/>
      <c r="WB38" s="153"/>
      <c r="WC38" s="153"/>
      <c r="WD38" s="153"/>
      <c r="WE38" s="153"/>
      <c r="WF38" s="153"/>
      <c r="WG38" s="153"/>
      <c r="WH38" s="153"/>
      <c r="WI38" s="153"/>
      <c r="WJ38" s="153"/>
      <c r="WK38" s="153"/>
      <c r="WL38" s="153"/>
      <c r="WM38" s="153"/>
      <c r="WN38" s="153"/>
      <c r="WO38" s="153"/>
      <c r="WP38" s="153"/>
      <c r="WQ38" s="153"/>
      <c r="WR38" s="153"/>
      <c r="WS38" s="153"/>
      <c r="WT38" s="153"/>
      <c r="WU38" s="153"/>
      <c r="WV38" s="153"/>
      <c r="WW38" s="153"/>
      <c r="WX38" s="153"/>
      <c r="WY38" s="153"/>
      <c r="WZ38" s="153"/>
      <c r="XA38" s="153"/>
      <c r="XB38" s="153"/>
      <c r="XC38" s="153"/>
      <c r="XD38" s="153"/>
      <c r="XE38" s="153"/>
      <c r="XF38" s="153"/>
      <c r="XG38" s="153"/>
      <c r="XH38" s="153"/>
      <c r="XI38" s="153"/>
      <c r="XJ38" s="153"/>
      <c r="XK38" s="153"/>
      <c r="XL38" s="153"/>
      <c r="XM38" s="153"/>
      <c r="XN38" s="153"/>
      <c r="XO38" s="153"/>
      <c r="XP38" s="153"/>
      <c r="XQ38" s="153"/>
      <c r="XR38" s="153"/>
      <c r="XS38" s="153"/>
      <c r="XT38" s="153"/>
      <c r="XU38" s="153"/>
      <c r="XV38" s="153"/>
      <c r="XW38" s="153"/>
      <c r="XX38" s="153"/>
      <c r="XY38" s="153"/>
      <c r="XZ38" s="153"/>
      <c r="YA38" s="153"/>
      <c r="YB38" s="153"/>
      <c r="YC38" s="153"/>
      <c r="YD38" s="153"/>
      <c r="YE38" s="153"/>
      <c r="YF38" s="153"/>
      <c r="YG38" s="153"/>
      <c r="YH38" s="153"/>
      <c r="YI38" s="153"/>
      <c r="YJ38" s="153"/>
      <c r="YK38" s="153"/>
      <c r="YL38" s="153"/>
      <c r="YM38" s="153"/>
      <c r="YN38" s="153"/>
      <c r="YO38" s="153"/>
      <c r="YP38" s="153"/>
      <c r="YQ38" s="153"/>
      <c r="YR38" s="153"/>
      <c r="YS38" s="153"/>
      <c r="YT38" s="153"/>
      <c r="YU38" s="153"/>
      <c r="YV38" s="153"/>
      <c r="YW38" s="153"/>
      <c r="YX38" s="153"/>
      <c r="YY38" s="153"/>
      <c r="YZ38" s="153"/>
      <c r="ZA38" s="153"/>
      <c r="ZB38" s="153"/>
      <c r="ZC38" s="153"/>
      <c r="ZD38" s="153"/>
      <c r="ZE38" s="153"/>
      <c r="ZF38" s="153"/>
      <c r="ZG38" s="153"/>
      <c r="ZH38" s="153"/>
      <c r="ZI38" s="153"/>
      <c r="ZJ38" s="153"/>
      <c r="ZK38" s="153"/>
      <c r="ZL38" s="153"/>
      <c r="ZM38" s="153"/>
      <c r="ZN38" s="153"/>
      <c r="ZO38" s="153"/>
      <c r="ZP38" s="153"/>
      <c r="ZQ38" s="153"/>
      <c r="ZR38" s="153"/>
      <c r="ZS38" s="153"/>
      <c r="ZT38" s="153"/>
      <c r="ZU38" s="153"/>
      <c r="ZV38" s="153"/>
      <c r="ZW38" s="153"/>
      <c r="ZX38" s="153"/>
      <c r="ZY38" s="153"/>
      <c r="ZZ38" s="153"/>
      <c r="AAA38" s="153"/>
      <c r="AAB38" s="153"/>
      <c r="AAC38" s="153"/>
      <c r="AAD38" s="153"/>
      <c r="AAE38" s="153"/>
      <c r="AAF38" s="153"/>
      <c r="AAG38" s="153"/>
      <c r="AAH38" s="153"/>
      <c r="AAI38" s="153"/>
      <c r="AAJ38" s="153"/>
      <c r="AAK38" s="153"/>
      <c r="AAL38" s="153"/>
      <c r="AAM38" s="153"/>
      <c r="AAN38" s="153"/>
      <c r="AAO38" s="153"/>
      <c r="AAP38" s="153"/>
      <c r="AAQ38" s="153"/>
      <c r="AAR38" s="153"/>
      <c r="AAS38" s="153"/>
      <c r="AAT38" s="153"/>
      <c r="AAU38" s="153"/>
      <c r="AAV38" s="153"/>
      <c r="AAW38" s="153"/>
      <c r="AAX38" s="153"/>
      <c r="AAY38" s="153"/>
      <c r="AAZ38" s="153"/>
      <c r="ABA38" s="153"/>
      <c r="ABB38" s="153"/>
      <c r="ABC38" s="153"/>
      <c r="ABD38" s="153"/>
      <c r="ABE38" s="153"/>
      <c r="ABF38" s="153"/>
      <c r="ABG38" s="153"/>
      <c r="ABH38" s="153"/>
      <c r="ABI38" s="153"/>
      <c r="ABJ38" s="153"/>
      <c r="ABK38" s="153"/>
      <c r="ABL38" s="153"/>
      <c r="ABM38" s="153"/>
      <c r="ABN38" s="153"/>
      <c r="ABO38" s="153"/>
      <c r="ABP38" s="153"/>
      <c r="ABQ38" s="153"/>
      <c r="ABR38" s="153"/>
      <c r="ABS38" s="153"/>
      <c r="ABT38" s="153"/>
      <c r="ABU38" s="153"/>
      <c r="ABV38" s="153"/>
      <c r="ABW38" s="153"/>
      <c r="ABX38" s="153"/>
      <c r="ABY38" s="153"/>
      <c r="ABZ38" s="153"/>
      <c r="ACA38" s="153"/>
      <c r="ACB38" s="153"/>
      <c r="ACC38" s="153"/>
      <c r="ACD38" s="153"/>
      <c r="ACE38" s="153"/>
      <c r="ACF38" s="153"/>
      <c r="ACG38" s="153"/>
      <c r="ACH38" s="153"/>
      <c r="ACI38" s="153"/>
      <c r="ACJ38" s="153"/>
      <c r="ACK38" s="153"/>
      <c r="ACL38" s="153"/>
      <c r="ACM38" s="153"/>
      <c r="ACN38" s="153"/>
      <c r="ACO38" s="153"/>
      <c r="ACP38" s="153"/>
      <c r="ACQ38" s="153"/>
      <c r="ACR38" s="153"/>
      <c r="ACS38" s="153"/>
      <c r="ACT38" s="153"/>
      <c r="ACU38" s="153"/>
      <c r="ACV38" s="153"/>
      <c r="ACW38" s="153"/>
      <c r="ACX38" s="153"/>
      <c r="ACY38" s="153"/>
      <c r="ACZ38" s="153"/>
      <c r="ADA38" s="153"/>
      <c r="ADB38" s="153"/>
      <c r="ADC38" s="153"/>
      <c r="ADD38" s="153"/>
      <c r="ADE38" s="153"/>
      <c r="ADF38" s="153"/>
      <c r="ADG38" s="153"/>
      <c r="ADH38" s="153"/>
      <c r="ADI38" s="153"/>
      <c r="ADJ38" s="153"/>
      <c r="ADK38" s="153"/>
      <c r="ADL38" s="153"/>
      <c r="ADM38" s="153"/>
      <c r="ADN38" s="153"/>
      <c r="ADO38" s="153"/>
      <c r="ADP38" s="153"/>
      <c r="ADQ38" s="153"/>
      <c r="ADR38" s="153"/>
      <c r="ADS38" s="153"/>
      <c r="ADT38" s="153"/>
      <c r="ADU38" s="153"/>
      <c r="ADV38" s="153"/>
      <c r="ADW38" s="153"/>
      <c r="ADX38" s="153"/>
      <c r="ADY38" s="153"/>
      <c r="ADZ38" s="153"/>
      <c r="AEA38" s="153"/>
      <c r="AEB38" s="153"/>
      <c r="AEC38" s="153"/>
      <c r="AED38" s="153"/>
      <c r="AEE38" s="153"/>
      <c r="AEF38" s="153"/>
      <c r="AEG38" s="153"/>
      <c r="AEH38" s="153"/>
      <c r="AEI38" s="153"/>
      <c r="AEJ38" s="153"/>
      <c r="AEK38" s="153"/>
      <c r="AEL38" s="153"/>
      <c r="AEM38" s="153"/>
      <c r="AEN38" s="153"/>
      <c r="AEO38" s="153"/>
      <c r="AEP38" s="153"/>
      <c r="AEQ38" s="153"/>
      <c r="AER38" s="153"/>
      <c r="AES38" s="153"/>
      <c r="AET38" s="153"/>
      <c r="AEU38" s="153"/>
      <c r="AEV38" s="153"/>
      <c r="AEW38" s="153"/>
      <c r="AEX38" s="153"/>
      <c r="AEY38" s="153"/>
      <c r="AEZ38" s="153"/>
      <c r="AFA38" s="153"/>
      <c r="AFB38" s="153"/>
      <c r="AFC38" s="153"/>
      <c r="AFD38" s="153"/>
      <c r="AFE38" s="153"/>
      <c r="AFF38" s="153"/>
      <c r="AFG38" s="153"/>
      <c r="AFH38" s="153"/>
      <c r="AFI38" s="153"/>
      <c r="AFJ38" s="153"/>
      <c r="AFK38" s="153"/>
      <c r="AFL38" s="153"/>
      <c r="AFM38" s="153"/>
      <c r="AFN38" s="153"/>
      <c r="AFO38" s="153"/>
      <c r="AFP38" s="153"/>
      <c r="AFQ38" s="153"/>
      <c r="AFR38" s="153"/>
      <c r="AFS38" s="153"/>
      <c r="AFT38" s="153"/>
      <c r="AFU38" s="153"/>
      <c r="AFV38" s="153"/>
      <c r="AFW38" s="153"/>
      <c r="AFX38" s="153"/>
      <c r="AFY38" s="153"/>
      <c r="AFZ38" s="153"/>
      <c r="AGA38" s="153"/>
      <c r="AGB38" s="153"/>
      <c r="AGC38" s="153"/>
      <c r="AGD38" s="153"/>
      <c r="AGE38" s="153"/>
      <c r="AGF38" s="153"/>
      <c r="AGG38" s="153"/>
      <c r="AGH38" s="153"/>
      <c r="AGI38" s="153"/>
      <c r="AGJ38" s="153"/>
      <c r="AGK38" s="153"/>
      <c r="AGL38" s="153"/>
      <c r="AGM38" s="153"/>
      <c r="AGN38" s="153"/>
      <c r="AGO38" s="153"/>
      <c r="AGP38" s="153"/>
      <c r="AGQ38" s="153"/>
      <c r="AGR38" s="153"/>
      <c r="AGS38" s="153"/>
      <c r="AGT38" s="153"/>
      <c r="AGU38" s="153"/>
      <c r="AGV38" s="153"/>
      <c r="AGW38" s="153"/>
      <c r="AGX38" s="153"/>
      <c r="AGY38" s="153"/>
      <c r="AGZ38" s="153"/>
      <c r="AHA38" s="153"/>
      <c r="AHB38" s="153"/>
      <c r="AHC38" s="153"/>
      <c r="AHD38" s="153"/>
      <c r="AHE38" s="153"/>
      <c r="AHF38" s="153"/>
      <c r="AHG38" s="153"/>
      <c r="AHH38" s="153"/>
      <c r="AHI38" s="153"/>
      <c r="AHJ38" s="153"/>
      <c r="AHK38" s="153"/>
      <c r="AHL38" s="153"/>
      <c r="AHM38" s="153"/>
      <c r="AHN38" s="153"/>
      <c r="AHO38" s="153"/>
      <c r="AHP38" s="153"/>
      <c r="AHQ38" s="153"/>
      <c r="AHR38" s="153"/>
      <c r="AHS38" s="153"/>
      <c r="AHT38" s="153"/>
      <c r="AHU38" s="153"/>
      <c r="AHV38" s="153"/>
      <c r="AHW38" s="153"/>
      <c r="AHX38" s="153"/>
      <c r="AHY38" s="153"/>
      <c r="AHZ38" s="153"/>
      <c r="AIA38" s="153"/>
      <c r="AIB38" s="153"/>
      <c r="AIC38" s="153"/>
      <c r="AID38" s="153"/>
      <c r="AIE38" s="153"/>
      <c r="AIF38" s="153"/>
      <c r="AIG38" s="153"/>
      <c r="AIH38" s="153"/>
      <c r="AII38" s="153"/>
      <c r="AIJ38" s="153"/>
      <c r="AIK38" s="153"/>
      <c r="AIL38" s="153"/>
      <c r="AIM38" s="153"/>
      <c r="AIN38" s="153"/>
      <c r="AIO38" s="153"/>
      <c r="AIP38" s="153"/>
      <c r="AIQ38" s="153"/>
      <c r="AIR38" s="153"/>
      <c r="AIS38" s="153"/>
      <c r="AIT38" s="153"/>
      <c r="AIU38" s="153"/>
      <c r="AIV38" s="153"/>
      <c r="AIW38" s="153"/>
      <c r="AIX38" s="153"/>
      <c r="AIY38" s="153"/>
      <c r="AIZ38" s="153"/>
      <c r="AJA38" s="153"/>
      <c r="AJB38" s="153"/>
      <c r="AJC38" s="153"/>
      <c r="AJD38" s="153"/>
      <c r="AJE38" s="153"/>
      <c r="AJF38" s="153"/>
      <c r="AJG38" s="153"/>
      <c r="AJH38" s="153"/>
      <c r="AJI38" s="153"/>
      <c r="AJJ38" s="153"/>
      <c r="AJK38" s="153"/>
      <c r="AJL38" s="153"/>
      <c r="AJM38" s="153"/>
      <c r="AJN38" s="153"/>
      <c r="AJO38" s="153"/>
      <c r="AJP38" s="153"/>
      <c r="AJQ38" s="153"/>
      <c r="AJR38" s="153"/>
      <c r="AJS38" s="153"/>
      <c r="AJT38" s="153"/>
      <c r="AJU38" s="153"/>
      <c r="AJV38" s="153"/>
      <c r="AJW38" s="153"/>
      <c r="AJX38" s="153"/>
      <c r="AJY38" s="153"/>
      <c r="AJZ38" s="153"/>
      <c r="AKA38" s="153"/>
      <c r="AKB38" s="153"/>
      <c r="AKC38" s="153"/>
      <c r="AKD38" s="153"/>
      <c r="AKE38" s="153"/>
      <c r="AKF38" s="153"/>
      <c r="AKG38" s="153"/>
      <c r="AKH38" s="153"/>
      <c r="AKI38" s="153"/>
      <c r="AKJ38" s="153"/>
      <c r="AKK38" s="153"/>
      <c r="AKL38" s="153"/>
      <c r="AKM38" s="153"/>
      <c r="AKN38" s="153"/>
      <c r="AKO38" s="153"/>
      <c r="AKP38" s="153"/>
      <c r="AKQ38" s="153"/>
      <c r="AKR38" s="153"/>
      <c r="AKS38" s="153"/>
      <c r="AKT38" s="153"/>
      <c r="AKU38" s="153"/>
      <c r="AKV38" s="153"/>
      <c r="AKW38" s="153"/>
      <c r="AKX38" s="153"/>
      <c r="AKY38" s="153"/>
      <c r="AKZ38" s="153"/>
      <c r="ALA38" s="153"/>
      <c r="ALB38" s="153"/>
      <c r="ALC38" s="153"/>
      <c r="ALD38" s="153"/>
      <c r="ALE38" s="153"/>
      <c r="ALF38" s="153"/>
      <c r="ALG38" s="153"/>
      <c r="ALH38" s="153"/>
      <c r="ALI38" s="153"/>
      <c r="ALJ38" s="153"/>
      <c r="ALK38" s="153"/>
      <c r="ALL38" s="153"/>
      <c r="ALM38" s="153"/>
      <c r="ALN38" s="153"/>
      <c r="ALO38" s="153"/>
      <c r="ALP38" s="153"/>
      <c r="ALQ38" s="153"/>
      <c r="ALR38" s="153"/>
      <c r="ALS38" s="153"/>
      <c r="ALT38" s="153"/>
      <c r="ALU38" s="153"/>
      <c r="ALV38" s="153"/>
      <c r="ALW38" s="153"/>
      <c r="ALX38" s="153"/>
      <c r="ALY38" s="153"/>
      <c r="ALZ38" s="153"/>
      <c r="AMA38" s="153"/>
      <c r="AMB38" s="153"/>
      <c r="AMC38" s="153"/>
      <c r="AMD38" s="153"/>
      <c r="AME38" s="153"/>
      <c r="AMF38" s="153"/>
      <c r="AMG38" s="153"/>
      <c r="AMH38" s="153"/>
      <c r="AMI38" s="153"/>
      <c r="AMJ38" s="153"/>
      <c r="AMK38" s="153"/>
    </row>
    <row r="39" spans="1:1025" s="417" customFormat="1" ht="11.25" x14ac:dyDescent="0.2">
      <c r="A39" s="153"/>
      <c r="B39" s="153"/>
      <c r="C39" s="153"/>
      <c r="D39" s="153"/>
      <c r="G39" s="153"/>
      <c r="H39" s="392"/>
      <c r="I39" s="409"/>
      <c r="J39" s="409"/>
      <c r="K39" s="409"/>
      <c r="L39" s="284"/>
      <c r="M39" s="153"/>
      <c r="N39" s="153"/>
      <c r="O39" s="153"/>
      <c r="P39" s="336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153"/>
      <c r="CQ39" s="153"/>
      <c r="CR39" s="153"/>
      <c r="CS39" s="153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153"/>
      <c r="DM39" s="153"/>
      <c r="DN39" s="153"/>
      <c r="DO39" s="153"/>
      <c r="DP39" s="153"/>
      <c r="DQ39" s="153"/>
      <c r="DR39" s="153"/>
      <c r="DS39" s="153"/>
      <c r="DT39" s="153"/>
      <c r="DU39" s="153"/>
      <c r="DV39" s="153"/>
      <c r="DW39" s="153"/>
      <c r="DX39" s="153"/>
      <c r="DY39" s="153"/>
      <c r="DZ39" s="153"/>
      <c r="EA39" s="153"/>
      <c r="EB39" s="153"/>
      <c r="EC39" s="153"/>
      <c r="ED39" s="153"/>
      <c r="EE39" s="153"/>
      <c r="EF39" s="153"/>
      <c r="EG39" s="153"/>
      <c r="EH39" s="153"/>
      <c r="EI39" s="153"/>
      <c r="EJ39" s="153"/>
      <c r="EK39" s="153"/>
      <c r="EL39" s="153"/>
      <c r="EM39" s="153"/>
      <c r="EN39" s="153"/>
      <c r="EO39" s="153"/>
      <c r="EP39" s="153"/>
      <c r="EQ39" s="153"/>
      <c r="ER39" s="153"/>
      <c r="ES39" s="153"/>
      <c r="ET39" s="153"/>
      <c r="EU39" s="153"/>
      <c r="EV39" s="153"/>
      <c r="EW39" s="153"/>
      <c r="EX39" s="153"/>
      <c r="EY39" s="153"/>
      <c r="EZ39" s="153"/>
      <c r="FA39" s="153"/>
      <c r="FB39" s="153"/>
      <c r="FC39" s="153"/>
      <c r="FD39" s="153"/>
      <c r="FE39" s="153"/>
      <c r="FF39" s="153"/>
      <c r="FG39" s="153"/>
      <c r="FH39" s="153"/>
      <c r="FI39" s="153"/>
      <c r="FJ39" s="153"/>
      <c r="FK39" s="153"/>
      <c r="FL39" s="153"/>
      <c r="FM39" s="153"/>
      <c r="FN39" s="153"/>
      <c r="FO39" s="153"/>
      <c r="FP39" s="153"/>
      <c r="FQ39" s="153"/>
      <c r="FR39" s="153"/>
      <c r="FS39" s="153"/>
      <c r="FT39" s="153"/>
      <c r="FU39" s="153"/>
      <c r="FV39" s="153"/>
      <c r="FW39" s="153"/>
      <c r="FX39" s="153"/>
      <c r="FY39" s="153"/>
      <c r="FZ39" s="153"/>
      <c r="GA39" s="153"/>
      <c r="GB39" s="153"/>
      <c r="GC39" s="153"/>
      <c r="GD39" s="153"/>
      <c r="GE39" s="153"/>
      <c r="GF39" s="153"/>
      <c r="GG39" s="153"/>
      <c r="GH39" s="153"/>
      <c r="GI39" s="153"/>
      <c r="GJ39" s="153"/>
      <c r="GK39" s="153"/>
      <c r="GL39" s="153"/>
      <c r="GM39" s="153"/>
      <c r="GN39" s="153"/>
      <c r="GO39" s="153"/>
      <c r="GP39" s="153"/>
      <c r="GQ39" s="153"/>
      <c r="GR39" s="153"/>
      <c r="GS39" s="153"/>
      <c r="GT39" s="153"/>
      <c r="GU39" s="153"/>
      <c r="GV39" s="153"/>
      <c r="GW39" s="153"/>
      <c r="GX39" s="153"/>
      <c r="GY39" s="153"/>
      <c r="GZ39" s="153"/>
      <c r="HA39" s="153"/>
      <c r="HB39" s="153"/>
      <c r="HC39" s="153"/>
      <c r="HD39" s="153"/>
      <c r="HE39" s="153"/>
      <c r="HF39" s="153"/>
      <c r="HG39" s="153"/>
      <c r="HH39" s="153"/>
      <c r="HI39" s="153"/>
      <c r="HJ39" s="153"/>
      <c r="HK39" s="153"/>
      <c r="HL39" s="153"/>
      <c r="HM39" s="153"/>
      <c r="HN39" s="153"/>
      <c r="HO39" s="153"/>
      <c r="HP39" s="153"/>
      <c r="HQ39" s="153"/>
      <c r="HR39" s="153"/>
      <c r="HS39" s="153"/>
      <c r="HT39" s="153"/>
      <c r="HU39" s="153"/>
      <c r="HV39" s="153"/>
      <c r="HW39" s="153"/>
      <c r="HX39" s="153"/>
      <c r="HY39" s="153"/>
      <c r="HZ39" s="153"/>
      <c r="IA39" s="153"/>
      <c r="IB39" s="153"/>
      <c r="IC39" s="153"/>
      <c r="ID39" s="153"/>
      <c r="IE39" s="153"/>
      <c r="IF39" s="153"/>
      <c r="IG39" s="153"/>
      <c r="IH39" s="153"/>
      <c r="II39" s="153"/>
      <c r="IJ39" s="153"/>
      <c r="IK39" s="153"/>
      <c r="IL39" s="153"/>
      <c r="IM39" s="153"/>
      <c r="IN39" s="153"/>
      <c r="IO39" s="153"/>
      <c r="IP39" s="153"/>
      <c r="IQ39" s="153"/>
      <c r="IR39" s="153"/>
      <c r="IS39" s="153"/>
      <c r="IT39" s="153"/>
      <c r="IU39" s="153"/>
      <c r="IV39" s="153"/>
      <c r="IW39" s="153"/>
      <c r="IX39" s="153"/>
      <c r="IY39" s="153"/>
      <c r="IZ39" s="153"/>
      <c r="JA39" s="153"/>
      <c r="JB39" s="153"/>
      <c r="JC39" s="153"/>
      <c r="JD39" s="153"/>
      <c r="JE39" s="153"/>
      <c r="JF39" s="153"/>
      <c r="JG39" s="153"/>
      <c r="JH39" s="153"/>
      <c r="JI39" s="153"/>
      <c r="JJ39" s="153"/>
      <c r="JK39" s="153"/>
      <c r="JL39" s="153"/>
      <c r="JM39" s="153"/>
      <c r="JN39" s="153"/>
      <c r="JO39" s="153"/>
      <c r="JP39" s="153"/>
      <c r="JQ39" s="153"/>
      <c r="JR39" s="153"/>
      <c r="JS39" s="153"/>
      <c r="JT39" s="153"/>
      <c r="JU39" s="153"/>
      <c r="JV39" s="153"/>
      <c r="JW39" s="153"/>
      <c r="JX39" s="153"/>
      <c r="JY39" s="153"/>
      <c r="JZ39" s="153"/>
      <c r="KA39" s="153"/>
      <c r="KB39" s="153"/>
      <c r="KC39" s="153"/>
      <c r="KD39" s="153"/>
      <c r="KE39" s="153"/>
      <c r="KF39" s="153"/>
      <c r="KG39" s="153"/>
      <c r="KH39" s="153"/>
      <c r="KI39" s="153"/>
      <c r="KJ39" s="153"/>
      <c r="KK39" s="153"/>
      <c r="KL39" s="153"/>
      <c r="KM39" s="153"/>
      <c r="KN39" s="153"/>
      <c r="KO39" s="153"/>
      <c r="KP39" s="153"/>
      <c r="KQ39" s="153"/>
      <c r="KR39" s="153"/>
      <c r="KS39" s="153"/>
      <c r="KT39" s="153"/>
      <c r="KU39" s="153"/>
      <c r="KV39" s="153"/>
      <c r="KW39" s="153"/>
      <c r="KX39" s="153"/>
      <c r="KY39" s="153"/>
      <c r="KZ39" s="153"/>
      <c r="LA39" s="153"/>
      <c r="LB39" s="153"/>
      <c r="LC39" s="153"/>
      <c r="LD39" s="153"/>
      <c r="LE39" s="153"/>
      <c r="LF39" s="153"/>
      <c r="LG39" s="153"/>
      <c r="LH39" s="153"/>
      <c r="LI39" s="153"/>
      <c r="LJ39" s="153"/>
      <c r="LK39" s="153"/>
      <c r="LL39" s="153"/>
      <c r="LM39" s="153"/>
      <c r="LN39" s="153"/>
      <c r="LO39" s="153"/>
      <c r="LP39" s="153"/>
      <c r="LQ39" s="153"/>
      <c r="LR39" s="153"/>
      <c r="LS39" s="153"/>
      <c r="LT39" s="153"/>
      <c r="LU39" s="153"/>
      <c r="LV39" s="153"/>
      <c r="LW39" s="153"/>
      <c r="LX39" s="153"/>
      <c r="LY39" s="153"/>
      <c r="LZ39" s="153"/>
      <c r="MA39" s="153"/>
      <c r="MB39" s="153"/>
      <c r="MC39" s="153"/>
      <c r="MD39" s="153"/>
      <c r="ME39" s="153"/>
      <c r="MF39" s="153"/>
      <c r="MG39" s="153"/>
      <c r="MH39" s="153"/>
      <c r="MI39" s="153"/>
      <c r="MJ39" s="153"/>
      <c r="MK39" s="153"/>
      <c r="ML39" s="153"/>
      <c r="MM39" s="153"/>
      <c r="MN39" s="153"/>
      <c r="MO39" s="153"/>
      <c r="MP39" s="153"/>
      <c r="MQ39" s="153"/>
      <c r="MR39" s="153"/>
      <c r="MS39" s="153"/>
      <c r="MT39" s="153"/>
      <c r="MU39" s="153"/>
      <c r="MV39" s="153"/>
      <c r="MW39" s="153"/>
      <c r="MX39" s="153"/>
      <c r="MY39" s="153"/>
      <c r="MZ39" s="153"/>
      <c r="NA39" s="153"/>
      <c r="NB39" s="153"/>
      <c r="NC39" s="153"/>
      <c r="ND39" s="153"/>
      <c r="NE39" s="153"/>
      <c r="NF39" s="153"/>
      <c r="NG39" s="153"/>
      <c r="NH39" s="153"/>
      <c r="NI39" s="153"/>
      <c r="NJ39" s="153"/>
      <c r="NK39" s="153"/>
      <c r="NL39" s="153"/>
      <c r="NM39" s="153"/>
      <c r="NN39" s="153"/>
      <c r="NO39" s="153"/>
      <c r="NP39" s="153"/>
      <c r="NQ39" s="153"/>
      <c r="NR39" s="153"/>
      <c r="NS39" s="153"/>
      <c r="NT39" s="153"/>
      <c r="NU39" s="153"/>
      <c r="NV39" s="153"/>
      <c r="NW39" s="153"/>
      <c r="NX39" s="153"/>
      <c r="NY39" s="153"/>
      <c r="NZ39" s="153"/>
      <c r="OA39" s="153"/>
      <c r="OB39" s="153"/>
      <c r="OC39" s="153"/>
      <c r="OD39" s="153"/>
      <c r="OE39" s="153"/>
      <c r="OF39" s="153"/>
      <c r="OG39" s="153"/>
      <c r="OH39" s="153"/>
      <c r="OI39" s="153"/>
      <c r="OJ39" s="153"/>
      <c r="OK39" s="153"/>
      <c r="OL39" s="153"/>
      <c r="OM39" s="153"/>
      <c r="ON39" s="153"/>
      <c r="OO39" s="153"/>
      <c r="OP39" s="153"/>
      <c r="OQ39" s="153"/>
      <c r="OR39" s="153"/>
      <c r="OS39" s="153"/>
      <c r="OT39" s="153"/>
      <c r="OU39" s="153"/>
      <c r="OV39" s="153"/>
      <c r="OW39" s="153"/>
      <c r="OX39" s="153"/>
      <c r="OY39" s="153"/>
      <c r="OZ39" s="153"/>
      <c r="PA39" s="153"/>
      <c r="PB39" s="153"/>
      <c r="PC39" s="153"/>
      <c r="PD39" s="153"/>
      <c r="PE39" s="153"/>
      <c r="PF39" s="153"/>
      <c r="PG39" s="153"/>
      <c r="PH39" s="153"/>
      <c r="PI39" s="153"/>
      <c r="PJ39" s="153"/>
      <c r="PK39" s="153"/>
      <c r="PL39" s="153"/>
      <c r="PM39" s="153"/>
      <c r="PN39" s="153"/>
      <c r="PO39" s="153"/>
      <c r="PP39" s="153"/>
      <c r="PQ39" s="153"/>
      <c r="PR39" s="153"/>
      <c r="PS39" s="153"/>
      <c r="PT39" s="153"/>
      <c r="PU39" s="153"/>
      <c r="PV39" s="153"/>
      <c r="PW39" s="153"/>
      <c r="PX39" s="153"/>
      <c r="PY39" s="153"/>
      <c r="PZ39" s="153"/>
      <c r="QA39" s="153"/>
      <c r="QB39" s="153"/>
      <c r="QC39" s="153"/>
      <c r="QD39" s="153"/>
      <c r="QE39" s="153"/>
      <c r="QF39" s="153"/>
      <c r="QG39" s="153"/>
      <c r="QH39" s="153"/>
      <c r="QI39" s="153"/>
      <c r="QJ39" s="153"/>
      <c r="QK39" s="153"/>
      <c r="QL39" s="153"/>
      <c r="QM39" s="153"/>
      <c r="QN39" s="153"/>
      <c r="QO39" s="153"/>
      <c r="QP39" s="153"/>
      <c r="QQ39" s="153"/>
      <c r="QR39" s="153"/>
      <c r="QS39" s="153"/>
      <c r="QT39" s="153"/>
      <c r="QU39" s="153"/>
      <c r="QV39" s="153"/>
      <c r="QW39" s="153"/>
      <c r="QX39" s="153"/>
      <c r="QY39" s="153"/>
      <c r="QZ39" s="153"/>
      <c r="RA39" s="153"/>
      <c r="RB39" s="153"/>
      <c r="RC39" s="153"/>
      <c r="RD39" s="153"/>
      <c r="RE39" s="153"/>
      <c r="RF39" s="153"/>
      <c r="RG39" s="153"/>
      <c r="RH39" s="153"/>
      <c r="RI39" s="153"/>
      <c r="RJ39" s="153"/>
      <c r="RK39" s="153"/>
      <c r="RL39" s="153"/>
      <c r="RM39" s="153"/>
      <c r="RN39" s="153"/>
      <c r="RO39" s="153"/>
      <c r="RP39" s="153"/>
      <c r="RQ39" s="153"/>
      <c r="RR39" s="153"/>
      <c r="RS39" s="153"/>
      <c r="RT39" s="153"/>
      <c r="RU39" s="153"/>
      <c r="RV39" s="153"/>
      <c r="RW39" s="153"/>
      <c r="RX39" s="153"/>
      <c r="RY39" s="153"/>
      <c r="RZ39" s="153"/>
      <c r="SA39" s="153"/>
      <c r="SB39" s="153"/>
      <c r="SC39" s="153"/>
      <c r="SD39" s="153"/>
      <c r="SE39" s="153"/>
      <c r="SF39" s="153"/>
      <c r="SG39" s="153"/>
      <c r="SH39" s="153"/>
      <c r="SI39" s="153"/>
      <c r="SJ39" s="153"/>
      <c r="SK39" s="153"/>
      <c r="SL39" s="153"/>
      <c r="SM39" s="153"/>
      <c r="SN39" s="153"/>
      <c r="SO39" s="153"/>
      <c r="SP39" s="153"/>
      <c r="SQ39" s="153"/>
      <c r="SR39" s="153"/>
      <c r="SS39" s="153"/>
      <c r="ST39" s="153"/>
      <c r="SU39" s="153"/>
      <c r="SV39" s="153"/>
      <c r="SW39" s="153"/>
      <c r="SX39" s="153"/>
      <c r="SY39" s="153"/>
      <c r="SZ39" s="153"/>
      <c r="TA39" s="153"/>
      <c r="TB39" s="153"/>
      <c r="TC39" s="153"/>
      <c r="TD39" s="153"/>
      <c r="TE39" s="153"/>
      <c r="TF39" s="153"/>
      <c r="TG39" s="153"/>
      <c r="TH39" s="153"/>
      <c r="TI39" s="153"/>
      <c r="TJ39" s="153"/>
      <c r="TK39" s="153"/>
      <c r="TL39" s="153"/>
      <c r="TM39" s="153"/>
      <c r="TN39" s="153"/>
      <c r="TO39" s="153"/>
      <c r="TP39" s="153"/>
      <c r="TQ39" s="153"/>
      <c r="TR39" s="153"/>
      <c r="TS39" s="153"/>
      <c r="TT39" s="153"/>
      <c r="TU39" s="153"/>
      <c r="TV39" s="153"/>
      <c r="TW39" s="153"/>
      <c r="TX39" s="153"/>
      <c r="TY39" s="153"/>
      <c r="TZ39" s="153"/>
      <c r="UA39" s="153"/>
      <c r="UB39" s="153"/>
      <c r="UC39" s="153"/>
      <c r="UD39" s="153"/>
      <c r="UE39" s="153"/>
      <c r="UF39" s="153"/>
      <c r="UG39" s="153"/>
      <c r="UH39" s="153"/>
      <c r="UI39" s="153"/>
      <c r="UJ39" s="153"/>
      <c r="UK39" s="153"/>
      <c r="UL39" s="153"/>
      <c r="UM39" s="153"/>
      <c r="UN39" s="153"/>
      <c r="UO39" s="153"/>
      <c r="UP39" s="153"/>
      <c r="UQ39" s="153"/>
      <c r="UR39" s="153"/>
      <c r="US39" s="153"/>
      <c r="UT39" s="153"/>
      <c r="UU39" s="153"/>
      <c r="UV39" s="153"/>
      <c r="UW39" s="153"/>
      <c r="UX39" s="153"/>
      <c r="UY39" s="153"/>
      <c r="UZ39" s="153"/>
      <c r="VA39" s="153"/>
      <c r="VB39" s="153"/>
      <c r="VC39" s="153"/>
      <c r="VD39" s="153"/>
      <c r="VE39" s="153"/>
      <c r="VF39" s="153"/>
      <c r="VG39" s="153"/>
      <c r="VH39" s="153"/>
      <c r="VI39" s="153"/>
      <c r="VJ39" s="153"/>
      <c r="VK39" s="153"/>
      <c r="VL39" s="153"/>
      <c r="VM39" s="153"/>
      <c r="VN39" s="153"/>
      <c r="VO39" s="153"/>
      <c r="VP39" s="153"/>
      <c r="VQ39" s="153"/>
      <c r="VR39" s="153"/>
      <c r="VS39" s="153"/>
      <c r="VT39" s="153"/>
      <c r="VU39" s="153"/>
      <c r="VV39" s="153"/>
      <c r="VW39" s="153"/>
      <c r="VX39" s="153"/>
      <c r="VY39" s="153"/>
      <c r="VZ39" s="153"/>
      <c r="WA39" s="153"/>
      <c r="WB39" s="153"/>
      <c r="WC39" s="153"/>
      <c r="WD39" s="153"/>
      <c r="WE39" s="153"/>
      <c r="WF39" s="153"/>
      <c r="WG39" s="153"/>
      <c r="WH39" s="153"/>
      <c r="WI39" s="153"/>
      <c r="WJ39" s="153"/>
      <c r="WK39" s="153"/>
      <c r="WL39" s="153"/>
      <c r="WM39" s="153"/>
      <c r="WN39" s="153"/>
      <c r="WO39" s="153"/>
      <c r="WP39" s="153"/>
      <c r="WQ39" s="153"/>
      <c r="WR39" s="153"/>
      <c r="WS39" s="153"/>
      <c r="WT39" s="153"/>
      <c r="WU39" s="153"/>
      <c r="WV39" s="153"/>
      <c r="WW39" s="153"/>
      <c r="WX39" s="153"/>
      <c r="WY39" s="153"/>
      <c r="WZ39" s="153"/>
      <c r="XA39" s="153"/>
      <c r="XB39" s="153"/>
      <c r="XC39" s="153"/>
      <c r="XD39" s="153"/>
      <c r="XE39" s="153"/>
      <c r="XF39" s="153"/>
      <c r="XG39" s="153"/>
      <c r="XH39" s="153"/>
      <c r="XI39" s="153"/>
      <c r="XJ39" s="153"/>
      <c r="XK39" s="153"/>
      <c r="XL39" s="153"/>
      <c r="XM39" s="153"/>
      <c r="XN39" s="153"/>
      <c r="XO39" s="153"/>
      <c r="XP39" s="153"/>
      <c r="XQ39" s="153"/>
      <c r="XR39" s="153"/>
      <c r="XS39" s="153"/>
      <c r="XT39" s="153"/>
      <c r="XU39" s="153"/>
      <c r="XV39" s="153"/>
      <c r="XW39" s="153"/>
      <c r="XX39" s="153"/>
      <c r="XY39" s="153"/>
      <c r="XZ39" s="153"/>
      <c r="YA39" s="153"/>
      <c r="YB39" s="153"/>
      <c r="YC39" s="153"/>
      <c r="YD39" s="153"/>
      <c r="YE39" s="153"/>
      <c r="YF39" s="153"/>
      <c r="YG39" s="153"/>
      <c r="YH39" s="153"/>
      <c r="YI39" s="153"/>
      <c r="YJ39" s="153"/>
      <c r="YK39" s="153"/>
      <c r="YL39" s="153"/>
      <c r="YM39" s="153"/>
      <c r="YN39" s="153"/>
      <c r="YO39" s="153"/>
      <c r="YP39" s="153"/>
      <c r="YQ39" s="153"/>
      <c r="YR39" s="153"/>
      <c r="YS39" s="153"/>
      <c r="YT39" s="153"/>
      <c r="YU39" s="153"/>
      <c r="YV39" s="153"/>
      <c r="YW39" s="153"/>
      <c r="YX39" s="153"/>
      <c r="YY39" s="153"/>
      <c r="YZ39" s="153"/>
      <c r="ZA39" s="153"/>
      <c r="ZB39" s="153"/>
      <c r="ZC39" s="153"/>
      <c r="ZD39" s="153"/>
      <c r="ZE39" s="153"/>
      <c r="ZF39" s="153"/>
      <c r="ZG39" s="153"/>
      <c r="ZH39" s="153"/>
      <c r="ZI39" s="153"/>
      <c r="ZJ39" s="153"/>
      <c r="ZK39" s="153"/>
      <c r="ZL39" s="153"/>
      <c r="ZM39" s="153"/>
      <c r="ZN39" s="153"/>
      <c r="ZO39" s="153"/>
      <c r="ZP39" s="153"/>
      <c r="ZQ39" s="153"/>
      <c r="ZR39" s="153"/>
      <c r="ZS39" s="153"/>
      <c r="ZT39" s="153"/>
      <c r="ZU39" s="153"/>
      <c r="ZV39" s="153"/>
      <c r="ZW39" s="153"/>
      <c r="ZX39" s="153"/>
      <c r="ZY39" s="153"/>
      <c r="ZZ39" s="153"/>
      <c r="AAA39" s="153"/>
      <c r="AAB39" s="153"/>
      <c r="AAC39" s="153"/>
      <c r="AAD39" s="153"/>
      <c r="AAE39" s="153"/>
      <c r="AAF39" s="153"/>
      <c r="AAG39" s="153"/>
      <c r="AAH39" s="153"/>
      <c r="AAI39" s="153"/>
      <c r="AAJ39" s="153"/>
      <c r="AAK39" s="153"/>
      <c r="AAL39" s="153"/>
      <c r="AAM39" s="153"/>
      <c r="AAN39" s="153"/>
      <c r="AAO39" s="153"/>
      <c r="AAP39" s="153"/>
      <c r="AAQ39" s="153"/>
      <c r="AAR39" s="153"/>
      <c r="AAS39" s="153"/>
      <c r="AAT39" s="153"/>
      <c r="AAU39" s="153"/>
      <c r="AAV39" s="153"/>
      <c r="AAW39" s="153"/>
      <c r="AAX39" s="153"/>
      <c r="AAY39" s="153"/>
      <c r="AAZ39" s="153"/>
      <c r="ABA39" s="153"/>
      <c r="ABB39" s="153"/>
      <c r="ABC39" s="153"/>
      <c r="ABD39" s="153"/>
      <c r="ABE39" s="153"/>
      <c r="ABF39" s="153"/>
      <c r="ABG39" s="153"/>
      <c r="ABH39" s="153"/>
      <c r="ABI39" s="153"/>
      <c r="ABJ39" s="153"/>
      <c r="ABK39" s="153"/>
      <c r="ABL39" s="153"/>
      <c r="ABM39" s="153"/>
      <c r="ABN39" s="153"/>
      <c r="ABO39" s="153"/>
      <c r="ABP39" s="153"/>
      <c r="ABQ39" s="153"/>
      <c r="ABR39" s="153"/>
      <c r="ABS39" s="153"/>
      <c r="ABT39" s="153"/>
      <c r="ABU39" s="153"/>
      <c r="ABV39" s="153"/>
      <c r="ABW39" s="153"/>
      <c r="ABX39" s="153"/>
      <c r="ABY39" s="153"/>
      <c r="ABZ39" s="153"/>
      <c r="ACA39" s="153"/>
      <c r="ACB39" s="153"/>
      <c r="ACC39" s="153"/>
      <c r="ACD39" s="153"/>
      <c r="ACE39" s="153"/>
      <c r="ACF39" s="153"/>
      <c r="ACG39" s="153"/>
      <c r="ACH39" s="153"/>
      <c r="ACI39" s="153"/>
      <c r="ACJ39" s="153"/>
      <c r="ACK39" s="153"/>
      <c r="ACL39" s="153"/>
      <c r="ACM39" s="153"/>
      <c r="ACN39" s="153"/>
      <c r="ACO39" s="153"/>
      <c r="ACP39" s="153"/>
      <c r="ACQ39" s="153"/>
      <c r="ACR39" s="153"/>
      <c r="ACS39" s="153"/>
      <c r="ACT39" s="153"/>
      <c r="ACU39" s="153"/>
      <c r="ACV39" s="153"/>
      <c r="ACW39" s="153"/>
      <c r="ACX39" s="153"/>
      <c r="ACY39" s="153"/>
      <c r="ACZ39" s="153"/>
      <c r="ADA39" s="153"/>
      <c r="ADB39" s="153"/>
      <c r="ADC39" s="153"/>
      <c r="ADD39" s="153"/>
      <c r="ADE39" s="153"/>
      <c r="ADF39" s="153"/>
      <c r="ADG39" s="153"/>
      <c r="ADH39" s="153"/>
      <c r="ADI39" s="153"/>
      <c r="ADJ39" s="153"/>
      <c r="ADK39" s="153"/>
      <c r="ADL39" s="153"/>
      <c r="ADM39" s="153"/>
      <c r="ADN39" s="153"/>
      <c r="ADO39" s="153"/>
      <c r="ADP39" s="153"/>
      <c r="ADQ39" s="153"/>
      <c r="ADR39" s="153"/>
      <c r="ADS39" s="153"/>
      <c r="ADT39" s="153"/>
      <c r="ADU39" s="153"/>
      <c r="ADV39" s="153"/>
      <c r="ADW39" s="153"/>
      <c r="ADX39" s="153"/>
      <c r="ADY39" s="153"/>
      <c r="ADZ39" s="153"/>
      <c r="AEA39" s="153"/>
      <c r="AEB39" s="153"/>
      <c r="AEC39" s="153"/>
      <c r="AED39" s="153"/>
      <c r="AEE39" s="153"/>
      <c r="AEF39" s="153"/>
      <c r="AEG39" s="153"/>
      <c r="AEH39" s="153"/>
      <c r="AEI39" s="153"/>
      <c r="AEJ39" s="153"/>
      <c r="AEK39" s="153"/>
      <c r="AEL39" s="153"/>
      <c r="AEM39" s="153"/>
      <c r="AEN39" s="153"/>
      <c r="AEO39" s="153"/>
      <c r="AEP39" s="153"/>
      <c r="AEQ39" s="153"/>
      <c r="AER39" s="153"/>
      <c r="AES39" s="153"/>
      <c r="AET39" s="153"/>
      <c r="AEU39" s="153"/>
      <c r="AEV39" s="153"/>
      <c r="AEW39" s="153"/>
      <c r="AEX39" s="153"/>
      <c r="AEY39" s="153"/>
      <c r="AEZ39" s="153"/>
      <c r="AFA39" s="153"/>
      <c r="AFB39" s="153"/>
      <c r="AFC39" s="153"/>
      <c r="AFD39" s="153"/>
      <c r="AFE39" s="153"/>
      <c r="AFF39" s="153"/>
      <c r="AFG39" s="153"/>
      <c r="AFH39" s="153"/>
      <c r="AFI39" s="153"/>
      <c r="AFJ39" s="153"/>
      <c r="AFK39" s="153"/>
      <c r="AFL39" s="153"/>
      <c r="AFM39" s="153"/>
      <c r="AFN39" s="153"/>
      <c r="AFO39" s="153"/>
      <c r="AFP39" s="153"/>
      <c r="AFQ39" s="153"/>
      <c r="AFR39" s="153"/>
      <c r="AFS39" s="153"/>
      <c r="AFT39" s="153"/>
      <c r="AFU39" s="153"/>
      <c r="AFV39" s="153"/>
      <c r="AFW39" s="153"/>
      <c r="AFX39" s="153"/>
      <c r="AFY39" s="153"/>
      <c r="AFZ39" s="153"/>
      <c r="AGA39" s="153"/>
      <c r="AGB39" s="153"/>
      <c r="AGC39" s="153"/>
      <c r="AGD39" s="153"/>
      <c r="AGE39" s="153"/>
      <c r="AGF39" s="153"/>
      <c r="AGG39" s="153"/>
      <c r="AGH39" s="153"/>
      <c r="AGI39" s="153"/>
      <c r="AGJ39" s="153"/>
      <c r="AGK39" s="153"/>
      <c r="AGL39" s="153"/>
      <c r="AGM39" s="153"/>
      <c r="AGN39" s="153"/>
      <c r="AGO39" s="153"/>
      <c r="AGP39" s="153"/>
      <c r="AGQ39" s="153"/>
      <c r="AGR39" s="153"/>
      <c r="AGS39" s="153"/>
      <c r="AGT39" s="153"/>
      <c r="AGU39" s="153"/>
      <c r="AGV39" s="153"/>
      <c r="AGW39" s="153"/>
      <c r="AGX39" s="153"/>
      <c r="AGY39" s="153"/>
      <c r="AGZ39" s="153"/>
      <c r="AHA39" s="153"/>
      <c r="AHB39" s="153"/>
      <c r="AHC39" s="153"/>
      <c r="AHD39" s="153"/>
      <c r="AHE39" s="153"/>
      <c r="AHF39" s="153"/>
      <c r="AHG39" s="153"/>
      <c r="AHH39" s="153"/>
      <c r="AHI39" s="153"/>
      <c r="AHJ39" s="153"/>
      <c r="AHK39" s="153"/>
      <c r="AHL39" s="153"/>
      <c r="AHM39" s="153"/>
      <c r="AHN39" s="153"/>
      <c r="AHO39" s="153"/>
      <c r="AHP39" s="153"/>
      <c r="AHQ39" s="153"/>
      <c r="AHR39" s="153"/>
      <c r="AHS39" s="153"/>
      <c r="AHT39" s="153"/>
      <c r="AHU39" s="153"/>
      <c r="AHV39" s="153"/>
      <c r="AHW39" s="153"/>
      <c r="AHX39" s="153"/>
      <c r="AHY39" s="153"/>
      <c r="AHZ39" s="153"/>
      <c r="AIA39" s="153"/>
      <c r="AIB39" s="153"/>
      <c r="AIC39" s="153"/>
      <c r="AID39" s="153"/>
      <c r="AIE39" s="153"/>
      <c r="AIF39" s="153"/>
      <c r="AIG39" s="153"/>
      <c r="AIH39" s="153"/>
      <c r="AII39" s="153"/>
      <c r="AIJ39" s="153"/>
      <c r="AIK39" s="153"/>
      <c r="AIL39" s="153"/>
      <c r="AIM39" s="153"/>
      <c r="AIN39" s="153"/>
      <c r="AIO39" s="153"/>
      <c r="AIP39" s="153"/>
      <c r="AIQ39" s="153"/>
      <c r="AIR39" s="153"/>
      <c r="AIS39" s="153"/>
      <c r="AIT39" s="153"/>
      <c r="AIU39" s="153"/>
      <c r="AIV39" s="153"/>
      <c r="AIW39" s="153"/>
      <c r="AIX39" s="153"/>
      <c r="AIY39" s="153"/>
      <c r="AIZ39" s="153"/>
      <c r="AJA39" s="153"/>
      <c r="AJB39" s="153"/>
      <c r="AJC39" s="153"/>
      <c r="AJD39" s="153"/>
      <c r="AJE39" s="153"/>
      <c r="AJF39" s="153"/>
      <c r="AJG39" s="153"/>
      <c r="AJH39" s="153"/>
      <c r="AJI39" s="153"/>
      <c r="AJJ39" s="153"/>
      <c r="AJK39" s="153"/>
      <c r="AJL39" s="153"/>
      <c r="AJM39" s="153"/>
      <c r="AJN39" s="153"/>
      <c r="AJO39" s="153"/>
      <c r="AJP39" s="153"/>
      <c r="AJQ39" s="153"/>
      <c r="AJR39" s="153"/>
      <c r="AJS39" s="153"/>
      <c r="AJT39" s="153"/>
      <c r="AJU39" s="153"/>
      <c r="AJV39" s="153"/>
      <c r="AJW39" s="153"/>
      <c r="AJX39" s="153"/>
      <c r="AJY39" s="153"/>
      <c r="AJZ39" s="153"/>
      <c r="AKA39" s="153"/>
      <c r="AKB39" s="153"/>
      <c r="AKC39" s="153"/>
      <c r="AKD39" s="153"/>
      <c r="AKE39" s="153"/>
      <c r="AKF39" s="153"/>
      <c r="AKG39" s="153"/>
      <c r="AKH39" s="153"/>
      <c r="AKI39" s="153"/>
      <c r="AKJ39" s="153"/>
      <c r="AKK39" s="153"/>
      <c r="AKL39" s="153"/>
      <c r="AKM39" s="153"/>
      <c r="AKN39" s="153"/>
      <c r="AKO39" s="153"/>
      <c r="AKP39" s="153"/>
      <c r="AKQ39" s="153"/>
      <c r="AKR39" s="153"/>
      <c r="AKS39" s="153"/>
      <c r="AKT39" s="153"/>
      <c r="AKU39" s="153"/>
      <c r="AKV39" s="153"/>
      <c r="AKW39" s="153"/>
      <c r="AKX39" s="153"/>
      <c r="AKY39" s="153"/>
      <c r="AKZ39" s="153"/>
      <c r="ALA39" s="153"/>
      <c r="ALB39" s="153"/>
      <c r="ALC39" s="153"/>
      <c r="ALD39" s="153"/>
      <c r="ALE39" s="153"/>
      <c r="ALF39" s="153"/>
      <c r="ALG39" s="153"/>
      <c r="ALH39" s="153"/>
      <c r="ALI39" s="153"/>
      <c r="ALJ39" s="153"/>
      <c r="ALK39" s="153"/>
      <c r="ALL39" s="153"/>
      <c r="ALM39" s="153"/>
      <c r="ALN39" s="153"/>
      <c r="ALO39" s="153"/>
      <c r="ALP39" s="153"/>
      <c r="ALQ39" s="153"/>
      <c r="ALR39" s="153"/>
      <c r="ALS39" s="153"/>
      <c r="ALT39" s="153"/>
      <c r="ALU39" s="153"/>
      <c r="ALV39" s="153"/>
      <c r="ALW39" s="153"/>
      <c r="ALX39" s="153"/>
      <c r="ALY39" s="153"/>
      <c r="ALZ39" s="153"/>
      <c r="AMA39" s="153"/>
      <c r="AMB39" s="153"/>
      <c r="AMC39" s="153"/>
      <c r="AMD39" s="153"/>
      <c r="AME39" s="153"/>
      <c r="AMF39" s="153"/>
      <c r="AMG39" s="153"/>
      <c r="AMH39" s="153"/>
      <c r="AMI39" s="153"/>
      <c r="AMJ39" s="153"/>
      <c r="AMK39" s="153"/>
    </row>
    <row r="40" spans="1:1025" s="417" customFormat="1" ht="11.25" x14ac:dyDescent="0.2">
      <c r="A40" s="153"/>
      <c r="B40" s="153"/>
      <c r="C40" s="153"/>
      <c r="D40" s="153"/>
      <c r="G40" s="153"/>
      <c r="H40" s="392"/>
      <c r="I40" s="409"/>
      <c r="J40" s="409"/>
      <c r="K40" s="409"/>
      <c r="L40" s="284"/>
      <c r="M40" s="153"/>
      <c r="N40" s="153"/>
      <c r="O40" s="153"/>
      <c r="P40" s="336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  <c r="CO40" s="153"/>
      <c r="CP40" s="153"/>
      <c r="CQ40" s="153"/>
      <c r="CR40" s="153"/>
      <c r="CS40" s="153"/>
      <c r="CT40" s="153"/>
      <c r="CU40" s="153"/>
      <c r="CV40" s="153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  <c r="DJ40" s="153"/>
      <c r="DK40" s="153"/>
      <c r="DL40" s="153"/>
      <c r="DM40" s="153"/>
      <c r="DN40" s="153"/>
      <c r="DO40" s="153"/>
      <c r="DP40" s="153"/>
      <c r="DQ40" s="153"/>
      <c r="DR40" s="153"/>
      <c r="DS40" s="153"/>
      <c r="DT40" s="153"/>
      <c r="DU40" s="153"/>
      <c r="DV40" s="153"/>
      <c r="DW40" s="153"/>
      <c r="DX40" s="153"/>
      <c r="DY40" s="153"/>
      <c r="DZ40" s="153"/>
      <c r="EA40" s="153"/>
      <c r="EB40" s="153"/>
      <c r="EC40" s="153"/>
      <c r="ED40" s="153"/>
      <c r="EE40" s="153"/>
      <c r="EF40" s="153"/>
      <c r="EG40" s="153"/>
      <c r="EH40" s="153"/>
      <c r="EI40" s="153"/>
      <c r="EJ40" s="153"/>
      <c r="EK40" s="153"/>
      <c r="EL40" s="153"/>
      <c r="EM40" s="153"/>
      <c r="EN40" s="153"/>
      <c r="EO40" s="153"/>
      <c r="EP40" s="153"/>
      <c r="EQ40" s="153"/>
      <c r="ER40" s="153"/>
      <c r="ES40" s="153"/>
      <c r="ET40" s="153"/>
      <c r="EU40" s="153"/>
      <c r="EV40" s="153"/>
      <c r="EW40" s="153"/>
      <c r="EX40" s="153"/>
      <c r="EY40" s="153"/>
      <c r="EZ40" s="153"/>
      <c r="FA40" s="153"/>
      <c r="FB40" s="153"/>
      <c r="FC40" s="153"/>
      <c r="FD40" s="153"/>
      <c r="FE40" s="153"/>
      <c r="FF40" s="153"/>
      <c r="FG40" s="153"/>
      <c r="FH40" s="153"/>
      <c r="FI40" s="153"/>
      <c r="FJ40" s="153"/>
      <c r="FK40" s="153"/>
      <c r="FL40" s="153"/>
      <c r="FM40" s="153"/>
      <c r="FN40" s="153"/>
      <c r="FO40" s="153"/>
      <c r="FP40" s="153"/>
      <c r="FQ40" s="153"/>
      <c r="FR40" s="153"/>
      <c r="FS40" s="153"/>
      <c r="FT40" s="153"/>
      <c r="FU40" s="153"/>
      <c r="FV40" s="153"/>
      <c r="FW40" s="153"/>
      <c r="FX40" s="153"/>
      <c r="FY40" s="153"/>
      <c r="FZ40" s="153"/>
      <c r="GA40" s="153"/>
      <c r="GB40" s="153"/>
      <c r="GC40" s="153"/>
      <c r="GD40" s="153"/>
      <c r="GE40" s="153"/>
      <c r="GF40" s="153"/>
      <c r="GG40" s="153"/>
      <c r="GH40" s="153"/>
      <c r="GI40" s="153"/>
      <c r="GJ40" s="153"/>
      <c r="GK40" s="153"/>
      <c r="GL40" s="153"/>
      <c r="GM40" s="153"/>
      <c r="GN40" s="153"/>
      <c r="GO40" s="153"/>
      <c r="GP40" s="153"/>
      <c r="GQ40" s="153"/>
      <c r="GR40" s="153"/>
      <c r="GS40" s="153"/>
      <c r="GT40" s="153"/>
      <c r="GU40" s="153"/>
      <c r="GV40" s="153"/>
      <c r="GW40" s="153"/>
      <c r="GX40" s="153"/>
      <c r="GY40" s="153"/>
      <c r="GZ40" s="153"/>
      <c r="HA40" s="153"/>
      <c r="HB40" s="153"/>
      <c r="HC40" s="153"/>
      <c r="HD40" s="153"/>
      <c r="HE40" s="153"/>
      <c r="HF40" s="153"/>
      <c r="HG40" s="153"/>
      <c r="HH40" s="153"/>
      <c r="HI40" s="153"/>
      <c r="HJ40" s="153"/>
      <c r="HK40" s="153"/>
      <c r="HL40" s="153"/>
      <c r="HM40" s="153"/>
      <c r="HN40" s="153"/>
      <c r="HO40" s="153"/>
      <c r="HP40" s="153"/>
      <c r="HQ40" s="153"/>
      <c r="HR40" s="153"/>
      <c r="HS40" s="153"/>
      <c r="HT40" s="153"/>
      <c r="HU40" s="153"/>
      <c r="HV40" s="153"/>
      <c r="HW40" s="153"/>
      <c r="HX40" s="153"/>
      <c r="HY40" s="153"/>
      <c r="HZ40" s="153"/>
      <c r="IA40" s="153"/>
      <c r="IB40" s="153"/>
      <c r="IC40" s="153"/>
      <c r="ID40" s="153"/>
      <c r="IE40" s="153"/>
      <c r="IF40" s="153"/>
      <c r="IG40" s="153"/>
      <c r="IH40" s="153"/>
      <c r="II40" s="153"/>
      <c r="IJ40" s="153"/>
      <c r="IK40" s="153"/>
      <c r="IL40" s="153"/>
      <c r="IM40" s="153"/>
      <c r="IN40" s="153"/>
      <c r="IO40" s="153"/>
      <c r="IP40" s="153"/>
      <c r="IQ40" s="153"/>
      <c r="IR40" s="153"/>
      <c r="IS40" s="153"/>
      <c r="IT40" s="153"/>
      <c r="IU40" s="153"/>
      <c r="IV40" s="153"/>
      <c r="IW40" s="153"/>
      <c r="IX40" s="153"/>
      <c r="IY40" s="153"/>
      <c r="IZ40" s="153"/>
      <c r="JA40" s="153"/>
      <c r="JB40" s="153"/>
      <c r="JC40" s="153"/>
      <c r="JD40" s="153"/>
      <c r="JE40" s="153"/>
      <c r="JF40" s="153"/>
      <c r="JG40" s="153"/>
      <c r="JH40" s="153"/>
      <c r="JI40" s="153"/>
      <c r="JJ40" s="153"/>
      <c r="JK40" s="153"/>
      <c r="JL40" s="153"/>
      <c r="JM40" s="153"/>
      <c r="JN40" s="153"/>
      <c r="JO40" s="153"/>
      <c r="JP40" s="153"/>
      <c r="JQ40" s="153"/>
      <c r="JR40" s="153"/>
      <c r="JS40" s="153"/>
      <c r="JT40" s="153"/>
      <c r="JU40" s="153"/>
      <c r="JV40" s="153"/>
      <c r="JW40" s="153"/>
      <c r="JX40" s="153"/>
      <c r="JY40" s="153"/>
      <c r="JZ40" s="153"/>
      <c r="KA40" s="153"/>
      <c r="KB40" s="153"/>
      <c r="KC40" s="153"/>
      <c r="KD40" s="153"/>
      <c r="KE40" s="153"/>
      <c r="KF40" s="153"/>
      <c r="KG40" s="153"/>
      <c r="KH40" s="153"/>
      <c r="KI40" s="153"/>
      <c r="KJ40" s="153"/>
      <c r="KK40" s="153"/>
      <c r="KL40" s="153"/>
      <c r="KM40" s="153"/>
      <c r="KN40" s="153"/>
      <c r="KO40" s="153"/>
      <c r="KP40" s="153"/>
      <c r="KQ40" s="153"/>
      <c r="KR40" s="153"/>
      <c r="KS40" s="153"/>
      <c r="KT40" s="153"/>
      <c r="KU40" s="153"/>
      <c r="KV40" s="153"/>
      <c r="KW40" s="153"/>
      <c r="KX40" s="153"/>
      <c r="KY40" s="153"/>
      <c r="KZ40" s="153"/>
      <c r="LA40" s="153"/>
      <c r="LB40" s="153"/>
      <c r="LC40" s="153"/>
      <c r="LD40" s="153"/>
      <c r="LE40" s="153"/>
      <c r="LF40" s="153"/>
      <c r="LG40" s="153"/>
      <c r="LH40" s="153"/>
      <c r="LI40" s="153"/>
      <c r="LJ40" s="153"/>
      <c r="LK40" s="153"/>
      <c r="LL40" s="153"/>
      <c r="LM40" s="153"/>
      <c r="LN40" s="153"/>
      <c r="LO40" s="153"/>
      <c r="LP40" s="153"/>
      <c r="LQ40" s="153"/>
      <c r="LR40" s="153"/>
      <c r="LS40" s="153"/>
      <c r="LT40" s="153"/>
      <c r="LU40" s="153"/>
      <c r="LV40" s="153"/>
      <c r="LW40" s="153"/>
      <c r="LX40" s="153"/>
      <c r="LY40" s="153"/>
      <c r="LZ40" s="153"/>
      <c r="MA40" s="153"/>
      <c r="MB40" s="153"/>
      <c r="MC40" s="153"/>
      <c r="MD40" s="153"/>
      <c r="ME40" s="153"/>
      <c r="MF40" s="153"/>
      <c r="MG40" s="153"/>
      <c r="MH40" s="153"/>
      <c r="MI40" s="153"/>
      <c r="MJ40" s="153"/>
      <c r="MK40" s="153"/>
      <c r="ML40" s="153"/>
      <c r="MM40" s="153"/>
      <c r="MN40" s="153"/>
      <c r="MO40" s="153"/>
      <c r="MP40" s="153"/>
      <c r="MQ40" s="153"/>
      <c r="MR40" s="153"/>
      <c r="MS40" s="153"/>
      <c r="MT40" s="153"/>
      <c r="MU40" s="153"/>
      <c r="MV40" s="153"/>
      <c r="MW40" s="153"/>
      <c r="MX40" s="153"/>
      <c r="MY40" s="153"/>
      <c r="MZ40" s="153"/>
      <c r="NA40" s="153"/>
      <c r="NB40" s="153"/>
      <c r="NC40" s="153"/>
      <c r="ND40" s="153"/>
      <c r="NE40" s="153"/>
      <c r="NF40" s="153"/>
      <c r="NG40" s="153"/>
      <c r="NH40" s="153"/>
      <c r="NI40" s="153"/>
      <c r="NJ40" s="153"/>
      <c r="NK40" s="153"/>
      <c r="NL40" s="153"/>
      <c r="NM40" s="153"/>
      <c r="NN40" s="153"/>
      <c r="NO40" s="153"/>
      <c r="NP40" s="153"/>
      <c r="NQ40" s="153"/>
      <c r="NR40" s="153"/>
      <c r="NS40" s="153"/>
      <c r="NT40" s="153"/>
      <c r="NU40" s="153"/>
      <c r="NV40" s="153"/>
      <c r="NW40" s="153"/>
      <c r="NX40" s="153"/>
      <c r="NY40" s="153"/>
      <c r="NZ40" s="153"/>
      <c r="OA40" s="153"/>
      <c r="OB40" s="153"/>
      <c r="OC40" s="153"/>
      <c r="OD40" s="153"/>
      <c r="OE40" s="153"/>
      <c r="OF40" s="153"/>
      <c r="OG40" s="153"/>
      <c r="OH40" s="153"/>
      <c r="OI40" s="153"/>
      <c r="OJ40" s="153"/>
      <c r="OK40" s="153"/>
      <c r="OL40" s="153"/>
      <c r="OM40" s="153"/>
      <c r="ON40" s="153"/>
      <c r="OO40" s="153"/>
      <c r="OP40" s="153"/>
      <c r="OQ40" s="153"/>
      <c r="OR40" s="153"/>
      <c r="OS40" s="153"/>
      <c r="OT40" s="153"/>
      <c r="OU40" s="153"/>
      <c r="OV40" s="153"/>
      <c r="OW40" s="153"/>
      <c r="OX40" s="153"/>
      <c r="OY40" s="153"/>
      <c r="OZ40" s="153"/>
      <c r="PA40" s="153"/>
      <c r="PB40" s="153"/>
      <c r="PC40" s="153"/>
      <c r="PD40" s="153"/>
      <c r="PE40" s="153"/>
      <c r="PF40" s="153"/>
      <c r="PG40" s="153"/>
      <c r="PH40" s="153"/>
      <c r="PI40" s="153"/>
      <c r="PJ40" s="153"/>
      <c r="PK40" s="153"/>
      <c r="PL40" s="153"/>
      <c r="PM40" s="153"/>
      <c r="PN40" s="153"/>
      <c r="PO40" s="153"/>
      <c r="PP40" s="153"/>
      <c r="PQ40" s="153"/>
      <c r="PR40" s="153"/>
      <c r="PS40" s="153"/>
      <c r="PT40" s="153"/>
      <c r="PU40" s="153"/>
      <c r="PV40" s="153"/>
      <c r="PW40" s="153"/>
      <c r="PX40" s="153"/>
      <c r="PY40" s="153"/>
      <c r="PZ40" s="153"/>
      <c r="QA40" s="153"/>
      <c r="QB40" s="153"/>
      <c r="QC40" s="153"/>
      <c r="QD40" s="153"/>
      <c r="QE40" s="153"/>
      <c r="QF40" s="153"/>
      <c r="QG40" s="153"/>
      <c r="QH40" s="153"/>
      <c r="QI40" s="153"/>
      <c r="QJ40" s="153"/>
      <c r="QK40" s="153"/>
      <c r="QL40" s="153"/>
      <c r="QM40" s="153"/>
      <c r="QN40" s="153"/>
      <c r="QO40" s="153"/>
      <c r="QP40" s="153"/>
      <c r="QQ40" s="153"/>
      <c r="QR40" s="153"/>
      <c r="QS40" s="153"/>
      <c r="QT40" s="153"/>
      <c r="QU40" s="153"/>
      <c r="QV40" s="153"/>
      <c r="QW40" s="153"/>
      <c r="QX40" s="153"/>
      <c r="QY40" s="153"/>
      <c r="QZ40" s="153"/>
      <c r="RA40" s="153"/>
      <c r="RB40" s="153"/>
      <c r="RC40" s="153"/>
      <c r="RD40" s="153"/>
      <c r="RE40" s="153"/>
      <c r="RF40" s="153"/>
      <c r="RG40" s="153"/>
      <c r="RH40" s="153"/>
      <c r="RI40" s="153"/>
      <c r="RJ40" s="153"/>
      <c r="RK40" s="153"/>
      <c r="RL40" s="153"/>
      <c r="RM40" s="153"/>
      <c r="RN40" s="153"/>
      <c r="RO40" s="153"/>
      <c r="RP40" s="153"/>
      <c r="RQ40" s="153"/>
      <c r="RR40" s="153"/>
      <c r="RS40" s="153"/>
      <c r="RT40" s="153"/>
      <c r="RU40" s="153"/>
      <c r="RV40" s="153"/>
      <c r="RW40" s="153"/>
      <c r="RX40" s="153"/>
      <c r="RY40" s="153"/>
      <c r="RZ40" s="153"/>
      <c r="SA40" s="153"/>
      <c r="SB40" s="153"/>
      <c r="SC40" s="153"/>
      <c r="SD40" s="153"/>
      <c r="SE40" s="153"/>
      <c r="SF40" s="153"/>
      <c r="SG40" s="153"/>
      <c r="SH40" s="153"/>
      <c r="SI40" s="153"/>
      <c r="SJ40" s="153"/>
      <c r="SK40" s="153"/>
      <c r="SL40" s="153"/>
      <c r="SM40" s="153"/>
      <c r="SN40" s="153"/>
      <c r="SO40" s="153"/>
      <c r="SP40" s="153"/>
      <c r="SQ40" s="153"/>
      <c r="SR40" s="153"/>
      <c r="SS40" s="153"/>
      <c r="ST40" s="153"/>
      <c r="SU40" s="153"/>
      <c r="SV40" s="153"/>
      <c r="SW40" s="153"/>
      <c r="SX40" s="153"/>
      <c r="SY40" s="153"/>
      <c r="SZ40" s="153"/>
      <c r="TA40" s="153"/>
      <c r="TB40" s="153"/>
      <c r="TC40" s="153"/>
      <c r="TD40" s="153"/>
      <c r="TE40" s="153"/>
      <c r="TF40" s="153"/>
      <c r="TG40" s="153"/>
      <c r="TH40" s="153"/>
      <c r="TI40" s="153"/>
      <c r="TJ40" s="153"/>
      <c r="TK40" s="153"/>
      <c r="TL40" s="153"/>
      <c r="TM40" s="153"/>
      <c r="TN40" s="153"/>
      <c r="TO40" s="153"/>
      <c r="TP40" s="153"/>
      <c r="TQ40" s="153"/>
      <c r="TR40" s="153"/>
      <c r="TS40" s="153"/>
      <c r="TT40" s="153"/>
      <c r="TU40" s="153"/>
      <c r="TV40" s="153"/>
      <c r="TW40" s="153"/>
      <c r="TX40" s="153"/>
      <c r="TY40" s="153"/>
      <c r="TZ40" s="153"/>
      <c r="UA40" s="153"/>
      <c r="UB40" s="153"/>
      <c r="UC40" s="153"/>
      <c r="UD40" s="153"/>
      <c r="UE40" s="153"/>
      <c r="UF40" s="153"/>
      <c r="UG40" s="153"/>
      <c r="UH40" s="153"/>
      <c r="UI40" s="153"/>
      <c r="UJ40" s="153"/>
      <c r="UK40" s="153"/>
      <c r="UL40" s="153"/>
      <c r="UM40" s="153"/>
      <c r="UN40" s="153"/>
      <c r="UO40" s="153"/>
      <c r="UP40" s="153"/>
      <c r="UQ40" s="153"/>
      <c r="UR40" s="153"/>
      <c r="US40" s="153"/>
      <c r="UT40" s="153"/>
      <c r="UU40" s="153"/>
      <c r="UV40" s="153"/>
      <c r="UW40" s="153"/>
      <c r="UX40" s="153"/>
      <c r="UY40" s="153"/>
      <c r="UZ40" s="153"/>
      <c r="VA40" s="153"/>
      <c r="VB40" s="153"/>
      <c r="VC40" s="153"/>
      <c r="VD40" s="153"/>
      <c r="VE40" s="153"/>
      <c r="VF40" s="153"/>
      <c r="VG40" s="153"/>
      <c r="VH40" s="153"/>
      <c r="VI40" s="153"/>
      <c r="VJ40" s="153"/>
      <c r="VK40" s="153"/>
      <c r="VL40" s="153"/>
      <c r="VM40" s="153"/>
      <c r="VN40" s="153"/>
      <c r="VO40" s="153"/>
      <c r="VP40" s="153"/>
      <c r="VQ40" s="153"/>
      <c r="VR40" s="153"/>
      <c r="VS40" s="153"/>
      <c r="VT40" s="153"/>
      <c r="VU40" s="153"/>
      <c r="VV40" s="153"/>
      <c r="VW40" s="153"/>
      <c r="VX40" s="153"/>
      <c r="VY40" s="153"/>
      <c r="VZ40" s="153"/>
      <c r="WA40" s="153"/>
      <c r="WB40" s="153"/>
      <c r="WC40" s="153"/>
      <c r="WD40" s="153"/>
      <c r="WE40" s="153"/>
      <c r="WF40" s="153"/>
      <c r="WG40" s="153"/>
      <c r="WH40" s="153"/>
      <c r="WI40" s="153"/>
      <c r="WJ40" s="153"/>
      <c r="WK40" s="153"/>
      <c r="WL40" s="153"/>
      <c r="WM40" s="153"/>
      <c r="WN40" s="153"/>
      <c r="WO40" s="153"/>
      <c r="WP40" s="153"/>
      <c r="WQ40" s="153"/>
      <c r="WR40" s="153"/>
      <c r="WS40" s="153"/>
      <c r="WT40" s="153"/>
      <c r="WU40" s="153"/>
      <c r="WV40" s="153"/>
      <c r="WW40" s="153"/>
      <c r="WX40" s="153"/>
      <c r="WY40" s="153"/>
      <c r="WZ40" s="153"/>
      <c r="XA40" s="153"/>
      <c r="XB40" s="153"/>
      <c r="XC40" s="153"/>
      <c r="XD40" s="153"/>
      <c r="XE40" s="153"/>
      <c r="XF40" s="153"/>
      <c r="XG40" s="153"/>
      <c r="XH40" s="153"/>
      <c r="XI40" s="153"/>
      <c r="XJ40" s="153"/>
      <c r="XK40" s="153"/>
      <c r="XL40" s="153"/>
      <c r="XM40" s="153"/>
      <c r="XN40" s="153"/>
      <c r="XO40" s="153"/>
      <c r="XP40" s="153"/>
      <c r="XQ40" s="153"/>
      <c r="XR40" s="153"/>
      <c r="XS40" s="153"/>
      <c r="XT40" s="153"/>
      <c r="XU40" s="153"/>
      <c r="XV40" s="153"/>
      <c r="XW40" s="153"/>
      <c r="XX40" s="153"/>
      <c r="XY40" s="153"/>
      <c r="XZ40" s="153"/>
      <c r="YA40" s="153"/>
      <c r="YB40" s="153"/>
      <c r="YC40" s="153"/>
      <c r="YD40" s="153"/>
      <c r="YE40" s="153"/>
      <c r="YF40" s="153"/>
      <c r="YG40" s="153"/>
      <c r="YH40" s="153"/>
      <c r="YI40" s="153"/>
      <c r="YJ40" s="153"/>
      <c r="YK40" s="153"/>
      <c r="YL40" s="153"/>
      <c r="YM40" s="153"/>
      <c r="YN40" s="153"/>
      <c r="YO40" s="153"/>
      <c r="YP40" s="153"/>
      <c r="YQ40" s="153"/>
      <c r="YR40" s="153"/>
      <c r="YS40" s="153"/>
      <c r="YT40" s="153"/>
      <c r="YU40" s="153"/>
      <c r="YV40" s="153"/>
      <c r="YW40" s="153"/>
      <c r="YX40" s="153"/>
      <c r="YY40" s="153"/>
      <c r="YZ40" s="153"/>
      <c r="ZA40" s="153"/>
      <c r="ZB40" s="153"/>
      <c r="ZC40" s="153"/>
      <c r="ZD40" s="153"/>
      <c r="ZE40" s="153"/>
      <c r="ZF40" s="153"/>
      <c r="ZG40" s="153"/>
      <c r="ZH40" s="153"/>
      <c r="ZI40" s="153"/>
      <c r="ZJ40" s="153"/>
      <c r="ZK40" s="153"/>
      <c r="ZL40" s="153"/>
      <c r="ZM40" s="153"/>
      <c r="ZN40" s="153"/>
      <c r="ZO40" s="153"/>
      <c r="ZP40" s="153"/>
      <c r="ZQ40" s="153"/>
      <c r="ZR40" s="153"/>
      <c r="ZS40" s="153"/>
      <c r="ZT40" s="153"/>
      <c r="ZU40" s="153"/>
      <c r="ZV40" s="153"/>
      <c r="ZW40" s="153"/>
      <c r="ZX40" s="153"/>
      <c r="ZY40" s="153"/>
      <c r="ZZ40" s="153"/>
      <c r="AAA40" s="153"/>
      <c r="AAB40" s="153"/>
      <c r="AAC40" s="153"/>
      <c r="AAD40" s="153"/>
      <c r="AAE40" s="153"/>
      <c r="AAF40" s="153"/>
      <c r="AAG40" s="153"/>
      <c r="AAH40" s="153"/>
      <c r="AAI40" s="153"/>
      <c r="AAJ40" s="153"/>
      <c r="AAK40" s="153"/>
      <c r="AAL40" s="153"/>
      <c r="AAM40" s="153"/>
      <c r="AAN40" s="153"/>
      <c r="AAO40" s="153"/>
      <c r="AAP40" s="153"/>
      <c r="AAQ40" s="153"/>
      <c r="AAR40" s="153"/>
      <c r="AAS40" s="153"/>
      <c r="AAT40" s="153"/>
      <c r="AAU40" s="153"/>
      <c r="AAV40" s="153"/>
      <c r="AAW40" s="153"/>
      <c r="AAX40" s="153"/>
      <c r="AAY40" s="153"/>
      <c r="AAZ40" s="153"/>
      <c r="ABA40" s="153"/>
      <c r="ABB40" s="153"/>
      <c r="ABC40" s="153"/>
      <c r="ABD40" s="153"/>
      <c r="ABE40" s="153"/>
      <c r="ABF40" s="153"/>
      <c r="ABG40" s="153"/>
      <c r="ABH40" s="153"/>
      <c r="ABI40" s="153"/>
      <c r="ABJ40" s="153"/>
      <c r="ABK40" s="153"/>
      <c r="ABL40" s="153"/>
      <c r="ABM40" s="153"/>
      <c r="ABN40" s="153"/>
      <c r="ABO40" s="153"/>
      <c r="ABP40" s="153"/>
      <c r="ABQ40" s="153"/>
      <c r="ABR40" s="153"/>
      <c r="ABS40" s="153"/>
      <c r="ABT40" s="153"/>
      <c r="ABU40" s="153"/>
      <c r="ABV40" s="153"/>
      <c r="ABW40" s="153"/>
      <c r="ABX40" s="153"/>
      <c r="ABY40" s="153"/>
      <c r="ABZ40" s="153"/>
      <c r="ACA40" s="153"/>
      <c r="ACB40" s="153"/>
      <c r="ACC40" s="153"/>
      <c r="ACD40" s="153"/>
      <c r="ACE40" s="153"/>
      <c r="ACF40" s="153"/>
      <c r="ACG40" s="153"/>
      <c r="ACH40" s="153"/>
      <c r="ACI40" s="153"/>
      <c r="ACJ40" s="153"/>
      <c r="ACK40" s="153"/>
      <c r="ACL40" s="153"/>
      <c r="ACM40" s="153"/>
      <c r="ACN40" s="153"/>
      <c r="ACO40" s="153"/>
      <c r="ACP40" s="153"/>
      <c r="ACQ40" s="153"/>
      <c r="ACR40" s="153"/>
      <c r="ACS40" s="153"/>
      <c r="ACT40" s="153"/>
      <c r="ACU40" s="153"/>
      <c r="ACV40" s="153"/>
      <c r="ACW40" s="153"/>
      <c r="ACX40" s="153"/>
      <c r="ACY40" s="153"/>
      <c r="ACZ40" s="153"/>
      <c r="ADA40" s="153"/>
      <c r="ADB40" s="153"/>
      <c r="ADC40" s="153"/>
      <c r="ADD40" s="153"/>
      <c r="ADE40" s="153"/>
      <c r="ADF40" s="153"/>
      <c r="ADG40" s="153"/>
      <c r="ADH40" s="153"/>
      <c r="ADI40" s="153"/>
      <c r="ADJ40" s="153"/>
      <c r="ADK40" s="153"/>
      <c r="ADL40" s="153"/>
      <c r="ADM40" s="153"/>
      <c r="ADN40" s="153"/>
      <c r="ADO40" s="153"/>
      <c r="ADP40" s="153"/>
      <c r="ADQ40" s="153"/>
      <c r="ADR40" s="153"/>
      <c r="ADS40" s="153"/>
      <c r="ADT40" s="153"/>
      <c r="ADU40" s="153"/>
      <c r="ADV40" s="153"/>
      <c r="ADW40" s="153"/>
      <c r="ADX40" s="153"/>
      <c r="ADY40" s="153"/>
      <c r="ADZ40" s="153"/>
      <c r="AEA40" s="153"/>
      <c r="AEB40" s="153"/>
      <c r="AEC40" s="153"/>
      <c r="AED40" s="153"/>
      <c r="AEE40" s="153"/>
      <c r="AEF40" s="153"/>
      <c r="AEG40" s="153"/>
      <c r="AEH40" s="153"/>
      <c r="AEI40" s="153"/>
      <c r="AEJ40" s="153"/>
      <c r="AEK40" s="153"/>
      <c r="AEL40" s="153"/>
      <c r="AEM40" s="153"/>
      <c r="AEN40" s="153"/>
      <c r="AEO40" s="153"/>
      <c r="AEP40" s="153"/>
      <c r="AEQ40" s="153"/>
      <c r="AER40" s="153"/>
      <c r="AES40" s="153"/>
      <c r="AET40" s="153"/>
      <c r="AEU40" s="153"/>
      <c r="AEV40" s="153"/>
      <c r="AEW40" s="153"/>
      <c r="AEX40" s="153"/>
      <c r="AEY40" s="153"/>
      <c r="AEZ40" s="153"/>
      <c r="AFA40" s="153"/>
      <c r="AFB40" s="153"/>
      <c r="AFC40" s="153"/>
      <c r="AFD40" s="153"/>
      <c r="AFE40" s="153"/>
      <c r="AFF40" s="153"/>
      <c r="AFG40" s="153"/>
      <c r="AFH40" s="153"/>
      <c r="AFI40" s="153"/>
      <c r="AFJ40" s="153"/>
      <c r="AFK40" s="153"/>
      <c r="AFL40" s="153"/>
      <c r="AFM40" s="153"/>
      <c r="AFN40" s="153"/>
      <c r="AFO40" s="153"/>
      <c r="AFP40" s="153"/>
      <c r="AFQ40" s="153"/>
      <c r="AFR40" s="153"/>
      <c r="AFS40" s="153"/>
      <c r="AFT40" s="153"/>
      <c r="AFU40" s="153"/>
      <c r="AFV40" s="153"/>
      <c r="AFW40" s="153"/>
      <c r="AFX40" s="153"/>
      <c r="AFY40" s="153"/>
      <c r="AFZ40" s="153"/>
      <c r="AGA40" s="153"/>
      <c r="AGB40" s="153"/>
      <c r="AGC40" s="153"/>
      <c r="AGD40" s="153"/>
      <c r="AGE40" s="153"/>
      <c r="AGF40" s="153"/>
      <c r="AGG40" s="153"/>
      <c r="AGH40" s="153"/>
      <c r="AGI40" s="153"/>
      <c r="AGJ40" s="153"/>
      <c r="AGK40" s="153"/>
      <c r="AGL40" s="153"/>
      <c r="AGM40" s="153"/>
      <c r="AGN40" s="153"/>
      <c r="AGO40" s="153"/>
      <c r="AGP40" s="153"/>
      <c r="AGQ40" s="153"/>
      <c r="AGR40" s="153"/>
      <c r="AGS40" s="153"/>
      <c r="AGT40" s="153"/>
      <c r="AGU40" s="153"/>
      <c r="AGV40" s="153"/>
      <c r="AGW40" s="153"/>
      <c r="AGX40" s="153"/>
      <c r="AGY40" s="153"/>
      <c r="AGZ40" s="153"/>
      <c r="AHA40" s="153"/>
      <c r="AHB40" s="153"/>
      <c r="AHC40" s="153"/>
      <c r="AHD40" s="153"/>
      <c r="AHE40" s="153"/>
      <c r="AHF40" s="153"/>
      <c r="AHG40" s="153"/>
      <c r="AHH40" s="153"/>
      <c r="AHI40" s="153"/>
      <c r="AHJ40" s="153"/>
      <c r="AHK40" s="153"/>
      <c r="AHL40" s="153"/>
      <c r="AHM40" s="153"/>
      <c r="AHN40" s="153"/>
      <c r="AHO40" s="153"/>
      <c r="AHP40" s="153"/>
      <c r="AHQ40" s="153"/>
      <c r="AHR40" s="153"/>
      <c r="AHS40" s="153"/>
      <c r="AHT40" s="153"/>
      <c r="AHU40" s="153"/>
      <c r="AHV40" s="153"/>
      <c r="AHW40" s="153"/>
      <c r="AHX40" s="153"/>
      <c r="AHY40" s="153"/>
      <c r="AHZ40" s="153"/>
      <c r="AIA40" s="153"/>
      <c r="AIB40" s="153"/>
      <c r="AIC40" s="153"/>
      <c r="AID40" s="153"/>
      <c r="AIE40" s="153"/>
      <c r="AIF40" s="153"/>
      <c r="AIG40" s="153"/>
      <c r="AIH40" s="153"/>
      <c r="AII40" s="153"/>
      <c r="AIJ40" s="153"/>
      <c r="AIK40" s="153"/>
      <c r="AIL40" s="153"/>
      <c r="AIM40" s="153"/>
      <c r="AIN40" s="153"/>
      <c r="AIO40" s="153"/>
      <c r="AIP40" s="153"/>
      <c r="AIQ40" s="153"/>
      <c r="AIR40" s="153"/>
      <c r="AIS40" s="153"/>
      <c r="AIT40" s="153"/>
      <c r="AIU40" s="153"/>
      <c r="AIV40" s="153"/>
      <c r="AIW40" s="153"/>
      <c r="AIX40" s="153"/>
      <c r="AIY40" s="153"/>
      <c r="AIZ40" s="153"/>
      <c r="AJA40" s="153"/>
      <c r="AJB40" s="153"/>
      <c r="AJC40" s="153"/>
      <c r="AJD40" s="153"/>
      <c r="AJE40" s="153"/>
      <c r="AJF40" s="153"/>
      <c r="AJG40" s="153"/>
      <c r="AJH40" s="153"/>
      <c r="AJI40" s="153"/>
      <c r="AJJ40" s="153"/>
      <c r="AJK40" s="153"/>
      <c r="AJL40" s="153"/>
      <c r="AJM40" s="153"/>
      <c r="AJN40" s="153"/>
      <c r="AJO40" s="153"/>
      <c r="AJP40" s="153"/>
      <c r="AJQ40" s="153"/>
      <c r="AJR40" s="153"/>
      <c r="AJS40" s="153"/>
      <c r="AJT40" s="153"/>
      <c r="AJU40" s="153"/>
      <c r="AJV40" s="153"/>
      <c r="AJW40" s="153"/>
      <c r="AJX40" s="153"/>
      <c r="AJY40" s="153"/>
      <c r="AJZ40" s="153"/>
      <c r="AKA40" s="153"/>
      <c r="AKB40" s="153"/>
      <c r="AKC40" s="153"/>
      <c r="AKD40" s="153"/>
      <c r="AKE40" s="153"/>
      <c r="AKF40" s="153"/>
      <c r="AKG40" s="153"/>
      <c r="AKH40" s="153"/>
      <c r="AKI40" s="153"/>
      <c r="AKJ40" s="153"/>
      <c r="AKK40" s="153"/>
      <c r="AKL40" s="153"/>
      <c r="AKM40" s="153"/>
      <c r="AKN40" s="153"/>
      <c r="AKO40" s="153"/>
      <c r="AKP40" s="153"/>
      <c r="AKQ40" s="153"/>
      <c r="AKR40" s="153"/>
      <c r="AKS40" s="153"/>
      <c r="AKT40" s="153"/>
      <c r="AKU40" s="153"/>
      <c r="AKV40" s="153"/>
      <c r="AKW40" s="153"/>
      <c r="AKX40" s="153"/>
      <c r="AKY40" s="153"/>
      <c r="AKZ40" s="153"/>
      <c r="ALA40" s="153"/>
      <c r="ALB40" s="153"/>
      <c r="ALC40" s="153"/>
      <c r="ALD40" s="153"/>
      <c r="ALE40" s="153"/>
      <c r="ALF40" s="153"/>
      <c r="ALG40" s="153"/>
      <c r="ALH40" s="153"/>
      <c r="ALI40" s="153"/>
      <c r="ALJ40" s="153"/>
      <c r="ALK40" s="153"/>
      <c r="ALL40" s="153"/>
      <c r="ALM40" s="153"/>
      <c r="ALN40" s="153"/>
      <c r="ALO40" s="153"/>
      <c r="ALP40" s="153"/>
      <c r="ALQ40" s="153"/>
      <c r="ALR40" s="153"/>
      <c r="ALS40" s="153"/>
      <c r="ALT40" s="153"/>
      <c r="ALU40" s="153"/>
      <c r="ALV40" s="153"/>
      <c r="ALW40" s="153"/>
      <c r="ALX40" s="153"/>
      <c r="ALY40" s="153"/>
      <c r="ALZ40" s="153"/>
      <c r="AMA40" s="153"/>
      <c r="AMB40" s="153"/>
      <c r="AMC40" s="153"/>
      <c r="AMD40" s="153"/>
      <c r="AME40" s="153"/>
      <c r="AMF40" s="153"/>
      <c r="AMG40" s="153"/>
      <c r="AMH40" s="153"/>
      <c r="AMI40" s="153"/>
      <c r="AMJ40" s="153"/>
      <c r="AMK40" s="153"/>
    </row>
    <row r="41" spans="1:1025" s="417" customFormat="1" ht="11.25" x14ac:dyDescent="0.2">
      <c r="A41" s="153"/>
      <c r="B41" s="153"/>
      <c r="C41" s="153"/>
      <c r="D41" s="153"/>
      <c r="G41" s="153"/>
      <c r="H41" s="392"/>
      <c r="I41" s="389"/>
      <c r="J41" s="153"/>
      <c r="K41" s="366"/>
      <c r="L41" s="284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/>
      <c r="CA41" s="153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153"/>
      <c r="CR41" s="153"/>
      <c r="CS41" s="153"/>
      <c r="CT41" s="153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3"/>
      <c r="DL41" s="153"/>
      <c r="DM41" s="153"/>
      <c r="DN41" s="153"/>
      <c r="DO41" s="153"/>
      <c r="DP41" s="153"/>
      <c r="DQ41" s="153"/>
      <c r="DR41" s="153"/>
      <c r="DS41" s="153"/>
      <c r="DT41" s="153"/>
      <c r="DU41" s="153"/>
      <c r="DV41" s="153"/>
      <c r="DW41" s="153"/>
      <c r="DX41" s="153"/>
      <c r="DY41" s="153"/>
      <c r="DZ41" s="153"/>
      <c r="EA41" s="153"/>
      <c r="EB41" s="153"/>
      <c r="EC41" s="153"/>
      <c r="ED41" s="153"/>
      <c r="EE41" s="153"/>
      <c r="EF41" s="153"/>
      <c r="EG41" s="153"/>
      <c r="EH41" s="153"/>
      <c r="EI41" s="153"/>
      <c r="EJ41" s="153"/>
      <c r="EK41" s="153"/>
      <c r="EL41" s="153"/>
      <c r="EM41" s="153"/>
      <c r="EN41" s="153"/>
      <c r="EO41" s="153"/>
      <c r="EP41" s="153"/>
      <c r="EQ41" s="153"/>
      <c r="ER41" s="153"/>
      <c r="ES41" s="153"/>
      <c r="ET41" s="153"/>
      <c r="EU41" s="153"/>
      <c r="EV41" s="153"/>
      <c r="EW41" s="153"/>
      <c r="EX41" s="153"/>
      <c r="EY41" s="153"/>
      <c r="EZ41" s="153"/>
      <c r="FA41" s="153"/>
      <c r="FB41" s="153"/>
      <c r="FC41" s="153"/>
      <c r="FD41" s="153"/>
      <c r="FE41" s="153"/>
      <c r="FF41" s="153"/>
      <c r="FG41" s="153"/>
      <c r="FH41" s="153"/>
      <c r="FI41" s="153"/>
      <c r="FJ41" s="153"/>
      <c r="FK41" s="153"/>
      <c r="FL41" s="153"/>
      <c r="FM41" s="153"/>
      <c r="FN41" s="153"/>
      <c r="FO41" s="153"/>
      <c r="FP41" s="153"/>
      <c r="FQ41" s="153"/>
      <c r="FR41" s="153"/>
      <c r="FS41" s="153"/>
      <c r="FT41" s="153"/>
      <c r="FU41" s="153"/>
      <c r="FV41" s="153"/>
      <c r="FW41" s="153"/>
      <c r="FX41" s="153"/>
      <c r="FY41" s="153"/>
      <c r="FZ41" s="153"/>
      <c r="GA41" s="153"/>
      <c r="GB41" s="153"/>
      <c r="GC41" s="153"/>
      <c r="GD41" s="153"/>
      <c r="GE41" s="153"/>
      <c r="GF41" s="153"/>
      <c r="GG41" s="153"/>
      <c r="GH41" s="153"/>
      <c r="GI41" s="153"/>
      <c r="GJ41" s="153"/>
      <c r="GK41" s="153"/>
      <c r="GL41" s="153"/>
      <c r="GM41" s="153"/>
      <c r="GN41" s="153"/>
      <c r="GO41" s="153"/>
      <c r="GP41" s="153"/>
      <c r="GQ41" s="153"/>
      <c r="GR41" s="153"/>
      <c r="GS41" s="153"/>
      <c r="GT41" s="153"/>
      <c r="GU41" s="153"/>
      <c r="GV41" s="153"/>
      <c r="GW41" s="153"/>
      <c r="GX41" s="153"/>
      <c r="GY41" s="153"/>
      <c r="GZ41" s="153"/>
      <c r="HA41" s="153"/>
      <c r="HB41" s="153"/>
      <c r="HC41" s="153"/>
      <c r="HD41" s="153"/>
      <c r="HE41" s="153"/>
      <c r="HF41" s="153"/>
      <c r="HG41" s="153"/>
      <c r="HH41" s="153"/>
      <c r="HI41" s="153"/>
      <c r="HJ41" s="153"/>
      <c r="HK41" s="153"/>
      <c r="HL41" s="153"/>
      <c r="HM41" s="153"/>
      <c r="HN41" s="153"/>
      <c r="HO41" s="153"/>
      <c r="HP41" s="153"/>
      <c r="HQ41" s="153"/>
      <c r="HR41" s="153"/>
      <c r="HS41" s="153"/>
      <c r="HT41" s="153"/>
      <c r="HU41" s="153"/>
      <c r="HV41" s="153"/>
      <c r="HW41" s="153"/>
      <c r="HX41" s="153"/>
      <c r="HY41" s="153"/>
      <c r="HZ41" s="153"/>
      <c r="IA41" s="153"/>
      <c r="IB41" s="153"/>
      <c r="IC41" s="153"/>
      <c r="ID41" s="153"/>
      <c r="IE41" s="153"/>
      <c r="IF41" s="153"/>
      <c r="IG41" s="153"/>
      <c r="IH41" s="153"/>
      <c r="II41" s="153"/>
      <c r="IJ41" s="153"/>
      <c r="IK41" s="153"/>
      <c r="IL41" s="153"/>
      <c r="IM41" s="153"/>
      <c r="IN41" s="153"/>
      <c r="IO41" s="153"/>
      <c r="IP41" s="153"/>
      <c r="IQ41" s="153"/>
      <c r="IR41" s="153"/>
      <c r="IS41" s="153"/>
      <c r="IT41" s="153"/>
      <c r="IU41" s="153"/>
      <c r="IV41" s="153"/>
      <c r="IW41" s="153"/>
      <c r="IX41" s="153"/>
      <c r="IY41" s="153"/>
      <c r="IZ41" s="153"/>
      <c r="JA41" s="153"/>
      <c r="JB41" s="153"/>
      <c r="JC41" s="153"/>
      <c r="JD41" s="153"/>
      <c r="JE41" s="153"/>
      <c r="JF41" s="153"/>
      <c r="JG41" s="153"/>
      <c r="JH41" s="153"/>
      <c r="JI41" s="153"/>
      <c r="JJ41" s="153"/>
      <c r="JK41" s="153"/>
      <c r="JL41" s="153"/>
      <c r="JM41" s="153"/>
      <c r="JN41" s="153"/>
      <c r="JO41" s="153"/>
      <c r="JP41" s="153"/>
      <c r="JQ41" s="153"/>
      <c r="JR41" s="153"/>
      <c r="JS41" s="153"/>
      <c r="JT41" s="153"/>
      <c r="JU41" s="153"/>
      <c r="JV41" s="153"/>
      <c r="JW41" s="153"/>
      <c r="JX41" s="153"/>
      <c r="JY41" s="153"/>
      <c r="JZ41" s="153"/>
      <c r="KA41" s="153"/>
      <c r="KB41" s="153"/>
      <c r="KC41" s="153"/>
      <c r="KD41" s="153"/>
      <c r="KE41" s="153"/>
      <c r="KF41" s="153"/>
      <c r="KG41" s="153"/>
      <c r="KH41" s="153"/>
      <c r="KI41" s="153"/>
      <c r="KJ41" s="153"/>
      <c r="KK41" s="153"/>
      <c r="KL41" s="153"/>
      <c r="KM41" s="153"/>
      <c r="KN41" s="153"/>
      <c r="KO41" s="153"/>
      <c r="KP41" s="153"/>
      <c r="KQ41" s="153"/>
      <c r="KR41" s="153"/>
      <c r="KS41" s="153"/>
      <c r="KT41" s="153"/>
      <c r="KU41" s="153"/>
      <c r="KV41" s="153"/>
      <c r="KW41" s="153"/>
      <c r="KX41" s="153"/>
      <c r="KY41" s="153"/>
      <c r="KZ41" s="153"/>
      <c r="LA41" s="153"/>
      <c r="LB41" s="153"/>
      <c r="LC41" s="153"/>
      <c r="LD41" s="153"/>
      <c r="LE41" s="153"/>
      <c r="LF41" s="153"/>
      <c r="LG41" s="153"/>
      <c r="LH41" s="153"/>
      <c r="LI41" s="153"/>
      <c r="LJ41" s="153"/>
      <c r="LK41" s="153"/>
      <c r="LL41" s="153"/>
      <c r="LM41" s="153"/>
      <c r="LN41" s="153"/>
      <c r="LO41" s="153"/>
      <c r="LP41" s="153"/>
      <c r="LQ41" s="153"/>
      <c r="LR41" s="153"/>
      <c r="LS41" s="153"/>
      <c r="LT41" s="153"/>
      <c r="LU41" s="153"/>
      <c r="LV41" s="153"/>
      <c r="LW41" s="153"/>
      <c r="LX41" s="153"/>
      <c r="LY41" s="153"/>
      <c r="LZ41" s="153"/>
      <c r="MA41" s="153"/>
      <c r="MB41" s="153"/>
      <c r="MC41" s="153"/>
      <c r="MD41" s="153"/>
      <c r="ME41" s="153"/>
      <c r="MF41" s="153"/>
      <c r="MG41" s="153"/>
      <c r="MH41" s="153"/>
      <c r="MI41" s="153"/>
      <c r="MJ41" s="153"/>
      <c r="MK41" s="153"/>
      <c r="ML41" s="153"/>
      <c r="MM41" s="153"/>
      <c r="MN41" s="153"/>
      <c r="MO41" s="153"/>
      <c r="MP41" s="153"/>
      <c r="MQ41" s="153"/>
      <c r="MR41" s="153"/>
      <c r="MS41" s="153"/>
      <c r="MT41" s="153"/>
      <c r="MU41" s="153"/>
      <c r="MV41" s="153"/>
      <c r="MW41" s="153"/>
      <c r="MX41" s="153"/>
      <c r="MY41" s="153"/>
      <c r="MZ41" s="153"/>
      <c r="NA41" s="153"/>
      <c r="NB41" s="153"/>
      <c r="NC41" s="153"/>
      <c r="ND41" s="153"/>
      <c r="NE41" s="153"/>
      <c r="NF41" s="153"/>
      <c r="NG41" s="153"/>
      <c r="NH41" s="153"/>
      <c r="NI41" s="153"/>
      <c r="NJ41" s="153"/>
      <c r="NK41" s="153"/>
      <c r="NL41" s="153"/>
      <c r="NM41" s="153"/>
      <c r="NN41" s="153"/>
      <c r="NO41" s="153"/>
      <c r="NP41" s="153"/>
      <c r="NQ41" s="153"/>
      <c r="NR41" s="153"/>
      <c r="NS41" s="153"/>
      <c r="NT41" s="153"/>
      <c r="NU41" s="153"/>
      <c r="NV41" s="153"/>
      <c r="NW41" s="153"/>
      <c r="NX41" s="153"/>
      <c r="NY41" s="153"/>
      <c r="NZ41" s="153"/>
      <c r="OA41" s="153"/>
      <c r="OB41" s="153"/>
      <c r="OC41" s="153"/>
      <c r="OD41" s="153"/>
      <c r="OE41" s="153"/>
      <c r="OF41" s="153"/>
      <c r="OG41" s="153"/>
      <c r="OH41" s="153"/>
      <c r="OI41" s="153"/>
      <c r="OJ41" s="153"/>
      <c r="OK41" s="153"/>
      <c r="OL41" s="153"/>
      <c r="OM41" s="153"/>
      <c r="ON41" s="153"/>
      <c r="OO41" s="153"/>
      <c r="OP41" s="153"/>
      <c r="OQ41" s="153"/>
      <c r="OR41" s="153"/>
      <c r="OS41" s="153"/>
      <c r="OT41" s="153"/>
      <c r="OU41" s="153"/>
      <c r="OV41" s="153"/>
      <c r="OW41" s="153"/>
      <c r="OX41" s="153"/>
      <c r="OY41" s="153"/>
      <c r="OZ41" s="153"/>
      <c r="PA41" s="153"/>
      <c r="PB41" s="153"/>
      <c r="PC41" s="153"/>
      <c r="PD41" s="153"/>
      <c r="PE41" s="153"/>
      <c r="PF41" s="153"/>
      <c r="PG41" s="153"/>
      <c r="PH41" s="153"/>
      <c r="PI41" s="153"/>
      <c r="PJ41" s="153"/>
      <c r="PK41" s="153"/>
      <c r="PL41" s="153"/>
      <c r="PM41" s="153"/>
      <c r="PN41" s="153"/>
      <c r="PO41" s="153"/>
      <c r="PP41" s="153"/>
      <c r="PQ41" s="153"/>
      <c r="PR41" s="153"/>
      <c r="PS41" s="153"/>
      <c r="PT41" s="153"/>
      <c r="PU41" s="153"/>
      <c r="PV41" s="153"/>
      <c r="PW41" s="153"/>
      <c r="PX41" s="153"/>
      <c r="PY41" s="153"/>
      <c r="PZ41" s="153"/>
      <c r="QA41" s="153"/>
      <c r="QB41" s="153"/>
      <c r="QC41" s="153"/>
      <c r="QD41" s="153"/>
      <c r="QE41" s="153"/>
      <c r="QF41" s="153"/>
      <c r="QG41" s="153"/>
      <c r="QH41" s="153"/>
      <c r="QI41" s="153"/>
      <c r="QJ41" s="153"/>
      <c r="QK41" s="153"/>
      <c r="QL41" s="153"/>
      <c r="QM41" s="153"/>
      <c r="QN41" s="153"/>
      <c r="QO41" s="153"/>
      <c r="QP41" s="153"/>
      <c r="QQ41" s="153"/>
      <c r="QR41" s="153"/>
      <c r="QS41" s="153"/>
      <c r="QT41" s="153"/>
      <c r="QU41" s="153"/>
      <c r="QV41" s="153"/>
      <c r="QW41" s="153"/>
      <c r="QX41" s="153"/>
      <c r="QY41" s="153"/>
      <c r="QZ41" s="153"/>
      <c r="RA41" s="153"/>
      <c r="RB41" s="153"/>
      <c r="RC41" s="153"/>
      <c r="RD41" s="153"/>
      <c r="RE41" s="153"/>
      <c r="RF41" s="153"/>
      <c r="RG41" s="153"/>
      <c r="RH41" s="153"/>
      <c r="RI41" s="153"/>
      <c r="RJ41" s="153"/>
      <c r="RK41" s="153"/>
      <c r="RL41" s="153"/>
      <c r="RM41" s="153"/>
      <c r="RN41" s="153"/>
      <c r="RO41" s="153"/>
      <c r="RP41" s="153"/>
      <c r="RQ41" s="153"/>
      <c r="RR41" s="153"/>
      <c r="RS41" s="153"/>
      <c r="RT41" s="153"/>
      <c r="RU41" s="153"/>
      <c r="RV41" s="153"/>
      <c r="RW41" s="153"/>
      <c r="RX41" s="153"/>
      <c r="RY41" s="153"/>
      <c r="RZ41" s="153"/>
      <c r="SA41" s="153"/>
      <c r="SB41" s="153"/>
      <c r="SC41" s="153"/>
      <c r="SD41" s="153"/>
      <c r="SE41" s="153"/>
      <c r="SF41" s="153"/>
      <c r="SG41" s="153"/>
      <c r="SH41" s="153"/>
      <c r="SI41" s="153"/>
      <c r="SJ41" s="153"/>
      <c r="SK41" s="153"/>
      <c r="SL41" s="153"/>
      <c r="SM41" s="153"/>
      <c r="SN41" s="153"/>
      <c r="SO41" s="153"/>
      <c r="SP41" s="153"/>
      <c r="SQ41" s="153"/>
      <c r="SR41" s="153"/>
      <c r="SS41" s="153"/>
      <c r="ST41" s="153"/>
      <c r="SU41" s="153"/>
      <c r="SV41" s="153"/>
      <c r="SW41" s="153"/>
      <c r="SX41" s="153"/>
      <c r="SY41" s="153"/>
      <c r="SZ41" s="153"/>
      <c r="TA41" s="153"/>
      <c r="TB41" s="153"/>
      <c r="TC41" s="153"/>
      <c r="TD41" s="153"/>
      <c r="TE41" s="153"/>
      <c r="TF41" s="153"/>
      <c r="TG41" s="153"/>
      <c r="TH41" s="153"/>
      <c r="TI41" s="153"/>
      <c r="TJ41" s="153"/>
      <c r="TK41" s="153"/>
      <c r="TL41" s="153"/>
      <c r="TM41" s="153"/>
      <c r="TN41" s="153"/>
      <c r="TO41" s="153"/>
      <c r="TP41" s="153"/>
      <c r="TQ41" s="153"/>
      <c r="TR41" s="153"/>
      <c r="TS41" s="153"/>
      <c r="TT41" s="153"/>
      <c r="TU41" s="153"/>
      <c r="TV41" s="153"/>
      <c r="TW41" s="153"/>
      <c r="TX41" s="153"/>
      <c r="TY41" s="153"/>
      <c r="TZ41" s="153"/>
      <c r="UA41" s="153"/>
      <c r="UB41" s="153"/>
      <c r="UC41" s="153"/>
      <c r="UD41" s="153"/>
      <c r="UE41" s="153"/>
      <c r="UF41" s="153"/>
      <c r="UG41" s="153"/>
      <c r="UH41" s="153"/>
      <c r="UI41" s="153"/>
      <c r="UJ41" s="153"/>
      <c r="UK41" s="153"/>
      <c r="UL41" s="153"/>
      <c r="UM41" s="153"/>
      <c r="UN41" s="153"/>
      <c r="UO41" s="153"/>
      <c r="UP41" s="153"/>
      <c r="UQ41" s="153"/>
      <c r="UR41" s="153"/>
      <c r="US41" s="153"/>
      <c r="UT41" s="153"/>
      <c r="UU41" s="153"/>
      <c r="UV41" s="153"/>
      <c r="UW41" s="153"/>
      <c r="UX41" s="153"/>
      <c r="UY41" s="153"/>
      <c r="UZ41" s="153"/>
      <c r="VA41" s="153"/>
      <c r="VB41" s="153"/>
      <c r="VC41" s="153"/>
      <c r="VD41" s="153"/>
      <c r="VE41" s="153"/>
      <c r="VF41" s="153"/>
      <c r="VG41" s="153"/>
      <c r="VH41" s="153"/>
      <c r="VI41" s="153"/>
      <c r="VJ41" s="153"/>
      <c r="VK41" s="153"/>
      <c r="VL41" s="153"/>
      <c r="VM41" s="153"/>
      <c r="VN41" s="153"/>
      <c r="VO41" s="153"/>
      <c r="VP41" s="153"/>
      <c r="VQ41" s="153"/>
      <c r="VR41" s="153"/>
      <c r="VS41" s="153"/>
      <c r="VT41" s="153"/>
      <c r="VU41" s="153"/>
      <c r="VV41" s="153"/>
      <c r="VW41" s="153"/>
      <c r="VX41" s="153"/>
      <c r="VY41" s="153"/>
      <c r="VZ41" s="153"/>
      <c r="WA41" s="153"/>
      <c r="WB41" s="153"/>
      <c r="WC41" s="153"/>
      <c r="WD41" s="153"/>
      <c r="WE41" s="153"/>
      <c r="WF41" s="153"/>
      <c r="WG41" s="153"/>
      <c r="WH41" s="153"/>
      <c r="WI41" s="153"/>
      <c r="WJ41" s="153"/>
      <c r="WK41" s="153"/>
      <c r="WL41" s="153"/>
      <c r="WM41" s="153"/>
      <c r="WN41" s="153"/>
      <c r="WO41" s="153"/>
      <c r="WP41" s="153"/>
      <c r="WQ41" s="153"/>
      <c r="WR41" s="153"/>
      <c r="WS41" s="153"/>
      <c r="WT41" s="153"/>
      <c r="WU41" s="153"/>
      <c r="WV41" s="153"/>
      <c r="WW41" s="153"/>
      <c r="WX41" s="153"/>
      <c r="WY41" s="153"/>
      <c r="WZ41" s="153"/>
      <c r="XA41" s="153"/>
      <c r="XB41" s="153"/>
      <c r="XC41" s="153"/>
      <c r="XD41" s="153"/>
      <c r="XE41" s="153"/>
      <c r="XF41" s="153"/>
      <c r="XG41" s="153"/>
      <c r="XH41" s="153"/>
      <c r="XI41" s="153"/>
      <c r="XJ41" s="153"/>
      <c r="XK41" s="153"/>
      <c r="XL41" s="153"/>
      <c r="XM41" s="153"/>
      <c r="XN41" s="153"/>
      <c r="XO41" s="153"/>
      <c r="XP41" s="153"/>
      <c r="XQ41" s="153"/>
      <c r="XR41" s="153"/>
      <c r="XS41" s="153"/>
      <c r="XT41" s="153"/>
      <c r="XU41" s="153"/>
      <c r="XV41" s="153"/>
      <c r="XW41" s="153"/>
      <c r="XX41" s="153"/>
      <c r="XY41" s="153"/>
      <c r="XZ41" s="153"/>
      <c r="YA41" s="153"/>
      <c r="YB41" s="153"/>
      <c r="YC41" s="153"/>
      <c r="YD41" s="153"/>
      <c r="YE41" s="153"/>
      <c r="YF41" s="153"/>
      <c r="YG41" s="153"/>
      <c r="YH41" s="153"/>
      <c r="YI41" s="153"/>
      <c r="YJ41" s="153"/>
      <c r="YK41" s="153"/>
      <c r="YL41" s="153"/>
      <c r="YM41" s="153"/>
      <c r="YN41" s="153"/>
      <c r="YO41" s="153"/>
      <c r="YP41" s="153"/>
      <c r="YQ41" s="153"/>
      <c r="YR41" s="153"/>
      <c r="YS41" s="153"/>
      <c r="YT41" s="153"/>
      <c r="YU41" s="153"/>
      <c r="YV41" s="153"/>
      <c r="YW41" s="153"/>
      <c r="YX41" s="153"/>
      <c r="YY41" s="153"/>
      <c r="YZ41" s="153"/>
      <c r="ZA41" s="153"/>
      <c r="ZB41" s="153"/>
      <c r="ZC41" s="153"/>
      <c r="ZD41" s="153"/>
      <c r="ZE41" s="153"/>
      <c r="ZF41" s="153"/>
      <c r="ZG41" s="153"/>
      <c r="ZH41" s="153"/>
      <c r="ZI41" s="153"/>
      <c r="ZJ41" s="153"/>
      <c r="ZK41" s="153"/>
      <c r="ZL41" s="153"/>
      <c r="ZM41" s="153"/>
      <c r="ZN41" s="153"/>
      <c r="ZO41" s="153"/>
      <c r="ZP41" s="153"/>
      <c r="ZQ41" s="153"/>
      <c r="ZR41" s="153"/>
      <c r="ZS41" s="153"/>
      <c r="ZT41" s="153"/>
      <c r="ZU41" s="153"/>
      <c r="ZV41" s="153"/>
      <c r="ZW41" s="153"/>
      <c r="ZX41" s="153"/>
      <c r="ZY41" s="153"/>
      <c r="ZZ41" s="153"/>
      <c r="AAA41" s="153"/>
      <c r="AAB41" s="153"/>
      <c r="AAC41" s="153"/>
      <c r="AAD41" s="153"/>
      <c r="AAE41" s="153"/>
      <c r="AAF41" s="153"/>
      <c r="AAG41" s="153"/>
      <c r="AAH41" s="153"/>
      <c r="AAI41" s="153"/>
      <c r="AAJ41" s="153"/>
      <c r="AAK41" s="153"/>
      <c r="AAL41" s="153"/>
      <c r="AAM41" s="153"/>
      <c r="AAN41" s="153"/>
      <c r="AAO41" s="153"/>
      <c r="AAP41" s="153"/>
      <c r="AAQ41" s="153"/>
      <c r="AAR41" s="153"/>
      <c r="AAS41" s="153"/>
      <c r="AAT41" s="153"/>
      <c r="AAU41" s="153"/>
      <c r="AAV41" s="153"/>
      <c r="AAW41" s="153"/>
      <c r="AAX41" s="153"/>
      <c r="AAY41" s="153"/>
      <c r="AAZ41" s="153"/>
      <c r="ABA41" s="153"/>
      <c r="ABB41" s="153"/>
      <c r="ABC41" s="153"/>
      <c r="ABD41" s="153"/>
      <c r="ABE41" s="153"/>
      <c r="ABF41" s="153"/>
      <c r="ABG41" s="153"/>
      <c r="ABH41" s="153"/>
      <c r="ABI41" s="153"/>
      <c r="ABJ41" s="153"/>
      <c r="ABK41" s="153"/>
      <c r="ABL41" s="153"/>
      <c r="ABM41" s="153"/>
      <c r="ABN41" s="153"/>
      <c r="ABO41" s="153"/>
      <c r="ABP41" s="153"/>
      <c r="ABQ41" s="153"/>
      <c r="ABR41" s="153"/>
      <c r="ABS41" s="153"/>
      <c r="ABT41" s="153"/>
      <c r="ABU41" s="153"/>
      <c r="ABV41" s="153"/>
      <c r="ABW41" s="153"/>
      <c r="ABX41" s="153"/>
      <c r="ABY41" s="153"/>
      <c r="ABZ41" s="153"/>
      <c r="ACA41" s="153"/>
      <c r="ACB41" s="153"/>
      <c r="ACC41" s="153"/>
      <c r="ACD41" s="153"/>
      <c r="ACE41" s="153"/>
      <c r="ACF41" s="153"/>
      <c r="ACG41" s="153"/>
      <c r="ACH41" s="153"/>
      <c r="ACI41" s="153"/>
      <c r="ACJ41" s="153"/>
      <c r="ACK41" s="153"/>
      <c r="ACL41" s="153"/>
      <c r="ACM41" s="153"/>
      <c r="ACN41" s="153"/>
      <c r="ACO41" s="153"/>
      <c r="ACP41" s="153"/>
      <c r="ACQ41" s="153"/>
      <c r="ACR41" s="153"/>
      <c r="ACS41" s="153"/>
      <c r="ACT41" s="153"/>
      <c r="ACU41" s="153"/>
      <c r="ACV41" s="153"/>
      <c r="ACW41" s="153"/>
      <c r="ACX41" s="153"/>
      <c r="ACY41" s="153"/>
      <c r="ACZ41" s="153"/>
      <c r="ADA41" s="153"/>
      <c r="ADB41" s="153"/>
      <c r="ADC41" s="153"/>
      <c r="ADD41" s="153"/>
      <c r="ADE41" s="153"/>
      <c r="ADF41" s="153"/>
      <c r="ADG41" s="153"/>
      <c r="ADH41" s="153"/>
      <c r="ADI41" s="153"/>
      <c r="ADJ41" s="153"/>
      <c r="ADK41" s="153"/>
      <c r="ADL41" s="153"/>
      <c r="ADM41" s="153"/>
      <c r="ADN41" s="153"/>
      <c r="ADO41" s="153"/>
      <c r="ADP41" s="153"/>
      <c r="ADQ41" s="153"/>
      <c r="ADR41" s="153"/>
      <c r="ADS41" s="153"/>
      <c r="ADT41" s="153"/>
      <c r="ADU41" s="153"/>
      <c r="ADV41" s="153"/>
      <c r="ADW41" s="153"/>
      <c r="ADX41" s="153"/>
      <c r="ADY41" s="153"/>
      <c r="ADZ41" s="153"/>
      <c r="AEA41" s="153"/>
      <c r="AEB41" s="153"/>
      <c r="AEC41" s="153"/>
      <c r="AED41" s="153"/>
      <c r="AEE41" s="153"/>
      <c r="AEF41" s="153"/>
      <c r="AEG41" s="153"/>
      <c r="AEH41" s="153"/>
      <c r="AEI41" s="153"/>
      <c r="AEJ41" s="153"/>
      <c r="AEK41" s="153"/>
      <c r="AEL41" s="153"/>
      <c r="AEM41" s="153"/>
      <c r="AEN41" s="153"/>
      <c r="AEO41" s="153"/>
      <c r="AEP41" s="153"/>
      <c r="AEQ41" s="153"/>
      <c r="AER41" s="153"/>
      <c r="AES41" s="153"/>
      <c r="AET41" s="153"/>
      <c r="AEU41" s="153"/>
      <c r="AEV41" s="153"/>
      <c r="AEW41" s="153"/>
      <c r="AEX41" s="153"/>
      <c r="AEY41" s="153"/>
      <c r="AEZ41" s="153"/>
      <c r="AFA41" s="153"/>
      <c r="AFB41" s="153"/>
      <c r="AFC41" s="153"/>
      <c r="AFD41" s="153"/>
      <c r="AFE41" s="153"/>
      <c r="AFF41" s="153"/>
      <c r="AFG41" s="153"/>
      <c r="AFH41" s="153"/>
      <c r="AFI41" s="153"/>
      <c r="AFJ41" s="153"/>
      <c r="AFK41" s="153"/>
      <c r="AFL41" s="153"/>
      <c r="AFM41" s="153"/>
      <c r="AFN41" s="153"/>
      <c r="AFO41" s="153"/>
      <c r="AFP41" s="153"/>
      <c r="AFQ41" s="153"/>
      <c r="AFR41" s="153"/>
      <c r="AFS41" s="153"/>
      <c r="AFT41" s="153"/>
      <c r="AFU41" s="153"/>
      <c r="AFV41" s="153"/>
      <c r="AFW41" s="153"/>
      <c r="AFX41" s="153"/>
      <c r="AFY41" s="153"/>
      <c r="AFZ41" s="153"/>
      <c r="AGA41" s="153"/>
      <c r="AGB41" s="153"/>
      <c r="AGC41" s="153"/>
      <c r="AGD41" s="153"/>
      <c r="AGE41" s="153"/>
      <c r="AGF41" s="153"/>
      <c r="AGG41" s="153"/>
      <c r="AGH41" s="153"/>
      <c r="AGI41" s="153"/>
      <c r="AGJ41" s="153"/>
      <c r="AGK41" s="153"/>
      <c r="AGL41" s="153"/>
      <c r="AGM41" s="153"/>
      <c r="AGN41" s="153"/>
      <c r="AGO41" s="153"/>
      <c r="AGP41" s="153"/>
      <c r="AGQ41" s="153"/>
      <c r="AGR41" s="153"/>
      <c r="AGS41" s="153"/>
      <c r="AGT41" s="153"/>
      <c r="AGU41" s="153"/>
      <c r="AGV41" s="153"/>
      <c r="AGW41" s="153"/>
      <c r="AGX41" s="153"/>
      <c r="AGY41" s="153"/>
      <c r="AGZ41" s="153"/>
      <c r="AHA41" s="153"/>
      <c r="AHB41" s="153"/>
      <c r="AHC41" s="153"/>
      <c r="AHD41" s="153"/>
      <c r="AHE41" s="153"/>
      <c r="AHF41" s="153"/>
      <c r="AHG41" s="153"/>
      <c r="AHH41" s="153"/>
      <c r="AHI41" s="153"/>
      <c r="AHJ41" s="153"/>
      <c r="AHK41" s="153"/>
      <c r="AHL41" s="153"/>
      <c r="AHM41" s="153"/>
      <c r="AHN41" s="153"/>
      <c r="AHO41" s="153"/>
      <c r="AHP41" s="153"/>
      <c r="AHQ41" s="153"/>
      <c r="AHR41" s="153"/>
      <c r="AHS41" s="153"/>
      <c r="AHT41" s="153"/>
      <c r="AHU41" s="153"/>
      <c r="AHV41" s="153"/>
      <c r="AHW41" s="153"/>
      <c r="AHX41" s="153"/>
      <c r="AHY41" s="153"/>
      <c r="AHZ41" s="153"/>
      <c r="AIA41" s="153"/>
      <c r="AIB41" s="153"/>
      <c r="AIC41" s="153"/>
      <c r="AID41" s="153"/>
      <c r="AIE41" s="153"/>
      <c r="AIF41" s="153"/>
      <c r="AIG41" s="153"/>
      <c r="AIH41" s="153"/>
      <c r="AII41" s="153"/>
      <c r="AIJ41" s="153"/>
      <c r="AIK41" s="153"/>
      <c r="AIL41" s="153"/>
      <c r="AIM41" s="153"/>
      <c r="AIN41" s="153"/>
      <c r="AIO41" s="153"/>
      <c r="AIP41" s="153"/>
      <c r="AIQ41" s="153"/>
      <c r="AIR41" s="153"/>
      <c r="AIS41" s="153"/>
      <c r="AIT41" s="153"/>
      <c r="AIU41" s="153"/>
      <c r="AIV41" s="153"/>
      <c r="AIW41" s="153"/>
      <c r="AIX41" s="153"/>
      <c r="AIY41" s="153"/>
      <c r="AIZ41" s="153"/>
      <c r="AJA41" s="153"/>
      <c r="AJB41" s="153"/>
      <c r="AJC41" s="153"/>
      <c r="AJD41" s="153"/>
      <c r="AJE41" s="153"/>
      <c r="AJF41" s="153"/>
      <c r="AJG41" s="153"/>
      <c r="AJH41" s="153"/>
      <c r="AJI41" s="153"/>
      <c r="AJJ41" s="153"/>
      <c r="AJK41" s="153"/>
      <c r="AJL41" s="153"/>
      <c r="AJM41" s="153"/>
      <c r="AJN41" s="153"/>
      <c r="AJO41" s="153"/>
      <c r="AJP41" s="153"/>
      <c r="AJQ41" s="153"/>
      <c r="AJR41" s="153"/>
      <c r="AJS41" s="153"/>
      <c r="AJT41" s="153"/>
      <c r="AJU41" s="153"/>
      <c r="AJV41" s="153"/>
      <c r="AJW41" s="153"/>
      <c r="AJX41" s="153"/>
      <c r="AJY41" s="153"/>
      <c r="AJZ41" s="153"/>
      <c r="AKA41" s="153"/>
      <c r="AKB41" s="153"/>
      <c r="AKC41" s="153"/>
      <c r="AKD41" s="153"/>
      <c r="AKE41" s="153"/>
      <c r="AKF41" s="153"/>
      <c r="AKG41" s="153"/>
      <c r="AKH41" s="153"/>
      <c r="AKI41" s="153"/>
      <c r="AKJ41" s="153"/>
      <c r="AKK41" s="153"/>
      <c r="AKL41" s="153"/>
      <c r="AKM41" s="153"/>
      <c r="AKN41" s="153"/>
      <c r="AKO41" s="153"/>
      <c r="AKP41" s="153"/>
      <c r="AKQ41" s="153"/>
      <c r="AKR41" s="153"/>
      <c r="AKS41" s="153"/>
      <c r="AKT41" s="153"/>
      <c r="AKU41" s="153"/>
      <c r="AKV41" s="153"/>
      <c r="AKW41" s="153"/>
      <c r="AKX41" s="153"/>
      <c r="AKY41" s="153"/>
      <c r="AKZ41" s="153"/>
      <c r="ALA41" s="153"/>
      <c r="ALB41" s="153"/>
      <c r="ALC41" s="153"/>
      <c r="ALD41" s="153"/>
      <c r="ALE41" s="153"/>
      <c r="ALF41" s="153"/>
      <c r="ALG41" s="153"/>
      <c r="ALH41" s="153"/>
      <c r="ALI41" s="153"/>
      <c r="ALJ41" s="153"/>
      <c r="ALK41" s="153"/>
      <c r="ALL41" s="153"/>
      <c r="ALM41" s="153"/>
      <c r="ALN41" s="153"/>
      <c r="ALO41" s="153"/>
      <c r="ALP41" s="153"/>
      <c r="ALQ41" s="153"/>
      <c r="ALR41" s="153"/>
      <c r="ALS41" s="153"/>
      <c r="ALT41" s="153"/>
      <c r="ALU41" s="153"/>
      <c r="ALV41" s="153"/>
      <c r="ALW41" s="153"/>
      <c r="ALX41" s="153"/>
      <c r="ALY41" s="153"/>
      <c r="ALZ41" s="153"/>
      <c r="AMA41" s="153"/>
      <c r="AMB41" s="153"/>
      <c r="AMC41" s="153"/>
      <c r="AMD41" s="153"/>
      <c r="AME41" s="153"/>
      <c r="AMF41" s="153"/>
      <c r="AMG41" s="153"/>
      <c r="AMH41" s="153"/>
      <c r="AMI41" s="153"/>
      <c r="AMJ41" s="153"/>
      <c r="AMK41" s="153"/>
    </row>
    <row r="42" spans="1:1025" s="434" customFormat="1" ht="9.75" x14ac:dyDescent="0.2">
      <c r="A42" s="229" t="s">
        <v>1454</v>
      </c>
      <c r="B42" s="230"/>
      <c r="C42" s="230"/>
      <c r="D42" s="231" t="s">
        <v>1453</v>
      </c>
      <c r="E42" s="231"/>
      <c r="F42" s="431"/>
      <c r="G42" s="431" t="s">
        <v>98</v>
      </c>
      <c r="H42" s="431"/>
      <c r="I42" s="432"/>
      <c r="J42" s="433"/>
      <c r="K42" s="431"/>
      <c r="L42" s="431"/>
      <c r="M42" s="431"/>
      <c r="N42" s="431"/>
      <c r="O42" s="431"/>
      <c r="P42" s="431"/>
      <c r="Q42" s="431"/>
      <c r="R42" s="431"/>
      <c r="S42" s="431"/>
      <c r="T42" s="431"/>
      <c r="U42" s="431"/>
      <c r="V42" s="431"/>
      <c r="W42" s="431"/>
      <c r="X42" s="431"/>
      <c r="Y42" s="431"/>
      <c r="Z42" s="431"/>
      <c r="AA42" s="431"/>
      <c r="AB42" s="431"/>
      <c r="AC42" s="431"/>
      <c r="AD42" s="431"/>
      <c r="AE42" s="431"/>
      <c r="AF42" s="431"/>
      <c r="AG42" s="431"/>
      <c r="AH42" s="431"/>
      <c r="AI42" s="431"/>
      <c r="AJ42" s="431"/>
      <c r="AK42" s="431"/>
      <c r="AL42" s="431"/>
      <c r="AM42" s="431"/>
      <c r="AN42" s="431"/>
      <c r="AO42" s="431"/>
      <c r="AP42" s="431"/>
      <c r="AQ42" s="431"/>
      <c r="AR42" s="431"/>
      <c r="AS42" s="431"/>
      <c r="AT42" s="431"/>
      <c r="AU42" s="431"/>
      <c r="AV42" s="431"/>
      <c r="AW42" s="431"/>
      <c r="AX42" s="431"/>
      <c r="AY42" s="431"/>
      <c r="AZ42" s="431"/>
      <c r="BA42" s="431"/>
      <c r="BB42" s="431"/>
      <c r="BC42" s="431"/>
      <c r="BD42" s="431"/>
      <c r="BE42" s="431"/>
      <c r="BF42" s="431"/>
      <c r="BG42" s="431"/>
      <c r="BH42" s="431"/>
      <c r="BI42" s="431"/>
      <c r="BJ42" s="431"/>
      <c r="BK42" s="431"/>
      <c r="BL42" s="431"/>
      <c r="BM42" s="431"/>
      <c r="BN42" s="431"/>
      <c r="BO42" s="431"/>
      <c r="BP42" s="431"/>
      <c r="BQ42" s="431"/>
      <c r="BR42" s="431"/>
      <c r="BS42" s="431"/>
      <c r="BT42" s="431"/>
      <c r="BU42" s="431"/>
      <c r="BV42" s="431"/>
      <c r="BW42" s="431"/>
      <c r="BX42" s="431"/>
      <c r="BY42" s="431"/>
      <c r="BZ42" s="431"/>
      <c r="CA42" s="431"/>
      <c r="CB42" s="431"/>
      <c r="CC42" s="431"/>
      <c r="CD42" s="431"/>
      <c r="CE42" s="431"/>
      <c r="CF42" s="431"/>
      <c r="CG42" s="431"/>
      <c r="CH42" s="431"/>
      <c r="CI42" s="431"/>
      <c r="CJ42" s="431"/>
      <c r="CK42" s="431"/>
      <c r="CL42" s="431"/>
      <c r="CM42" s="431"/>
      <c r="CN42" s="431"/>
      <c r="CO42" s="431"/>
      <c r="CP42" s="431"/>
      <c r="CQ42" s="431"/>
      <c r="CR42" s="431"/>
      <c r="CS42" s="431"/>
      <c r="CT42" s="431"/>
      <c r="CU42" s="431"/>
      <c r="CV42" s="431"/>
      <c r="CW42" s="431"/>
      <c r="CX42" s="431"/>
      <c r="CY42" s="431"/>
      <c r="CZ42" s="431"/>
      <c r="DA42" s="431"/>
      <c r="DB42" s="431"/>
      <c r="DC42" s="431"/>
      <c r="DD42" s="431"/>
      <c r="DE42" s="431"/>
      <c r="DF42" s="431"/>
      <c r="DG42" s="431"/>
      <c r="DH42" s="431"/>
      <c r="DI42" s="431"/>
      <c r="DJ42" s="431"/>
      <c r="DK42" s="431"/>
      <c r="DL42" s="431"/>
      <c r="DM42" s="431"/>
      <c r="DN42" s="431"/>
      <c r="DO42" s="431"/>
      <c r="DP42" s="431"/>
      <c r="DQ42" s="431"/>
      <c r="DR42" s="431"/>
      <c r="DS42" s="431"/>
      <c r="DT42" s="431"/>
      <c r="DU42" s="431"/>
      <c r="DV42" s="431"/>
      <c r="DW42" s="431"/>
      <c r="DX42" s="431"/>
      <c r="DY42" s="431"/>
      <c r="DZ42" s="431"/>
      <c r="EA42" s="431"/>
      <c r="EB42" s="431"/>
      <c r="EC42" s="431"/>
      <c r="ED42" s="431"/>
      <c r="EE42" s="431"/>
      <c r="EF42" s="431"/>
      <c r="EG42" s="431"/>
      <c r="EH42" s="431"/>
      <c r="EI42" s="431"/>
      <c r="EJ42" s="431"/>
      <c r="EK42" s="431"/>
      <c r="EL42" s="431"/>
      <c r="EM42" s="431"/>
      <c r="EN42" s="431"/>
      <c r="EO42" s="431"/>
      <c r="EP42" s="431"/>
      <c r="EQ42" s="431"/>
      <c r="ER42" s="431"/>
      <c r="ES42" s="431"/>
      <c r="ET42" s="431"/>
      <c r="EU42" s="431"/>
      <c r="EV42" s="431"/>
      <c r="EW42" s="431"/>
      <c r="EX42" s="431"/>
      <c r="EY42" s="431"/>
      <c r="EZ42" s="431"/>
      <c r="FA42" s="431"/>
      <c r="FB42" s="431"/>
      <c r="FC42" s="431"/>
      <c r="FD42" s="431"/>
      <c r="FE42" s="431"/>
      <c r="FF42" s="431"/>
      <c r="FG42" s="431"/>
      <c r="FH42" s="431"/>
      <c r="FI42" s="431"/>
      <c r="FJ42" s="431"/>
      <c r="FK42" s="431"/>
      <c r="FL42" s="431"/>
      <c r="FM42" s="431"/>
      <c r="FN42" s="431"/>
      <c r="FO42" s="431"/>
      <c r="FP42" s="431"/>
      <c r="FQ42" s="431"/>
      <c r="FR42" s="431"/>
      <c r="FS42" s="431"/>
      <c r="FT42" s="431"/>
      <c r="FU42" s="431"/>
      <c r="FV42" s="431"/>
      <c r="FW42" s="431"/>
      <c r="FX42" s="431"/>
      <c r="FY42" s="431"/>
      <c r="FZ42" s="431"/>
      <c r="GA42" s="431"/>
      <c r="GB42" s="431"/>
      <c r="GC42" s="431"/>
      <c r="GD42" s="431"/>
      <c r="GE42" s="431"/>
      <c r="GF42" s="431"/>
      <c r="GG42" s="431"/>
      <c r="GH42" s="431"/>
      <c r="GI42" s="431"/>
      <c r="GJ42" s="431"/>
      <c r="GK42" s="431"/>
      <c r="GL42" s="431"/>
      <c r="GM42" s="431"/>
      <c r="GN42" s="431"/>
      <c r="GO42" s="431"/>
      <c r="GP42" s="431"/>
      <c r="GQ42" s="431"/>
      <c r="GR42" s="431"/>
      <c r="GS42" s="431"/>
      <c r="GT42" s="431"/>
      <c r="GU42" s="431"/>
      <c r="GV42" s="431"/>
      <c r="GW42" s="431"/>
      <c r="GX42" s="431"/>
      <c r="GY42" s="431"/>
      <c r="GZ42" s="431"/>
      <c r="HA42" s="431"/>
      <c r="HB42" s="431"/>
      <c r="HC42" s="431"/>
      <c r="HD42" s="431"/>
      <c r="HE42" s="431"/>
      <c r="HF42" s="431"/>
      <c r="HG42" s="431"/>
      <c r="HH42" s="431"/>
      <c r="HI42" s="431"/>
      <c r="HJ42" s="431"/>
      <c r="HK42" s="431"/>
      <c r="HL42" s="431"/>
      <c r="HM42" s="431"/>
      <c r="HN42" s="431"/>
      <c r="HO42" s="431"/>
      <c r="HP42" s="431"/>
      <c r="HQ42" s="431"/>
      <c r="HR42" s="431"/>
      <c r="HS42" s="431"/>
      <c r="HT42" s="431"/>
      <c r="HU42" s="431"/>
      <c r="HV42" s="431"/>
      <c r="HW42" s="431"/>
      <c r="HX42" s="431"/>
      <c r="HY42" s="431"/>
      <c r="HZ42" s="431"/>
      <c r="IA42" s="431"/>
      <c r="IB42" s="431"/>
      <c r="IC42" s="431"/>
      <c r="ID42" s="431"/>
      <c r="IE42" s="431"/>
      <c r="IF42" s="431"/>
      <c r="IG42" s="431"/>
      <c r="IH42" s="431"/>
      <c r="II42" s="431"/>
      <c r="IJ42" s="431"/>
      <c r="IK42" s="431"/>
      <c r="IL42" s="431"/>
      <c r="IM42" s="431"/>
      <c r="IN42" s="431"/>
      <c r="IO42" s="431"/>
      <c r="IP42" s="431"/>
      <c r="IQ42" s="431"/>
      <c r="IR42" s="431"/>
      <c r="IS42" s="431"/>
      <c r="IT42" s="431"/>
      <c r="IU42" s="431"/>
      <c r="IV42" s="431"/>
      <c r="IW42" s="431"/>
      <c r="IX42" s="431"/>
      <c r="IY42" s="431"/>
      <c r="IZ42" s="431"/>
      <c r="JA42" s="431"/>
      <c r="JB42" s="431"/>
      <c r="JC42" s="431"/>
      <c r="JD42" s="431"/>
      <c r="JE42" s="431"/>
      <c r="JF42" s="431"/>
      <c r="JG42" s="431"/>
      <c r="JH42" s="431"/>
      <c r="JI42" s="431"/>
      <c r="JJ42" s="431"/>
      <c r="JK42" s="431"/>
      <c r="JL42" s="431"/>
      <c r="JM42" s="431"/>
      <c r="JN42" s="431"/>
      <c r="JO42" s="431"/>
      <c r="JP42" s="431"/>
      <c r="JQ42" s="431"/>
      <c r="JR42" s="431"/>
      <c r="JS42" s="431"/>
      <c r="JT42" s="431"/>
      <c r="JU42" s="431"/>
      <c r="JV42" s="431"/>
      <c r="JW42" s="431"/>
      <c r="JX42" s="431"/>
      <c r="JY42" s="431"/>
      <c r="JZ42" s="431"/>
      <c r="KA42" s="431"/>
      <c r="KB42" s="431"/>
      <c r="KC42" s="431"/>
      <c r="KD42" s="431"/>
      <c r="KE42" s="431"/>
      <c r="KF42" s="431"/>
      <c r="KG42" s="431"/>
      <c r="KH42" s="431"/>
      <c r="KI42" s="431"/>
      <c r="KJ42" s="431"/>
      <c r="KK42" s="431"/>
      <c r="KL42" s="431"/>
      <c r="KM42" s="431"/>
      <c r="KN42" s="431"/>
      <c r="KO42" s="431"/>
      <c r="KP42" s="431"/>
      <c r="KQ42" s="431"/>
      <c r="KR42" s="431"/>
      <c r="KS42" s="431"/>
      <c r="KT42" s="431"/>
      <c r="KU42" s="431"/>
      <c r="KV42" s="431"/>
      <c r="KW42" s="431"/>
      <c r="KX42" s="431"/>
      <c r="KY42" s="431"/>
      <c r="KZ42" s="431"/>
      <c r="LA42" s="431"/>
      <c r="LB42" s="431"/>
      <c r="LC42" s="431"/>
      <c r="LD42" s="431"/>
      <c r="LE42" s="431"/>
      <c r="LF42" s="431"/>
      <c r="LG42" s="431"/>
      <c r="LH42" s="431"/>
      <c r="LI42" s="431"/>
      <c r="LJ42" s="431"/>
      <c r="LK42" s="431"/>
      <c r="LL42" s="431"/>
      <c r="LM42" s="431"/>
      <c r="LN42" s="431"/>
      <c r="LO42" s="431"/>
      <c r="LP42" s="431"/>
      <c r="LQ42" s="431"/>
      <c r="LR42" s="431"/>
      <c r="LS42" s="431"/>
      <c r="LT42" s="431"/>
      <c r="LU42" s="431"/>
      <c r="LV42" s="431"/>
      <c r="LW42" s="431"/>
      <c r="LX42" s="431"/>
      <c r="LY42" s="431"/>
      <c r="LZ42" s="431"/>
      <c r="MA42" s="431"/>
      <c r="MB42" s="431"/>
      <c r="MC42" s="431"/>
      <c r="MD42" s="431"/>
      <c r="ME42" s="431"/>
      <c r="MF42" s="431"/>
      <c r="MG42" s="431"/>
      <c r="MH42" s="431"/>
      <c r="MI42" s="431"/>
      <c r="MJ42" s="431"/>
      <c r="MK42" s="431"/>
      <c r="ML42" s="431"/>
      <c r="MM42" s="431"/>
      <c r="MN42" s="431"/>
      <c r="MO42" s="431"/>
      <c r="MP42" s="431"/>
      <c r="MQ42" s="431"/>
      <c r="MR42" s="431"/>
      <c r="MS42" s="431"/>
      <c r="MT42" s="431"/>
      <c r="MU42" s="431"/>
      <c r="MV42" s="431"/>
      <c r="MW42" s="431"/>
      <c r="MX42" s="431"/>
      <c r="MY42" s="431"/>
      <c r="MZ42" s="431"/>
      <c r="NA42" s="431"/>
      <c r="NB42" s="431"/>
      <c r="NC42" s="431"/>
      <c r="ND42" s="431"/>
      <c r="NE42" s="431"/>
      <c r="NF42" s="431"/>
      <c r="NG42" s="431"/>
      <c r="NH42" s="431"/>
      <c r="NI42" s="431"/>
      <c r="NJ42" s="431"/>
      <c r="NK42" s="431"/>
      <c r="NL42" s="431"/>
      <c r="NM42" s="431"/>
      <c r="NN42" s="431"/>
      <c r="NO42" s="431"/>
      <c r="NP42" s="431"/>
      <c r="NQ42" s="431"/>
      <c r="NR42" s="431"/>
      <c r="NS42" s="431"/>
      <c r="NT42" s="431"/>
      <c r="NU42" s="431"/>
      <c r="NV42" s="431"/>
      <c r="NW42" s="431"/>
      <c r="NX42" s="431"/>
      <c r="NY42" s="431"/>
      <c r="NZ42" s="431"/>
      <c r="OA42" s="431"/>
      <c r="OB42" s="431"/>
      <c r="OC42" s="431"/>
      <c r="OD42" s="431"/>
      <c r="OE42" s="431"/>
      <c r="OF42" s="431"/>
      <c r="OG42" s="431"/>
      <c r="OH42" s="431"/>
      <c r="OI42" s="431"/>
      <c r="OJ42" s="431"/>
      <c r="OK42" s="431"/>
      <c r="OL42" s="431"/>
      <c r="OM42" s="431"/>
      <c r="ON42" s="431"/>
      <c r="OO42" s="431"/>
      <c r="OP42" s="431"/>
      <c r="OQ42" s="431"/>
      <c r="OR42" s="431"/>
      <c r="OS42" s="431"/>
      <c r="OT42" s="431"/>
      <c r="OU42" s="431"/>
      <c r="OV42" s="431"/>
      <c r="OW42" s="431"/>
      <c r="OX42" s="431"/>
      <c r="OY42" s="431"/>
      <c r="OZ42" s="431"/>
      <c r="PA42" s="431"/>
      <c r="PB42" s="431"/>
      <c r="PC42" s="431"/>
      <c r="PD42" s="431"/>
      <c r="PE42" s="431"/>
      <c r="PF42" s="431"/>
      <c r="PG42" s="431"/>
      <c r="PH42" s="431"/>
      <c r="PI42" s="431"/>
      <c r="PJ42" s="431"/>
      <c r="PK42" s="431"/>
      <c r="PL42" s="431"/>
      <c r="PM42" s="431"/>
      <c r="PN42" s="431"/>
      <c r="PO42" s="431"/>
      <c r="PP42" s="431"/>
      <c r="PQ42" s="431"/>
      <c r="PR42" s="431"/>
      <c r="PS42" s="431"/>
      <c r="PT42" s="431"/>
      <c r="PU42" s="431"/>
      <c r="PV42" s="431"/>
      <c r="PW42" s="431"/>
      <c r="PX42" s="431"/>
      <c r="PY42" s="431"/>
      <c r="PZ42" s="431"/>
      <c r="QA42" s="431"/>
      <c r="QB42" s="431"/>
      <c r="QC42" s="431"/>
      <c r="QD42" s="431"/>
      <c r="QE42" s="431"/>
      <c r="QF42" s="431"/>
      <c r="QG42" s="431"/>
      <c r="QH42" s="431"/>
      <c r="QI42" s="431"/>
      <c r="QJ42" s="431"/>
      <c r="QK42" s="431"/>
      <c r="QL42" s="431"/>
      <c r="QM42" s="431"/>
      <c r="QN42" s="431"/>
      <c r="QO42" s="431"/>
      <c r="QP42" s="431"/>
      <c r="QQ42" s="431"/>
      <c r="QR42" s="431"/>
      <c r="QS42" s="431"/>
      <c r="QT42" s="431"/>
      <c r="QU42" s="431"/>
      <c r="QV42" s="431"/>
      <c r="QW42" s="431"/>
      <c r="QX42" s="431"/>
      <c r="QY42" s="431"/>
      <c r="QZ42" s="431"/>
      <c r="RA42" s="431"/>
      <c r="RB42" s="431"/>
      <c r="RC42" s="431"/>
      <c r="RD42" s="431"/>
      <c r="RE42" s="431"/>
      <c r="RF42" s="431"/>
      <c r="RG42" s="431"/>
      <c r="RH42" s="431"/>
      <c r="RI42" s="431"/>
      <c r="RJ42" s="431"/>
      <c r="RK42" s="431"/>
      <c r="RL42" s="431"/>
      <c r="RM42" s="431"/>
      <c r="RN42" s="431"/>
      <c r="RO42" s="431"/>
      <c r="RP42" s="431"/>
      <c r="RQ42" s="431"/>
      <c r="RR42" s="431"/>
      <c r="RS42" s="431"/>
      <c r="RT42" s="431"/>
      <c r="RU42" s="431"/>
      <c r="RV42" s="431"/>
      <c r="RW42" s="431"/>
      <c r="RX42" s="431"/>
      <c r="RY42" s="431"/>
      <c r="RZ42" s="431"/>
      <c r="SA42" s="431"/>
      <c r="SB42" s="431"/>
      <c r="SC42" s="431"/>
      <c r="SD42" s="431"/>
      <c r="SE42" s="431"/>
      <c r="SF42" s="431"/>
      <c r="SG42" s="431"/>
      <c r="SH42" s="431"/>
      <c r="SI42" s="431"/>
      <c r="SJ42" s="431"/>
      <c r="SK42" s="431"/>
      <c r="SL42" s="431"/>
      <c r="SM42" s="431"/>
      <c r="SN42" s="431"/>
      <c r="SO42" s="431"/>
      <c r="SP42" s="431"/>
      <c r="SQ42" s="431"/>
      <c r="SR42" s="431"/>
      <c r="SS42" s="431"/>
      <c r="ST42" s="431"/>
      <c r="SU42" s="431"/>
      <c r="SV42" s="431"/>
      <c r="SW42" s="431"/>
      <c r="SX42" s="431"/>
      <c r="SY42" s="431"/>
      <c r="SZ42" s="431"/>
      <c r="TA42" s="431"/>
      <c r="TB42" s="431"/>
      <c r="TC42" s="431"/>
      <c r="TD42" s="431"/>
      <c r="TE42" s="431"/>
      <c r="TF42" s="431"/>
      <c r="TG42" s="431"/>
      <c r="TH42" s="431"/>
      <c r="TI42" s="431"/>
      <c r="TJ42" s="431"/>
      <c r="TK42" s="431"/>
      <c r="TL42" s="431"/>
      <c r="TM42" s="431"/>
      <c r="TN42" s="431"/>
      <c r="TO42" s="431"/>
      <c r="TP42" s="431"/>
      <c r="TQ42" s="431"/>
      <c r="TR42" s="431"/>
      <c r="TS42" s="431"/>
      <c r="TT42" s="431"/>
      <c r="TU42" s="431"/>
      <c r="TV42" s="431"/>
      <c r="TW42" s="431"/>
      <c r="TX42" s="431"/>
      <c r="TY42" s="431"/>
      <c r="TZ42" s="431"/>
      <c r="UA42" s="431"/>
      <c r="UB42" s="431"/>
      <c r="UC42" s="431"/>
      <c r="UD42" s="431"/>
      <c r="UE42" s="431"/>
      <c r="UF42" s="431"/>
      <c r="UG42" s="431"/>
      <c r="UH42" s="431"/>
      <c r="UI42" s="431"/>
      <c r="UJ42" s="431"/>
      <c r="UK42" s="431"/>
      <c r="UL42" s="431"/>
      <c r="UM42" s="431"/>
      <c r="UN42" s="431"/>
      <c r="UO42" s="431"/>
      <c r="UP42" s="431"/>
      <c r="UQ42" s="431"/>
      <c r="UR42" s="431"/>
      <c r="US42" s="431"/>
      <c r="UT42" s="431"/>
      <c r="UU42" s="431"/>
      <c r="UV42" s="431"/>
      <c r="UW42" s="431"/>
      <c r="UX42" s="431"/>
      <c r="UY42" s="431"/>
      <c r="UZ42" s="431"/>
      <c r="VA42" s="431"/>
      <c r="VB42" s="431"/>
      <c r="VC42" s="431"/>
      <c r="VD42" s="431"/>
      <c r="VE42" s="431"/>
      <c r="VF42" s="431"/>
      <c r="VG42" s="431"/>
      <c r="VH42" s="431"/>
      <c r="VI42" s="431"/>
      <c r="VJ42" s="431"/>
      <c r="VK42" s="431"/>
      <c r="VL42" s="431"/>
      <c r="VM42" s="431"/>
      <c r="VN42" s="431"/>
      <c r="VO42" s="431"/>
      <c r="VP42" s="431"/>
      <c r="VQ42" s="431"/>
      <c r="VR42" s="431"/>
      <c r="VS42" s="431"/>
      <c r="VT42" s="431"/>
      <c r="VU42" s="431"/>
      <c r="VV42" s="431"/>
      <c r="VW42" s="431"/>
      <c r="VX42" s="431"/>
      <c r="VY42" s="431"/>
      <c r="VZ42" s="431"/>
      <c r="WA42" s="431"/>
      <c r="WB42" s="431"/>
      <c r="WC42" s="431"/>
      <c r="WD42" s="431"/>
      <c r="WE42" s="431"/>
      <c r="WF42" s="431"/>
      <c r="WG42" s="431"/>
      <c r="WH42" s="431"/>
      <c r="WI42" s="431"/>
      <c r="WJ42" s="431"/>
      <c r="WK42" s="431"/>
      <c r="WL42" s="431"/>
      <c r="WM42" s="431"/>
      <c r="WN42" s="431"/>
      <c r="WO42" s="431"/>
      <c r="WP42" s="431"/>
      <c r="WQ42" s="431"/>
      <c r="WR42" s="431"/>
      <c r="WS42" s="431"/>
      <c r="WT42" s="431"/>
      <c r="WU42" s="431"/>
      <c r="WV42" s="431"/>
      <c r="WW42" s="431"/>
      <c r="WX42" s="431"/>
      <c r="WY42" s="431"/>
      <c r="WZ42" s="431"/>
      <c r="XA42" s="431"/>
      <c r="XB42" s="431"/>
      <c r="XC42" s="431"/>
      <c r="XD42" s="431"/>
      <c r="XE42" s="431"/>
      <c r="XF42" s="431"/>
      <c r="XG42" s="431"/>
      <c r="XH42" s="431"/>
      <c r="XI42" s="431"/>
      <c r="XJ42" s="431"/>
      <c r="XK42" s="431"/>
      <c r="XL42" s="431"/>
      <c r="XM42" s="431"/>
      <c r="XN42" s="431"/>
      <c r="XO42" s="431"/>
      <c r="XP42" s="431"/>
      <c r="XQ42" s="431"/>
      <c r="XR42" s="431"/>
      <c r="XS42" s="431"/>
      <c r="XT42" s="431"/>
      <c r="XU42" s="431"/>
      <c r="XV42" s="431"/>
      <c r="XW42" s="431"/>
      <c r="XX42" s="431"/>
      <c r="XY42" s="431"/>
      <c r="XZ42" s="431"/>
      <c r="YA42" s="431"/>
      <c r="YB42" s="431"/>
      <c r="YC42" s="431"/>
      <c r="YD42" s="431"/>
      <c r="YE42" s="431"/>
      <c r="YF42" s="431"/>
      <c r="YG42" s="431"/>
      <c r="YH42" s="431"/>
      <c r="YI42" s="431"/>
      <c r="YJ42" s="431"/>
      <c r="YK42" s="431"/>
      <c r="YL42" s="431"/>
      <c r="YM42" s="431"/>
      <c r="YN42" s="431"/>
      <c r="YO42" s="431"/>
      <c r="YP42" s="431"/>
      <c r="YQ42" s="431"/>
      <c r="YR42" s="431"/>
      <c r="YS42" s="431"/>
      <c r="YT42" s="431"/>
      <c r="YU42" s="431"/>
      <c r="YV42" s="431"/>
      <c r="YW42" s="431"/>
      <c r="YX42" s="431"/>
      <c r="YY42" s="431"/>
      <c r="YZ42" s="431"/>
      <c r="ZA42" s="431"/>
      <c r="ZB42" s="431"/>
      <c r="ZC42" s="431"/>
      <c r="ZD42" s="431"/>
      <c r="ZE42" s="431"/>
      <c r="ZF42" s="431"/>
      <c r="ZG42" s="431"/>
      <c r="ZH42" s="431"/>
      <c r="ZI42" s="431"/>
      <c r="ZJ42" s="431"/>
      <c r="ZK42" s="431"/>
      <c r="ZL42" s="431"/>
      <c r="ZM42" s="431"/>
      <c r="ZN42" s="431"/>
      <c r="ZO42" s="431"/>
      <c r="ZP42" s="431"/>
      <c r="ZQ42" s="431"/>
      <c r="ZR42" s="431"/>
      <c r="ZS42" s="431"/>
      <c r="ZT42" s="431"/>
      <c r="ZU42" s="431"/>
      <c r="ZV42" s="431"/>
      <c r="ZW42" s="431"/>
      <c r="ZX42" s="431"/>
      <c r="ZY42" s="431"/>
      <c r="ZZ42" s="431"/>
      <c r="AAA42" s="431"/>
      <c r="AAB42" s="431"/>
      <c r="AAC42" s="431"/>
      <c r="AAD42" s="431"/>
      <c r="AAE42" s="431"/>
      <c r="AAF42" s="431"/>
      <c r="AAG42" s="431"/>
      <c r="AAH42" s="431"/>
      <c r="AAI42" s="431"/>
      <c r="AAJ42" s="431"/>
      <c r="AAK42" s="431"/>
      <c r="AAL42" s="431"/>
      <c r="AAM42" s="431"/>
      <c r="AAN42" s="431"/>
      <c r="AAO42" s="431"/>
      <c r="AAP42" s="431"/>
      <c r="AAQ42" s="431"/>
      <c r="AAR42" s="431"/>
      <c r="AAS42" s="431"/>
      <c r="AAT42" s="431"/>
      <c r="AAU42" s="431"/>
      <c r="AAV42" s="431"/>
      <c r="AAW42" s="431"/>
      <c r="AAX42" s="431"/>
      <c r="AAY42" s="431"/>
      <c r="AAZ42" s="431"/>
      <c r="ABA42" s="431"/>
      <c r="ABB42" s="431"/>
      <c r="ABC42" s="431"/>
      <c r="ABD42" s="431"/>
      <c r="ABE42" s="431"/>
      <c r="ABF42" s="431"/>
      <c r="ABG42" s="431"/>
      <c r="ABH42" s="431"/>
      <c r="ABI42" s="431"/>
      <c r="ABJ42" s="431"/>
      <c r="ABK42" s="431"/>
      <c r="ABL42" s="431"/>
      <c r="ABM42" s="431"/>
      <c r="ABN42" s="431"/>
      <c r="ABO42" s="431"/>
      <c r="ABP42" s="431"/>
      <c r="ABQ42" s="431"/>
      <c r="ABR42" s="431"/>
      <c r="ABS42" s="431"/>
      <c r="ABT42" s="431"/>
      <c r="ABU42" s="431"/>
      <c r="ABV42" s="431"/>
      <c r="ABW42" s="431"/>
      <c r="ABX42" s="431"/>
      <c r="ABY42" s="431"/>
      <c r="ABZ42" s="431"/>
      <c r="ACA42" s="431"/>
      <c r="ACB42" s="431"/>
      <c r="ACC42" s="431"/>
      <c r="ACD42" s="431"/>
      <c r="ACE42" s="431"/>
      <c r="ACF42" s="431"/>
      <c r="ACG42" s="431"/>
      <c r="ACH42" s="431"/>
      <c r="ACI42" s="431"/>
      <c r="ACJ42" s="431"/>
      <c r="ACK42" s="431"/>
      <c r="ACL42" s="431"/>
      <c r="ACM42" s="431"/>
      <c r="ACN42" s="431"/>
      <c r="ACO42" s="431"/>
      <c r="ACP42" s="431"/>
      <c r="ACQ42" s="431"/>
      <c r="ACR42" s="431"/>
      <c r="ACS42" s="431"/>
      <c r="ACT42" s="431"/>
      <c r="ACU42" s="431"/>
      <c r="ACV42" s="431"/>
      <c r="ACW42" s="431"/>
      <c r="ACX42" s="431"/>
      <c r="ACY42" s="431"/>
      <c r="ACZ42" s="431"/>
      <c r="ADA42" s="431"/>
      <c r="ADB42" s="431"/>
      <c r="ADC42" s="431"/>
      <c r="ADD42" s="431"/>
      <c r="ADE42" s="431"/>
      <c r="ADF42" s="431"/>
      <c r="ADG42" s="431"/>
      <c r="ADH42" s="431"/>
      <c r="ADI42" s="431"/>
      <c r="ADJ42" s="431"/>
      <c r="ADK42" s="431"/>
      <c r="ADL42" s="431"/>
      <c r="ADM42" s="431"/>
      <c r="ADN42" s="431"/>
      <c r="ADO42" s="431"/>
      <c r="ADP42" s="431"/>
      <c r="ADQ42" s="431"/>
      <c r="ADR42" s="431"/>
      <c r="ADS42" s="431"/>
      <c r="ADT42" s="431"/>
      <c r="ADU42" s="431"/>
      <c r="ADV42" s="431"/>
      <c r="ADW42" s="431"/>
      <c r="ADX42" s="431"/>
      <c r="ADY42" s="431"/>
      <c r="ADZ42" s="431"/>
      <c r="AEA42" s="431"/>
      <c r="AEB42" s="431"/>
      <c r="AEC42" s="431"/>
      <c r="AED42" s="431"/>
      <c r="AEE42" s="431"/>
      <c r="AEF42" s="431"/>
      <c r="AEG42" s="431"/>
      <c r="AEH42" s="431"/>
      <c r="AEI42" s="431"/>
      <c r="AEJ42" s="431"/>
      <c r="AEK42" s="431"/>
      <c r="AEL42" s="431"/>
      <c r="AEM42" s="431"/>
      <c r="AEN42" s="431"/>
      <c r="AEO42" s="431"/>
      <c r="AEP42" s="431"/>
      <c r="AEQ42" s="431"/>
      <c r="AER42" s="431"/>
      <c r="AES42" s="431"/>
      <c r="AET42" s="431"/>
      <c r="AEU42" s="431"/>
      <c r="AEV42" s="431"/>
      <c r="AEW42" s="431"/>
      <c r="AEX42" s="431"/>
      <c r="AEY42" s="431"/>
      <c r="AEZ42" s="431"/>
      <c r="AFA42" s="431"/>
      <c r="AFB42" s="431"/>
      <c r="AFC42" s="431"/>
      <c r="AFD42" s="431"/>
      <c r="AFE42" s="431"/>
      <c r="AFF42" s="431"/>
      <c r="AFG42" s="431"/>
      <c r="AFH42" s="431"/>
      <c r="AFI42" s="431"/>
      <c r="AFJ42" s="431"/>
      <c r="AFK42" s="431"/>
      <c r="AFL42" s="431"/>
      <c r="AFM42" s="431"/>
      <c r="AFN42" s="431"/>
      <c r="AFO42" s="431"/>
      <c r="AFP42" s="431"/>
      <c r="AFQ42" s="431"/>
      <c r="AFR42" s="431"/>
      <c r="AFS42" s="431"/>
      <c r="AFT42" s="431"/>
      <c r="AFU42" s="431"/>
      <c r="AFV42" s="431"/>
      <c r="AFW42" s="431"/>
      <c r="AFX42" s="431"/>
      <c r="AFY42" s="431"/>
      <c r="AFZ42" s="431"/>
      <c r="AGA42" s="431"/>
      <c r="AGB42" s="431"/>
      <c r="AGC42" s="431"/>
      <c r="AGD42" s="431"/>
      <c r="AGE42" s="431"/>
      <c r="AGF42" s="431"/>
      <c r="AGG42" s="431"/>
      <c r="AGH42" s="431"/>
      <c r="AGI42" s="431"/>
      <c r="AGJ42" s="431"/>
      <c r="AGK42" s="431"/>
      <c r="AGL42" s="431"/>
      <c r="AGM42" s="431"/>
      <c r="AGN42" s="431"/>
      <c r="AGO42" s="431"/>
      <c r="AGP42" s="431"/>
      <c r="AGQ42" s="431"/>
      <c r="AGR42" s="431"/>
      <c r="AGS42" s="431"/>
      <c r="AGT42" s="431"/>
      <c r="AGU42" s="431"/>
      <c r="AGV42" s="431"/>
      <c r="AGW42" s="431"/>
      <c r="AGX42" s="431"/>
      <c r="AGY42" s="431"/>
      <c r="AGZ42" s="431"/>
      <c r="AHA42" s="431"/>
      <c r="AHB42" s="431"/>
      <c r="AHC42" s="431"/>
      <c r="AHD42" s="431"/>
      <c r="AHE42" s="431"/>
      <c r="AHF42" s="431"/>
      <c r="AHG42" s="431"/>
      <c r="AHH42" s="431"/>
      <c r="AHI42" s="431"/>
      <c r="AHJ42" s="431"/>
      <c r="AHK42" s="431"/>
      <c r="AHL42" s="431"/>
      <c r="AHM42" s="431"/>
      <c r="AHN42" s="431"/>
      <c r="AHO42" s="431"/>
      <c r="AHP42" s="431"/>
      <c r="AHQ42" s="431"/>
      <c r="AHR42" s="431"/>
      <c r="AHS42" s="431"/>
      <c r="AHT42" s="431"/>
      <c r="AHU42" s="431"/>
      <c r="AHV42" s="431"/>
      <c r="AHW42" s="431"/>
      <c r="AHX42" s="431"/>
      <c r="AHY42" s="431"/>
      <c r="AHZ42" s="431"/>
      <c r="AIA42" s="431"/>
      <c r="AIB42" s="431"/>
      <c r="AIC42" s="431"/>
      <c r="AID42" s="431"/>
      <c r="AIE42" s="431"/>
      <c r="AIF42" s="431"/>
      <c r="AIG42" s="431"/>
      <c r="AIH42" s="431"/>
      <c r="AII42" s="431"/>
      <c r="AIJ42" s="431"/>
      <c r="AIK42" s="431"/>
      <c r="AIL42" s="431"/>
      <c r="AIM42" s="431"/>
      <c r="AIN42" s="431"/>
      <c r="AIO42" s="431"/>
      <c r="AIP42" s="431"/>
      <c r="AIQ42" s="431"/>
      <c r="AIR42" s="431"/>
      <c r="AIS42" s="431"/>
      <c r="AIT42" s="431"/>
      <c r="AIU42" s="431"/>
      <c r="AIV42" s="431"/>
      <c r="AIW42" s="431"/>
      <c r="AIX42" s="431"/>
      <c r="AIY42" s="431"/>
      <c r="AIZ42" s="431"/>
      <c r="AJA42" s="431"/>
      <c r="AJB42" s="431"/>
      <c r="AJC42" s="431"/>
      <c r="AJD42" s="431"/>
      <c r="AJE42" s="431"/>
      <c r="AJF42" s="431"/>
      <c r="AJG42" s="431"/>
      <c r="AJH42" s="431"/>
      <c r="AJI42" s="431"/>
      <c r="AJJ42" s="431"/>
      <c r="AJK42" s="431"/>
      <c r="AJL42" s="431"/>
      <c r="AJM42" s="431"/>
      <c r="AJN42" s="431"/>
      <c r="AJO42" s="431"/>
      <c r="AJP42" s="431"/>
      <c r="AJQ42" s="431"/>
      <c r="AJR42" s="431"/>
      <c r="AJS42" s="431"/>
      <c r="AJT42" s="431"/>
      <c r="AJU42" s="431"/>
      <c r="AJV42" s="431"/>
      <c r="AJW42" s="431"/>
      <c r="AJX42" s="431"/>
      <c r="AJY42" s="431"/>
      <c r="AJZ42" s="431"/>
      <c r="AKA42" s="431"/>
      <c r="AKB42" s="431"/>
      <c r="AKC42" s="431"/>
      <c r="AKD42" s="431"/>
      <c r="AKE42" s="431"/>
      <c r="AKF42" s="431"/>
      <c r="AKG42" s="431"/>
      <c r="AKH42" s="431"/>
      <c r="AKI42" s="431"/>
      <c r="AKJ42" s="431"/>
      <c r="AKK42" s="431"/>
      <c r="AKL42" s="431"/>
      <c r="AKM42" s="431"/>
      <c r="AKN42" s="431"/>
      <c r="AKO42" s="431"/>
      <c r="AKP42" s="431"/>
      <c r="AKQ42" s="431"/>
      <c r="AKR42" s="431"/>
      <c r="AKS42" s="431"/>
      <c r="AKT42" s="431"/>
      <c r="AKU42" s="431"/>
      <c r="AKV42" s="431"/>
      <c r="AKW42" s="431"/>
      <c r="AKX42" s="431"/>
      <c r="AKY42" s="431"/>
      <c r="AKZ42" s="431"/>
      <c r="ALA42" s="431"/>
      <c r="ALB42" s="431"/>
      <c r="ALC42" s="431"/>
      <c r="ALD42" s="431"/>
      <c r="ALE42" s="431"/>
      <c r="ALF42" s="431"/>
      <c r="ALG42" s="431"/>
      <c r="ALH42" s="431"/>
      <c r="ALI42" s="431"/>
      <c r="ALJ42" s="431"/>
      <c r="ALK42" s="431"/>
      <c r="ALL42" s="431"/>
      <c r="ALM42" s="431"/>
      <c r="ALN42" s="431"/>
      <c r="ALO42" s="431"/>
      <c r="ALP42" s="431"/>
      <c r="ALQ42" s="431"/>
      <c r="ALR42" s="431"/>
      <c r="ALS42" s="431"/>
      <c r="ALT42" s="431"/>
      <c r="ALU42" s="431"/>
      <c r="ALV42" s="431"/>
      <c r="ALW42" s="431"/>
      <c r="ALX42" s="431"/>
      <c r="ALY42" s="431"/>
      <c r="ALZ42" s="431"/>
      <c r="AMA42" s="431"/>
      <c r="AMB42" s="431"/>
      <c r="AMC42" s="431"/>
      <c r="AMD42" s="431"/>
      <c r="AME42" s="431"/>
      <c r="AMF42" s="431"/>
      <c r="AMG42" s="431"/>
      <c r="AMH42" s="431"/>
      <c r="AMI42" s="431"/>
      <c r="AMJ42" s="431"/>
      <c r="AMK42" s="431"/>
    </row>
    <row r="43" spans="1:1025" s="434" customFormat="1" ht="9.75" x14ac:dyDescent="0.2">
      <c r="A43" s="229" t="s">
        <v>99</v>
      </c>
      <c r="B43" s="230"/>
      <c r="C43" s="230"/>
      <c r="D43" s="231" t="s">
        <v>100</v>
      </c>
      <c r="E43" s="231"/>
      <c r="F43" s="431"/>
      <c r="G43" s="431" t="s">
        <v>101</v>
      </c>
      <c r="H43" s="431"/>
      <c r="I43" s="431"/>
      <c r="J43" s="431"/>
      <c r="K43" s="431"/>
      <c r="L43" s="435"/>
      <c r="M43" s="431"/>
      <c r="N43" s="431"/>
      <c r="O43" s="431"/>
      <c r="P43" s="431"/>
      <c r="Q43" s="431"/>
      <c r="R43" s="431"/>
      <c r="S43" s="431"/>
      <c r="T43" s="431"/>
      <c r="U43" s="431"/>
      <c r="V43" s="431"/>
      <c r="W43" s="431"/>
      <c r="X43" s="431"/>
      <c r="Y43" s="431"/>
      <c r="Z43" s="431"/>
      <c r="AA43" s="431"/>
      <c r="AB43" s="431"/>
      <c r="AC43" s="431"/>
      <c r="AD43" s="431"/>
      <c r="AE43" s="431"/>
      <c r="AF43" s="431"/>
      <c r="AG43" s="431"/>
      <c r="AH43" s="431"/>
      <c r="AI43" s="431"/>
      <c r="AJ43" s="431"/>
      <c r="AK43" s="431"/>
      <c r="AL43" s="431"/>
      <c r="AM43" s="431"/>
      <c r="AN43" s="431"/>
      <c r="AO43" s="431"/>
      <c r="AP43" s="431"/>
      <c r="AQ43" s="431"/>
      <c r="AR43" s="431"/>
      <c r="AS43" s="431"/>
      <c r="AT43" s="431"/>
      <c r="AU43" s="431"/>
      <c r="AV43" s="431"/>
      <c r="AW43" s="431"/>
      <c r="AX43" s="431"/>
      <c r="AY43" s="431"/>
      <c r="AZ43" s="431"/>
      <c r="BA43" s="431"/>
      <c r="BB43" s="431"/>
      <c r="BC43" s="431"/>
      <c r="BD43" s="431"/>
      <c r="BE43" s="431"/>
      <c r="BF43" s="431"/>
      <c r="BG43" s="431"/>
      <c r="BH43" s="431"/>
      <c r="BI43" s="431"/>
      <c r="BJ43" s="431"/>
      <c r="BK43" s="431"/>
      <c r="BL43" s="431"/>
      <c r="BM43" s="431"/>
      <c r="BN43" s="431"/>
      <c r="BO43" s="431"/>
      <c r="BP43" s="431"/>
      <c r="BQ43" s="431"/>
      <c r="BR43" s="431"/>
      <c r="BS43" s="431"/>
      <c r="BT43" s="431"/>
      <c r="BU43" s="431"/>
      <c r="BV43" s="431"/>
      <c r="BW43" s="431"/>
      <c r="BX43" s="431"/>
      <c r="BY43" s="431"/>
      <c r="BZ43" s="431"/>
      <c r="CA43" s="431"/>
      <c r="CB43" s="431"/>
      <c r="CC43" s="431"/>
      <c r="CD43" s="431"/>
      <c r="CE43" s="431"/>
      <c r="CF43" s="431"/>
      <c r="CG43" s="431"/>
      <c r="CH43" s="431"/>
      <c r="CI43" s="431"/>
      <c r="CJ43" s="431"/>
      <c r="CK43" s="431"/>
      <c r="CL43" s="431"/>
      <c r="CM43" s="431"/>
      <c r="CN43" s="431"/>
      <c r="CO43" s="431"/>
      <c r="CP43" s="431"/>
      <c r="CQ43" s="431"/>
      <c r="CR43" s="431"/>
      <c r="CS43" s="431"/>
      <c r="CT43" s="431"/>
      <c r="CU43" s="431"/>
      <c r="CV43" s="431"/>
      <c r="CW43" s="431"/>
      <c r="CX43" s="431"/>
      <c r="CY43" s="431"/>
      <c r="CZ43" s="431"/>
      <c r="DA43" s="431"/>
      <c r="DB43" s="431"/>
      <c r="DC43" s="431"/>
      <c r="DD43" s="431"/>
      <c r="DE43" s="431"/>
      <c r="DF43" s="431"/>
      <c r="DG43" s="431"/>
      <c r="DH43" s="431"/>
      <c r="DI43" s="431"/>
      <c r="DJ43" s="431"/>
      <c r="DK43" s="431"/>
      <c r="DL43" s="431"/>
      <c r="DM43" s="431"/>
      <c r="DN43" s="431"/>
      <c r="DO43" s="431"/>
      <c r="DP43" s="431"/>
      <c r="DQ43" s="431"/>
      <c r="DR43" s="431"/>
      <c r="DS43" s="431"/>
      <c r="DT43" s="431"/>
      <c r="DU43" s="431"/>
      <c r="DV43" s="431"/>
      <c r="DW43" s="431"/>
      <c r="DX43" s="431"/>
      <c r="DY43" s="431"/>
      <c r="DZ43" s="431"/>
      <c r="EA43" s="431"/>
      <c r="EB43" s="431"/>
      <c r="EC43" s="431"/>
      <c r="ED43" s="431"/>
      <c r="EE43" s="431"/>
      <c r="EF43" s="431"/>
      <c r="EG43" s="431"/>
      <c r="EH43" s="431"/>
      <c r="EI43" s="431"/>
      <c r="EJ43" s="431"/>
      <c r="EK43" s="431"/>
      <c r="EL43" s="431"/>
      <c r="EM43" s="431"/>
      <c r="EN43" s="431"/>
      <c r="EO43" s="431"/>
      <c r="EP43" s="431"/>
      <c r="EQ43" s="431"/>
      <c r="ER43" s="431"/>
      <c r="ES43" s="431"/>
      <c r="ET43" s="431"/>
      <c r="EU43" s="431"/>
      <c r="EV43" s="431"/>
      <c r="EW43" s="431"/>
      <c r="EX43" s="431"/>
      <c r="EY43" s="431"/>
      <c r="EZ43" s="431"/>
      <c r="FA43" s="431"/>
      <c r="FB43" s="431"/>
      <c r="FC43" s="431"/>
      <c r="FD43" s="431"/>
      <c r="FE43" s="431"/>
      <c r="FF43" s="431"/>
      <c r="FG43" s="431"/>
      <c r="FH43" s="431"/>
      <c r="FI43" s="431"/>
      <c r="FJ43" s="431"/>
      <c r="FK43" s="431"/>
      <c r="FL43" s="431"/>
      <c r="FM43" s="431"/>
      <c r="FN43" s="431"/>
      <c r="FO43" s="431"/>
      <c r="FP43" s="431"/>
      <c r="FQ43" s="431"/>
      <c r="FR43" s="431"/>
      <c r="FS43" s="431"/>
      <c r="FT43" s="431"/>
      <c r="FU43" s="431"/>
      <c r="FV43" s="431"/>
      <c r="FW43" s="431"/>
      <c r="FX43" s="431"/>
      <c r="FY43" s="431"/>
      <c r="FZ43" s="431"/>
      <c r="GA43" s="431"/>
      <c r="GB43" s="431"/>
      <c r="GC43" s="431"/>
      <c r="GD43" s="431"/>
      <c r="GE43" s="431"/>
      <c r="GF43" s="431"/>
      <c r="GG43" s="431"/>
      <c r="GH43" s="431"/>
      <c r="GI43" s="431"/>
      <c r="GJ43" s="431"/>
      <c r="GK43" s="431"/>
      <c r="GL43" s="431"/>
      <c r="GM43" s="431"/>
      <c r="GN43" s="431"/>
      <c r="GO43" s="431"/>
      <c r="GP43" s="431"/>
      <c r="GQ43" s="431"/>
      <c r="GR43" s="431"/>
      <c r="GS43" s="431"/>
      <c r="GT43" s="431"/>
      <c r="GU43" s="431"/>
      <c r="GV43" s="431"/>
      <c r="GW43" s="431"/>
      <c r="GX43" s="431"/>
      <c r="GY43" s="431"/>
      <c r="GZ43" s="431"/>
      <c r="HA43" s="431"/>
      <c r="HB43" s="431"/>
      <c r="HC43" s="431"/>
      <c r="HD43" s="431"/>
      <c r="HE43" s="431"/>
      <c r="HF43" s="431"/>
      <c r="HG43" s="431"/>
      <c r="HH43" s="431"/>
      <c r="HI43" s="431"/>
      <c r="HJ43" s="431"/>
      <c r="HK43" s="431"/>
      <c r="HL43" s="431"/>
      <c r="HM43" s="431"/>
      <c r="HN43" s="431"/>
      <c r="HO43" s="431"/>
      <c r="HP43" s="431"/>
      <c r="HQ43" s="431"/>
      <c r="HR43" s="431"/>
      <c r="HS43" s="431"/>
      <c r="HT43" s="431"/>
      <c r="HU43" s="431"/>
      <c r="HV43" s="431"/>
      <c r="HW43" s="431"/>
      <c r="HX43" s="431"/>
      <c r="HY43" s="431"/>
      <c r="HZ43" s="431"/>
      <c r="IA43" s="431"/>
      <c r="IB43" s="431"/>
      <c r="IC43" s="431"/>
      <c r="ID43" s="431"/>
      <c r="IE43" s="431"/>
      <c r="IF43" s="431"/>
      <c r="IG43" s="431"/>
      <c r="IH43" s="431"/>
      <c r="II43" s="431"/>
      <c r="IJ43" s="431"/>
      <c r="IK43" s="431"/>
      <c r="IL43" s="431"/>
      <c r="IM43" s="431"/>
      <c r="IN43" s="431"/>
      <c r="IO43" s="431"/>
      <c r="IP43" s="431"/>
      <c r="IQ43" s="431"/>
      <c r="IR43" s="431"/>
      <c r="IS43" s="431"/>
      <c r="IT43" s="431"/>
      <c r="IU43" s="431"/>
      <c r="IV43" s="431"/>
      <c r="IW43" s="431"/>
      <c r="IX43" s="431"/>
      <c r="IY43" s="431"/>
      <c r="IZ43" s="431"/>
      <c r="JA43" s="431"/>
      <c r="JB43" s="431"/>
      <c r="JC43" s="431"/>
      <c r="JD43" s="431"/>
      <c r="JE43" s="431"/>
      <c r="JF43" s="431"/>
      <c r="JG43" s="431"/>
      <c r="JH43" s="431"/>
      <c r="JI43" s="431"/>
      <c r="JJ43" s="431"/>
      <c r="JK43" s="431"/>
      <c r="JL43" s="431"/>
      <c r="JM43" s="431"/>
      <c r="JN43" s="431"/>
      <c r="JO43" s="431"/>
      <c r="JP43" s="431"/>
      <c r="JQ43" s="431"/>
      <c r="JR43" s="431"/>
      <c r="JS43" s="431"/>
      <c r="JT43" s="431"/>
      <c r="JU43" s="431"/>
      <c r="JV43" s="431"/>
      <c r="JW43" s="431"/>
      <c r="JX43" s="431"/>
      <c r="JY43" s="431"/>
      <c r="JZ43" s="431"/>
      <c r="KA43" s="431"/>
      <c r="KB43" s="431"/>
      <c r="KC43" s="431"/>
      <c r="KD43" s="431"/>
      <c r="KE43" s="431"/>
      <c r="KF43" s="431"/>
      <c r="KG43" s="431"/>
      <c r="KH43" s="431"/>
      <c r="KI43" s="431"/>
      <c r="KJ43" s="431"/>
      <c r="KK43" s="431"/>
      <c r="KL43" s="431"/>
      <c r="KM43" s="431"/>
      <c r="KN43" s="431"/>
      <c r="KO43" s="431"/>
      <c r="KP43" s="431"/>
      <c r="KQ43" s="431"/>
      <c r="KR43" s="431"/>
      <c r="KS43" s="431"/>
      <c r="KT43" s="431"/>
      <c r="KU43" s="431"/>
      <c r="KV43" s="431"/>
      <c r="KW43" s="431"/>
      <c r="KX43" s="431"/>
      <c r="KY43" s="431"/>
      <c r="KZ43" s="431"/>
      <c r="LA43" s="431"/>
      <c r="LB43" s="431"/>
      <c r="LC43" s="431"/>
      <c r="LD43" s="431"/>
      <c r="LE43" s="431"/>
      <c r="LF43" s="431"/>
      <c r="LG43" s="431"/>
      <c r="LH43" s="431"/>
      <c r="LI43" s="431"/>
      <c r="LJ43" s="431"/>
      <c r="LK43" s="431"/>
      <c r="LL43" s="431"/>
      <c r="LM43" s="431"/>
      <c r="LN43" s="431"/>
      <c r="LO43" s="431"/>
      <c r="LP43" s="431"/>
      <c r="LQ43" s="431"/>
      <c r="LR43" s="431"/>
      <c r="LS43" s="431"/>
      <c r="LT43" s="431"/>
      <c r="LU43" s="431"/>
      <c r="LV43" s="431"/>
      <c r="LW43" s="431"/>
      <c r="LX43" s="431"/>
      <c r="LY43" s="431"/>
      <c r="LZ43" s="431"/>
      <c r="MA43" s="431"/>
      <c r="MB43" s="431"/>
      <c r="MC43" s="431"/>
      <c r="MD43" s="431"/>
      <c r="ME43" s="431"/>
      <c r="MF43" s="431"/>
      <c r="MG43" s="431"/>
      <c r="MH43" s="431"/>
      <c r="MI43" s="431"/>
      <c r="MJ43" s="431"/>
      <c r="MK43" s="431"/>
      <c r="ML43" s="431"/>
      <c r="MM43" s="431"/>
      <c r="MN43" s="431"/>
      <c r="MO43" s="431"/>
      <c r="MP43" s="431"/>
      <c r="MQ43" s="431"/>
      <c r="MR43" s="431"/>
      <c r="MS43" s="431"/>
      <c r="MT43" s="431"/>
      <c r="MU43" s="431"/>
      <c r="MV43" s="431"/>
      <c r="MW43" s="431"/>
      <c r="MX43" s="431"/>
      <c r="MY43" s="431"/>
      <c r="MZ43" s="431"/>
      <c r="NA43" s="431"/>
      <c r="NB43" s="431"/>
      <c r="NC43" s="431"/>
      <c r="ND43" s="431"/>
      <c r="NE43" s="431"/>
      <c r="NF43" s="431"/>
      <c r="NG43" s="431"/>
      <c r="NH43" s="431"/>
      <c r="NI43" s="431"/>
      <c r="NJ43" s="431"/>
      <c r="NK43" s="431"/>
      <c r="NL43" s="431"/>
      <c r="NM43" s="431"/>
      <c r="NN43" s="431"/>
      <c r="NO43" s="431"/>
      <c r="NP43" s="431"/>
      <c r="NQ43" s="431"/>
      <c r="NR43" s="431"/>
      <c r="NS43" s="431"/>
      <c r="NT43" s="431"/>
      <c r="NU43" s="431"/>
      <c r="NV43" s="431"/>
      <c r="NW43" s="431"/>
      <c r="NX43" s="431"/>
      <c r="NY43" s="431"/>
      <c r="NZ43" s="431"/>
      <c r="OA43" s="431"/>
      <c r="OB43" s="431"/>
      <c r="OC43" s="431"/>
      <c r="OD43" s="431"/>
      <c r="OE43" s="431"/>
      <c r="OF43" s="431"/>
      <c r="OG43" s="431"/>
      <c r="OH43" s="431"/>
      <c r="OI43" s="431"/>
      <c r="OJ43" s="431"/>
      <c r="OK43" s="431"/>
      <c r="OL43" s="431"/>
      <c r="OM43" s="431"/>
      <c r="ON43" s="431"/>
      <c r="OO43" s="431"/>
      <c r="OP43" s="431"/>
      <c r="OQ43" s="431"/>
      <c r="OR43" s="431"/>
      <c r="OS43" s="431"/>
      <c r="OT43" s="431"/>
      <c r="OU43" s="431"/>
      <c r="OV43" s="431"/>
      <c r="OW43" s="431"/>
      <c r="OX43" s="431"/>
      <c r="OY43" s="431"/>
      <c r="OZ43" s="431"/>
      <c r="PA43" s="431"/>
      <c r="PB43" s="431"/>
      <c r="PC43" s="431"/>
      <c r="PD43" s="431"/>
      <c r="PE43" s="431"/>
      <c r="PF43" s="431"/>
      <c r="PG43" s="431"/>
      <c r="PH43" s="431"/>
      <c r="PI43" s="431"/>
      <c r="PJ43" s="431"/>
      <c r="PK43" s="431"/>
      <c r="PL43" s="431"/>
      <c r="PM43" s="431"/>
      <c r="PN43" s="431"/>
      <c r="PO43" s="431"/>
      <c r="PP43" s="431"/>
      <c r="PQ43" s="431"/>
      <c r="PR43" s="431"/>
      <c r="PS43" s="431"/>
      <c r="PT43" s="431"/>
      <c r="PU43" s="431"/>
      <c r="PV43" s="431"/>
      <c r="PW43" s="431"/>
      <c r="PX43" s="431"/>
      <c r="PY43" s="431"/>
      <c r="PZ43" s="431"/>
      <c r="QA43" s="431"/>
      <c r="QB43" s="431"/>
      <c r="QC43" s="431"/>
      <c r="QD43" s="431"/>
      <c r="QE43" s="431"/>
      <c r="QF43" s="431"/>
      <c r="QG43" s="431"/>
      <c r="QH43" s="431"/>
      <c r="QI43" s="431"/>
      <c r="QJ43" s="431"/>
      <c r="QK43" s="431"/>
      <c r="QL43" s="431"/>
      <c r="QM43" s="431"/>
      <c r="QN43" s="431"/>
      <c r="QO43" s="431"/>
      <c r="QP43" s="431"/>
      <c r="QQ43" s="431"/>
      <c r="QR43" s="431"/>
      <c r="QS43" s="431"/>
      <c r="QT43" s="431"/>
      <c r="QU43" s="431"/>
      <c r="QV43" s="431"/>
      <c r="QW43" s="431"/>
      <c r="QX43" s="431"/>
      <c r="QY43" s="431"/>
      <c r="QZ43" s="431"/>
      <c r="RA43" s="431"/>
      <c r="RB43" s="431"/>
      <c r="RC43" s="431"/>
      <c r="RD43" s="431"/>
      <c r="RE43" s="431"/>
      <c r="RF43" s="431"/>
      <c r="RG43" s="431"/>
      <c r="RH43" s="431"/>
      <c r="RI43" s="431"/>
      <c r="RJ43" s="431"/>
      <c r="RK43" s="431"/>
      <c r="RL43" s="431"/>
      <c r="RM43" s="431"/>
      <c r="RN43" s="431"/>
      <c r="RO43" s="431"/>
      <c r="RP43" s="431"/>
      <c r="RQ43" s="431"/>
      <c r="RR43" s="431"/>
      <c r="RS43" s="431"/>
      <c r="RT43" s="431"/>
      <c r="RU43" s="431"/>
      <c r="RV43" s="431"/>
      <c r="RW43" s="431"/>
      <c r="RX43" s="431"/>
      <c r="RY43" s="431"/>
      <c r="RZ43" s="431"/>
      <c r="SA43" s="431"/>
      <c r="SB43" s="431"/>
      <c r="SC43" s="431"/>
      <c r="SD43" s="431"/>
      <c r="SE43" s="431"/>
      <c r="SF43" s="431"/>
      <c r="SG43" s="431"/>
      <c r="SH43" s="431"/>
      <c r="SI43" s="431"/>
      <c r="SJ43" s="431"/>
      <c r="SK43" s="431"/>
      <c r="SL43" s="431"/>
      <c r="SM43" s="431"/>
      <c r="SN43" s="431"/>
      <c r="SO43" s="431"/>
      <c r="SP43" s="431"/>
      <c r="SQ43" s="431"/>
      <c r="SR43" s="431"/>
      <c r="SS43" s="431"/>
      <c r="ST43" s="431"/>
      <c r="SU43" s="431"/>
      <c r="SV43" s="431"/>
      <c r="SW43" s="431"/>
      <c r="SX43" s="431"/>
      <c r="SY43" s="431"/>
      <c r="SZ43" s="431"/>
      <c r="TA43" s="431"/>
      <c r="TB43" s="431"/>
      <c r="TC43" s="431"/>
      <c r="TD43" s="431"/>
      <c r="TE43" s="431"/>
      <c r="TF43" s="431"/>
      <c r="TG43" s="431"/>
      <c r="TH43" s="431"/>
      <c r="TI43" s="431"/>
      <c r="TJ43" s="431"/>
      <c r="TK43" s="431"/>
      <c r="TL43" s="431"/>
      <c r="TM43" s="431"/>
      <c r="TN43" s="431"/>
      <c r="TO43" s="431"/>
      <c r="TP43" s="431"/>
      <c r="TQ43" s="431"/>
      <c r="TR43" s="431"/>
      <c r="TS43" s="431"/>
      <c r="TT43" s="431"/>
      <c r="TU43" s="431"/>
      <c r="TV43" s="431"/>
      <c r="TW43" s="431"/>
      <c r="TX43" s="431"/>
      <c r="TY43" s="431"/>
      <c r="TZ43" s="431"/>
      <c r="UA43" s="431"/>
      <c r="UB43" s="431"/>
      <c r="UC43" s="431"/>
      <c r="UD43" s="431"/>
      <c r="UE43" s="431"/>
      <c r="UF43" s="431"/>
      <c r="UG43" s="431"/>
      <c r="UH43" s="431"/>
      <c r="UI43" s="431"/>
      <c r="UJ43" s="431"/>
      <c r="UK43" s="431"/>
      <c r="UL43" s="431"/>
      <c r="UM43" s="431"/>
      <c r="UN43" s="431"/>
      <c r="UO43" s="431"/>
      <c r="UP43" s="431"/>
      <c r="UQ43" s="431"/>
      <c r="UR43" s="431"/>
      <c r="US43" s="431"/>
      <c r="UT43" s="431"/>
      <c r="UU43" s="431"/>
      <c r="UV43" s="431"/>
      <c r="UW43" s="431"/>
      <c r="UX43" s="431"/>
      <c r="UY43" s="431"/>
      <c r="UZ43" s="431"/>
      <c r="VA43" s="431"/>
      <c r="VB43" s="431"/>
      <c r="VC43" s="431"/>
      <c r="VD43" s="431"/>
      <c r="VE43" s="431"/>
      <c r="VF43" s="431"/>
      <c r="VG43" s="431"/>
      <c r="VH43" s="431"/>
      <c r="VI43" s="431"/>
      <c r="VJ43" s="431"/>
      <c r="VK43" s="431"/>
      <c r="VL43" s="431"/>
      <c r="VM43" s="431"/>
      <c r="VN43" s="431"/>
      <c r="VO43" s="431"/>
      <c r="VP43" s="431"/>
      <c r="VQ43" s="431"/>
      <c r="VR43" s="431"/>
      <c r="VS43" s="431"/>
      <c r="VT43" s="431"/>
      <c r="VU43" s="431"/>
      <c r="VV43" s="431"/>
      <c r="VW43" s="431"/>
      <c r="VX43" s="431"/>
      <c r="VY43" s="431"/>
      <c r="VZ43" s="431"/>
      <c r="WA43" s="431"/>
      <c r="WB43" s="431"/>
      <c r="WC43" s="431"/>
      <c r="WD43" s="431"/>
      <c r="WE43" s="431"/>
      <c r="WF43" s="431"/>
      <c r="WG43" s="431"/>
      <c r="WH43" s="431"/>
      <c r="WI43" s="431"/>
      <c r="WJ43" s="431"/>
      <c r="WK43" s="431"/>
      <c r="WL43" s="431"/>
      <c r="WM43" s="431"/>
      <c r="WN43" s="431"/>
      <c r="WO43" s="431"/>
      <c r="WP43" s="431"/>
      <c r="WQ43" s="431"/>
      <c r="WR43" s="431"/>
      <c r="WS43" s="431"/>
      <c r="WT43" s="431"/>
      <c r="WU43" s="431"/>
      <c r="WV43" s="431"/>
      <c r="WW43" s="431"/>
      <c r="WX43" s="431"/>
      <c r="WY43" s="431"/>
      <c r="WZ43" s="431"/>
      <c r="XA43" s="431"/>
      <c r="XB43" s="431"/>
      <c r="XC43" s="431"/>
      <c r="XD43" s="431"/>
      <c r="XE43" s="431"/>
      <c r="XF43" s="431"/>
      <c r="XG43" s="431"/>
      <c r="XH43" s="431"/>
      <c r="XI43" s="431"/>
      <c r="XJ43" s="431"/>
      <c r="XK43" s="431"/>
      <c r="XL43" s="431"/>
      <c r="XM43" s="431"/>
      <c r="XN43" s="431"/>
      <c r="XO43" s="431"/>
      <c r="XP43" s="431"/>
      <c r="XQ43" s="431"/>
      <c r="XR43" s="431"/>
      <c r="XS43" s="431"/>
      <c r="XT43" s="431"/>
      <c r="XU43" s="431"/>
      <c r="XV43" s="431"/>
      <c r="XW43" s="431"/>
      <c r="XX43" s="431"/>
      <c r="XY43" s="431"/>
      <c r="XZ43" s="431"/>
      <c r="YA43" s="431"/>
      <c r="YB43" s="431"/>
      <c r="YC43" s="431"/>
      <c r="YD43" s="431"/>
      <c r="YE43" s="431"/>
      <c r="YF43" s="431"/>
      <c r="YG43" s="431"/>
      <c r="YH43" s="431"/>
      <c r="YI43" s="431"/>
      <c r="YJ43" s="431"/>
      <c r="YK43" s="431"/>
      <c r="YL43" s="431"/>
      <c r="YM43" s="431"/>
      <c r="YN43" s="431"/>
      <c r="YO43" s="431"/>
      <c r="YP43" s="431"/>
      <c r="YQ43" s="431"/>
      <c r="YR43" s="431"/>
      <c r="YS43" s="431"/>
      <c r="YT43" s="431"/>
      <c r="YU43" s="431"/>
      <c r="YV43" s="431"/>
      <c r="YW43" s="431"/>
      <c r="YX43" s="431"/>
      <c r="YY43" s="431"/>
      <c r="YZ43" s="431"/>
      <c r="ZA43" s="431"/>
      <c r="ZB43" s="431"/>
      <c r="ZC43" s="431"/>
      <c r="ZD43" s="431"/>
      <c r="ZE43" s="431"/>
      <c r="ZF43" s="431"/>
      <c r="ZG43" s="431"/>
      <c r="ZH43" s="431"/>
      <c r="ZI43" s="431"/>
      <c r="ZJ43" s="431"/>
      <c r="ZK43" s="431"/>
      <c r="ZL43" s="431"/>
      <c r="ZM43" s="431"/>
      <c r="ZN43" s="431"/>
      <c r="ZO43" s="431"/>
      <c r="ZP43" s="431"/>
      <c r="ZQ43" s="431"/>
      <c r="ZR43" s="431"/>
      <c r="ZS43" s="431"/>
      <c r="ZT43" s="431"/>
      <c r="ZU43" s="431"/>
      <c r="ZV43" s="431"/>
      <c r="ZW43" s="431"/>
      <c r="ZX43" s="431"/>
      <c r="ZY43" s="431"/>
      <c r="ZZ43" s="431"/>
      <c r="AAA43" s="431"/>
      <c r="AAB43" s="431"/>
      <c r="AAC43" s="431"/>
      <c r="AAD43" s="431"/>
      <c r="AAE43" s="431"/>
      <c r="AAF43" s="431"/>
      <c r="AAG43" s="431"/>
      <c r="AAH43" s="431"/>
      <c r="AAI43" s="431"/>
      <c r="AAJ43" s="431"/>
      <c r="AAK43" s="431"/>
      <c r="AAL43" s="431"/>
      <c r="AAM43" s="431"/>
      <c r="AAN43" s="431"/>
      <c r="AAO43" s="431"/>
      <c r="AAP43" s="431"/>
      <c r="AAQ43" s="431"/>
      <c r="AAR43" s="431"/>
      <c r="AAS43" s="431"/>
      <c r="AAT43" s="431"/>
      <c r="AAU43" s="431"/>
      <c r="AAV43" s="431"/>
      <c r="AAW43" s="431"/>
      <c r="AAX43" s="431"/>
      <c r="AAY43" s="431"/>
      <c r="AAZ43" s="431"/>
      <c r="ABA43" s="431"/>
      <c r="ABB43" s="431"/>
      <c r="ABC43" s="431"/>
      <c r="ABD43" s="431"/>
      <c r="ABE43" s="431"/>
      <c r="ABF43" s="431"/>
      <c r="ABG43" s="431"/>
      <c r="ABH43" s="431"/>
      <c r="ABI43" s="431"/>
      <c r="ABJ43" s="431"/>
      <c r="ABK43" s="431"/>
      <c r="ABL43" s="431"/>
      <c r="ABM43" s="431"/>
      <c r="ABN43" s="431"/>
      <c r="ABO43" s="431"/>
      <c r="ABP43" s="431"/>
      <c r="ABQ43" s="431"/>
      <c r="ABR43" s="431"/>
      <c r="ABS43" s="431"/>
      <c r="ABT43" s="431"/>
      <c r="ABU43" s="431"/>
      <c r="ABV43" s="431"/>
      <c r="ABW43" s="431"/>
      <c r="ABX43" s="431"/>
      <c r="ABY43" s="431"/>
      <c r="ABZ43" s="431"/>
      <c r="ACA43" s="431"/>
      <c r="ACB43" s="431"/>
      <c r="ACC43" s="431"/>
      <c r="ACD43" s="431"/>
      <c r="ACE43" s="431"/>
      <c r="ACF43" s="431"/>
      <c r="ACG43" s="431"/>
      <c r="ACH43" s="431"/>
      <c r="ACI43" s="431"/>
      <c r="ACJ43" s="431"/>
      <c r="ACK43" s="431"/>
      <c r="ACL43" s="431"/>
      <c r="ACM43" s="431"/>
      <c r="ACN43" s="431"/>
      <c r="ACO43" s="431"/>
      <c r="ACP43" s="431"/>
      <c r="ACQ43" s="431"/>
      <c r="ACR43" s="431"/>
      <c r="ACS43" s="431"/>
      <c r="ACT43" s="431"/>
      <c r="ACU43" s="431"/>
      <c r="ACV43" s="431"/>
      <c r="ACW43" s="431"/>
      <c r="ACX43" s="431"/>
      <c r="ACY43" s="431"/>
      <c r="ACZ43" s="431"/>
      <c r="ADA43" s="431"/>
      <c r="ADB43" s="431"/>
      <c r="ADC43" s="431"/>
      <c r="ADD43" s="431"/>
      <c r="ADE43" s="431"/>
      <c r="ADF43" s="431"/>
      <c r="ADG43" s="431"/>
      <c r="ADH43" s="431"/>
      <c r="ADI43" s="431"/>
      <c r="ADJ43" s="431"/>
      <c r="ADK43" s="431"/>
      <c r="ADL43" s="431"/>
      <c r="ADM43" s="431"/>
      <c r="ADN43" s="431"/>
      <c r="ADO43" s="431"/>
      <c r="ADP43" s="431"/>
      <c r="ADQ43" s="431"/>
      <c r="ADR43" s="431"/>
      <c r="ADS43" s="431"/>
      <c r="ADT43" s="431"/>
      <c r="ADU43" s="431"/>
      <c r="ADV43" s="431"/>
      <c r="ADW43" s="431"/>
      <c r="ADX43" s="431"/>
      <c r="ADY43" s="431"/>
      <c r="ADZ43" s="431"/>
      <c r="AEA43" s="431"/>
      <c r="AEB43" s="431"/>
      <c r="AEC43" s="431"/>
      <c r="AED43" s="431"/>
      <c r="AEE43" s="431"/>
      <c r="AEF43" s="431"/>
      <c r="AEG43" s="431"/>
      <c r="AEH43" s="431"/>
      <c r="AEI43" s="431"/>
      <c r="AEJ43" s="431"/>
      <c r="AEK43" s="431"/>
      <c r="AEL43" s="431"/>
      <c r="AEM43" s="431"/>
      <c r="AEN43" s="431"/>
      <c r="AEO43" s="431"/>
      <c r="AEP43" s="431"/>
      <c r="AEQ43" s="431"/>
      <c r="AER43" s="431"/>
      <c r="AES43" s="431"/>
      <c r="AET43" s="431"/>
      <c r="AEU43" s="431"/>
      <c r="AEV43" s="431"/>
      <c r="AEW43" s="431"/>
      <c r="AEX43" s="431"/>
      <c r="AEY43" s="431"/>
      <c r="AEZ43" s="431"/>
      <c r="AFA43" s="431"/>
      <c r="AFB43" s="431"/>
      <c r="AFC43" s="431"/>
      <c r="AFD43" s="431"/>
      <c r="AFE43" s="431"/>
      <c r="AFF43" s="431"/>
      <c r="AFG43" s="431"/>
      <c r="AFH43" s="431"/>
      <c r="AFI43" s="431"/>
      <c r="AFJ43" s="431"/>
      <c r="AFK43" s="431"/>
      <c r="AFL43" s="431"/>
      <c r="AFM43" s="431"/>
      <c r="AFN43" s="431"/>
      <c r="AFO43" s="431"/>
      <c r="AFP43" s="431"/>
      <c r="AFQ43" s="431"/>
      <c r="AFR43" s="431"/>
      <c r="AFS43" s="431"/>
      <c r="AFT43" s="431"/>
      <c r="AFU43" s="431"/>
      <c r="AFV43" s="431"/>
      <c r="AFW43" s="431"/>
      <c r="AFX43" s="431"/>
      <c r="AFY43" s="431"/>
      <c r="AFZ43" s="431"/>
      <c r="AGA43" s="431"/>
      <c r="AGB43" s="431"/>
      <c r="AGC43" s="431"/>
      <c r="AGD43" s="431"/>
      <c r="AGE43" s="431"/>
      <c r="AGF43" s="431"/>
      <c r="AGG43" s="431"/>
      <c r="AGH43" s="431"/>
      <c r="AGI43" s="431"/>
      <c r="AGJ43" s="431"/>
      <c r="AGK43" s="431"/>
      <c r="AGL43" s="431"/>
      <c r="AGM43" s="431"/>
      <c r="AGN43" s="431"/>
      <c r="AGO43" s="431"/>
      <c r="AGP43" s="431"/>
      <c r="AGQ43" s="431"/>
      <c r="AGR43" s="431"/>
      <c r="AGS43" s="431"/>
      <c r="AGT43" s="431"/>
      <c r="AGU43" s="431"/>
      <c r="AGV43" s="431"/>
      <c r="AGW43" s="431"/>
      <c r="AGX43" s="431"/>
      <c r="AGY43" s="431"/>
      <c r="AGZ43" s="431"/>
      <c r="AHA43" s="431"/>
      <c r="AHB43" s="431"/>
      <c r="AHC43" s="431"/>
      <c r="AHD43" s="431"/>
      <c r="AHE43" s="431"/>
      <c r="AHF43" s="431"/>
      <c r="AHG43" s="431"/>
      <c r="AHH43" s="431"/>
      <c r="AHI43" s="431"/>
      <c r="AHJ43" s="431"/>
      <c r="AHK43" s="431"/>
      <c r="AHL43" s="431"/>
      <c r="AHM43" s="431"/>
      <c r="AHN43" s="431"/>
      <c r="AHO43" s="431"/>
      <c r="AHP43" s="431"/>
      <c r="AHQ43" s="431"/>
      <c r="AHR43" s="431"/>
      <c r="AHS43" s="431"/>
      <c r="AHT43" s="431"/>
      <c r="AHU43" s="431"/>
      <c r="AHV43" s="431"/>
      <c r="AHW43" s="431"/>
      <c r="AHX43" s="431"/>
      <c r="AHY43" s="431"/>
      <c r="AHZ43" s="431"/>
      <c r="AIA43" s="431"/>
      <c r="AIB43" s="431"/>
      <c r="AIC43" s="431"/>
      <c r="AID43" s="431"/>
      <c r="AIE43" s="431"/>
      <c r="AIF43" s="431"/>
      <c r="AIG43" s="431"/>
      <c r="AIH43" s="431"/>
      <c r="AII43" s="431"/>
      <c r="AIJ43" s="431"/>
      <c r="AIK43" s="431"/>
      <c r="AIL43" s="431"/>
      <c r="AIM43" s="431"/>
      <c r="AIN43" s="431"/>
      <c r="AIO43" s="431"/>
      <c r="AIP43" s="431"/>
      <c r="AIQ43" s="431"/>
      <c r="AIR43" s="431"/>
      <c r="AIS43" s="431"/>
      <c r="AIT43" s="431"/>
      <c r="AIU43" s="431"/>
      <c r="AIV43" s="431"/>
      <c r="AIW43" s="431"/>
      <c r="AIX43" s="431"/>
      <c r="AIY43" s="431"/>
      <c r="AIZ43" s="431"/>
      <c r="AJA43" s="431"/>
      <c r="AJB43" s="431"/>
      <c r="AJC43" s="431"/>
      <c r="AJD43" s="431"/>
      <c r="AJE43" s="431"/>
      <c r="AJF43" s="431"/>
      <c r="AJG43" s="431"/>
      <c r="AJH43" s="431"/>
      <c r="AJI43" s="431"/>
      <c r="AJJ43" s="431"/>
      <c r="AJK43" s="431"/>
      <c r="AJL43" s="431"/>
      <c r="AJM43" s="431"/>
      <c r="AJN43" s="431"/>
      <c r="AJO43" s="431"/>
      <c r="AJP43" s="431"/>
      <c r="AJQ43" s="431"/>
      <c r="AJR43" s="431"/>
      <c r="AJS43" s="431"/>
      <c r="AJT43" s="431"/>
      <c r="AJU43" s="431"/>
      <c r="AJV43" s="431"/>
      <c r="AJW43" s="431"/>
      <c r="AJX43" s="431"/>
      <c r="AJY43" s="431"/>
      <c r="AJZ43" s="431"/>
      <c r="AKA43" s="431"/>
      <c r="AKB43" s="431"/>
      <c r="AKC43" s="431"/>
      <c r="AKD43" s="431"/>
      <c r="AKE43" s="431"/>
      <c r="AKF43" s="431"/>
      <c r="AKG43" s="431"/>
      <c r="AKH43" s="431"/>
      <c r="AKI43" s="431"/>
      <c r="AKJ43" s="431"/>
      <c r="AKK43" s="431"/>
      <c r="AKL43" s="431"/>
      <c r="AKM43" s="431"/>
      <c r="AKN43" s="431"/>
      <c r="AKO43" s="431"/>
      <c r="AKP43" s="431"/>
      <c r="AKQ43" s="431"/>
      <c r="AKR43" s="431"/>
      <c r="AKS43" s="431"/>
      <c r="AKT43" s="431"/>
      <c r="AKU43" s="431"/>
      <c r="AKV43" s="431"/>
      <c r="AKW43" s="431"/>
      <c r="AKX43" s="431"/>
      <c r="AKY43" s="431"/>
      <c r="AKZ43" s="431"/>
      <c r="ALA43" s="431"/>
      <c r="ALB43" s="431"/>
      <c r="ALC43" s="431"/>
      <c r="ALD43" s="431"/>
      <c r="ALE43" s="431"/>
      <c r="ALF43" s="431"/>
      <c r="ALG43" s="431"/>
      <c r="ALH43" s="431"/>
      <c r="ALI43" s="431"/>
      <c r="ALJ43" s="431"/>
      <c r="ALK43" s="431"/>
      <c r="ALL43" s="431"/>
      <c r="ALM43" s="431"/>
      <c r="ALN43" s="431"/>
      <c r="ALO43" s="431"/>
      <c r="ALP43" s="431"/>
      <c r="ALQ43" s="431"/>
      <c r="ALR43" s="431"/>
      <c r="ALS43" s="431"/>
      <c r="ALT43" s="431"/>
      <c r="ALU43" s="431"/>
      <c r="ALV43" s="431"/>
      <c r="ALW43" s="431"/>
      <c r="ALX43" s="431"/>
      <c r="ALY43" s="431"/>
      <c r="ALZ43" s="431"/>
      <c r="AMA43" s="431"/>
      <c r="AMB43" s="431"/>
      <c r="AMC43" s="431"/>
      <c r="AMD43" s="431"/>
      <c r="AME43" s="431"/>
      <c r="AMF43" s="431"/>
      <c r="AMG43" s="431"/>
      <c r="AMH43" s="431"/>
      <c r="AMI43" s="431"/>
      <c r="AMJ43" s="431"/>
      <c r="AMK43" s="431"/>
    </row>
  </sheetData>
  <mergeCells count="3">
    <mergeCell ref="E7:F7"/>
    <mergeCell ref="G7:H7"/>
    <mergeCell ref="I7:J7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H45"/>
  <sheetViews>
    <sheetView topLeftCell="A16" zoomScaleNormal="100" workbookViewId="0">
      <selection activeCell="A37" sqref="A37"/>
    </sheetView>
  </sheetViews>
  <sheetFormatPr defaultColWidth="8.7109375" defaultRowHeight="15" x14ac:dyDescent="0.25"/>
  <cols>
    <col min="1" max="1" width="41.85546875" style="10" customWidth="1"/>
    <col min="2" max="2" width="1.140625" style="1" customWidth="1"/>
    <col min="3" max="3" width="22.42578125" style="1" customWidth="1"/>
    <col min="4" max="4" width="1" style="1" customWidth="1"/>
    <col min="5" max="6" width="23.140625" style="1" customWidth="1"/>
    <col min="7" max="1022" width="8.7109375" style="1"/>
  </cols>
  <sheetData>
    <row r="1" spans="1:5" x14ac:dyDescent="0.25">
      <c r="A1" s="10" t="s">
        <v>102</v>
      </c>
    </row>
    <row r="2" spans="1:5" x14ac:dyDescent="0.25">
      <c r="A2" s="10" t="s">
        <v>103</v>
      </c>
    </row>
    <row r="3" spans="1:5" x14ac:dyDescent="0.25">
      <c r="A3" s="10" t="s">
        <v>104</v>
      </c>
    </row>
    <row r="4" spans="1:5" x14ac:dyDescent="0.25">
      <c r="A4" s="10" t="s">
        <v>105</v>
      </c>
    </row>
    <row r="5" spans="1:5" x14ac:dyDescent="0.25">
      <c r="A5" s="20" t="s">
        <v>2039</v>
      </c>
      <c r="B5" s="21"/>
    </row>
    <row r="6" spans="1:5" s="8" customFormat="1" ht="11.25" x14ac:dyDescent="0.2">
      <c r="A6" s="22" t="str">
        <f>RREO!E4</f>
        <v>Período: Janeiro a Junho de 2025/Bimestre Maio-Junho</v>
      </c>
    </row>
    <row r="7" spans="1:5" x14ac:dyDescent="0.25">
      <c r="A7" s="10" t="s">
        <v>106</v>
      </c>
      <c r="E7" s="23" t="s">
        <v>107</v>
      </c>
    </row>
    <row r="8" spans="1:5" s="26" customFormat="1" ht="15" customHeight="1" x14ac:dyDescent="0.25">
      <c r="A8" s="24" t="s">
        <v>108</v>
      </c>
      <c r="B8" s="25"/>
      <c r="C8" s="749" t="s">
        <v>109</v>
      </c>
      <c r="D8" s="749"/>
      <c r="E8" s="749"/>
    </row>
    <row r="9" spans="1:5" x14ac:dyDescent="0.25">
      <c r="A9" s="27" t="s">
        <v>110</v>
      </c>
      <c r="B9" s="28"/>
      <c r="C9" s="28"/>
      <c r="D9" s="28"/>
      <c r="E9" s="29">
        <f>RCL!C25</f>
        <v>155190088.60999998</v>
      </c>
    </row>
    <row r="10" spans="1:5" x14ac:dyDescent="0.25">
      <c r="A10" s="30" t="s">
        <v>28</v>
      </c>
      <c r="B10" s="31"/>
      <c r="C10" s="32"/>
      <c r="D10" s="32"/>
      <c r="E10" s="29">
        <f>RCL!C27</f>
        <v>155190088.60999998</v>
      </c>
    </row>
    <row r="11" spans="1:5" x14ac:dyDescent="0.25">
      <c r="A11" s="33" t="s">
        <v>111</v>
      </c>
      <c r="B11" s="34"/>
      <c r="C11" s="14"/>
      <c r="D11" s="14"/>
      <c r="E11" s="29">
        <f>RCL!C29</f>
        <v>155190088.60999998</v>
      </c>
    </row>
    <row r="12" spans="1:5" s="8" customFormat="1" ht="11.25" x14ac:dyDescent="0.2">
      <c r="A12" s="10"/>
    </row>
    <row r="13" spans="1:5" x14ac:dyDescent="0.25">
      <c r="A13" s="35" t="s">
        <v>112</v>
      </c>
      <c r="B13" s="36"/>
      <c r="C13" s="36" t="s">
        <v>113</v>
      </c>
      <c r="D13" s="36"/>
      <c r="E13" s="37" t="s">
        <v>114</v>
      </c>
    </row>
    <row r="14" spans="1:5" x14ac:dyDescent="0.25">
      <c r="A14" s="38" t="s">
        <v>115</v>
      </c>
      <c r="B14" s="39"/>
      <c r="C14" s="40">
        <f>DCLP!C28</f>
        <v>76155039.023999989</v>
      </c>
      <c r="D14" s="40"/>
      <c r="E14" s="41">
        <f>C14/E11</f>
        <v>0.49072102288298319</v>
      </c>
    </row>
    <row r="15" spans="1:5" x14ac:dyDescent="0.25">
      <c r="A15" s="38" t="s">
        <v>116</v>
      </c>
      <c r="B15" s="39"/>
      <c r="C15" s="40">
        <f>E11*0.54</f>
        <v>83802647.849399999</v>
      </c>
      <c r="D15" s="40"/>
      <c r="E15" s="42">
        <v>54</v>
      </c>
    </row>
    <row r="16" spans="1:5" ht="15" customHeight="1" x14ac:dyDescent="0.25">
      <c r="A16" s="38" t="s">
        <v>117</v>
      </c>
      <c r="B16" s="39"/>
      <c r="C16" s="40">
        <f>E11*0.513</f>
        <v>79612515.456929997</v>
      </c>
      <c r="D16" s="40"/>
      <c r="E16" s="42">
        <v>51.3</v>
      </c>
    </row>
    <row r="17" spans="1:5" x14ac:dyDescent="0.25">
      <c r="A17" s="38" t="s">
        <v>118</v>
      </c>
      <c r="B17" s="39"/>
      <c r="C17" s="40">
        <f>E11*0.486</f>
        <v>75422383.064459994</v>
      </c>
      <c r="D17" s="40"/>
      <c r="E17" s="42">
        <v>48.6</v>
      </c>
    </row>
    <row r="18" spans="1:5" s="8" customFormat="1" ht="11.25" x14ac:dyDescent="0.2">
      <c r="A18" s="10"/>
    </row>
    <row r="19" spans="1:5" ht="23.25" x14ac:dyDescent="0.25">
      <c r="A19" s="43" t="s">
        <v>119</v>
      </c>
      <c r="B19" s="44"/>
      <c r="C19" s="37" t="s">
        <v>120</v>
      </c>
      <c r="D19" s="37"/>
      <c r="E19" s="45" t="s">
        <v>114</v>
      </c>
    </row>
    <row r="20" spans="1:5" x14ac:dyDescent="0.25">
      <c r="A20" s="38" t="s">
        <v>1674</v>
      </c>
      <c r="B20" s="39"/>
      <c r="C20" s="40">
        <v>55703186.280000001</v>
      </c>
      <c r="D20" s="40"/>
      <c r="E20" s="485">
        <f>(C20/E10)*100</f>
        <v>35.893520506960172</v>
      </c>
    </row>
    <row r="21" spans="1:5" x14ac:dyDescent="0.25">
      <c r="A21" s="38" t="s">
        <v>121</v>
      </c>
      <c r="B21" s="39"/>
      <c r="C21" s="40">
        <v>0</v>
      </c>
      <c r="D21" s="40"/>
      <c r="E21" s="40">
        <v>0</v>
      </c>
    </row>
    <row r="22" spans="1:5" s="8" customFormat="1" ht="11.25" x14ac:dyDescent="0.2">
      <c r="A22" s="10"/>
    </row>
    <row r="23" spans="1:5" ht="23.25" x14ac:dyDescent="0.25">
      <c r="A23" s="43" t="s">
        <v>122</v>
      </c>
      <c r="B23" s="44"/>
      <c r="C23" s="46" t="s">
        <v>120</v>
      </c>
      <c r="D23" s="46"/>
      <c r="E23" s="47" t="s">
        <v>114</v>
      </c>
    </row>
    <row r="24" spans="1:5" x14ac:dyDescent="0.25">
      <c r="A24" s="38" t="s">
        <v>123</v>
      </c>
      <c r="B24" s="39"/>
      <c r="C24" s="40">
        <v>0</v>
      </c>
      <c r="D24" s="40"/>
      <c r="E24" s="40">
        <v>0</v>
      </c>
    </row>
    <row r="25" spans="1:5" x14ac:dyDescent="0.25">
      <c r="A25" s="38" t="s">
        <v>121</v>
      </c>
      <c r="B25" s="39"/>
      <c r="C25" s="40">
        <v>0</v>
      </c>
      <c r="D25" s="40"/>
      <c r="E25" s="40">
        <v>0</v>
      </c>
    </row>
    <row r="26" spans="1:5" s="8" customFormat="1" ht="11.25" x14ac:dyDescent="0.2">
      <c r="A26" s="10"/>
    </row>
    <row r="27" spans="1:5" x14ac:dyDescent="0.25">
      <c r="A27" s="48" t="s">
        <v>124</v>
      </c>
      <c r="B27" s="49"/>
      <c r="C27" s="50" t="s">
        <v>113</v>
      </c>
      <c r="D27" s="50"/>
      <c r="E27" s="51" t="s">
        <v>114</v>
      </c>
    </row>
    <row r="28" spans="1:5" x14ac:dyDescent="0.25">
      <c r="A28" s="52" t="s">
        <v>125</v>
      </c>
      <c r="B28" s="39"/>
      <c r="C28" s="40">
        <v>0</v>
      </c>
      <c r="D28" s="40"/>
      <c r="E28" s="40">
        <v>0</v>
      </c>
    </row>
    <row r="29" spans="1:5" x14ac:dyDescent="0.25">
      <c r="A29" s="38" t="s">
        <v>126</v>
      </c>
      <c r="B29" s="39"/>
      <c r="C29" s="40">
        <f>E11*1.2</f>
        <v>186228106.33199999</v>
      </c>
      <c r="D29" s="53"/>
      <c r="E29" s="40">
        <v>120</v>
      </c>
    </row>
    <row r="30" spans="1:5" x14ac:dyDescent="0.25">
      <c r="A30" s="38" t="s">
        <v>127</v>
      </c>
      <c r="B30" s="39"/>
      <c r="C30" s="40"/>
      <c r="D30" s="40"/>
      <c r="E30" s="54">
        <f>(C30/E11)*100</f>
        <v>0</v>
      </c>
    </row>
    <row r="31" spans="1:5" x14ac:dyDescent="0.25">
      <c r="A31" s="52" t="s">
        <v>128</v>
      </c>
      <c r="B31" s="39"/>
      <c r="C31" s="40">
        <v>0</v>
      </c>
      <c r="D31" s="40"/>
      <c r="E31" s="40">
        <v>0</v>
      </c>
    </row>
    <row r="32" spans="1:5" x14ac:dyDescent="0.25">
      <c r="A32" s="38" t="s">
        <v>126</v>
      </c>
      <c r="B32" s="39"/>
      <c r="C32" s="40"/>
      <c r="D32" s="40"/>
      <c r="E32" s="40"/>
    </row>
    <row r="33" spans="1:1022" x14ac:dyDescent="0.25">
      <c r="A33" s="38" t="s">
        <v>129</v>
      </c>
      <c r="B33" s="39"/>
      <c r="C33" s="40">
        <v>0</v>
      </c>
      <c r="D33" s="40"/>
      <c r="E33" s="40">
        <v>0</v>
      </c>
    </row>
    <row r="34" spans="1:1022" s="8" customFormat="1" ht="11.25" x14ac:dyDescent="0.2">
      <c r="A34" s="10"/>
    </row>
    <row r="35" spans="1:1022" ht="60" customHeight="1" x14ac:dyDescent="0.25">
      <c r="A35" s="43" t="s">
        <v>130</v>
      </c>
      <c r="B35" s="44"/>
      <c r="C35" s="45" t="s">
        <v>131</v>
      </c>
      <c r="D35" s="37"/>
      <c r="E35" s="45" t="s">
        <v>132</v>
      </c>
    </row>
    <row r="36" spans="1:1022" x14ac:dyDescent="0.25">
      <c r="A36" s="38" t="s">
        <v>2040</v>
      </c>
      <c r="B36" s="39"/>
      <c r="C36" s="40">
        <f>23573084.3-8841633.61</f>
        <v>14731450.690000001</v>
      </c>
      <c r="D36" s="40"/>
      <c r="E36" s="40"/>
      <c r="F36" s="472"/>
    </row>
    <row r="37" spans="1:1022" x14ac:dyDescent="0.25">
      <c r="A37" s="9" t="s">
        <v>133</v>
      </c>
      <c r="B37" s="2"/>
      <c r="C37" s="472"/>
      <c r="E37" s="532"/>
      <c r="F37" s="472"/>
    </row>
    <row r="38" spans="1:1022" x14ac:dyDescent="0.25">
      <c r="A38" s="10" t="s">
        <v>1162</v>
      </c>
      <c r="F38" s="472"/>
    </row>
    <row r="39" spans="1:1022" x14ac:dyDescent="0.25">
      <c r="F39" s="472"/>
    </row>
    <row r="40" spans="1:1022" x14ac:dyDescent="0.25">
      <c r="F40" s="472"/>
    </row>
    <row r="41" spans="1:1022" x14ac:dyDescent="0.25">
      <c r="F41" s="472"/>
    </row>
    <row r="42" spans="1:1022" x14ac:dyDescent="0.25">
      <c r="C42" s="14"/>
      <c r="E42" s="14"/>
      <c r="F42" s="473"/>
    </row>
    <row r="43" spans="1:1022" s="417" customFormat="1" ht="11.25" x14ac:dyDescent="0.2">
      <c r="A43" s="55" t="s">
        <v>1452</v>
      </c>
      <c r="B43" s="10"/>
      <c r="C43" s="15" t="s">
        <v>1453</v>
      </c>
      <c r="D43" s="15"/>
      <c r="E43" s="17" t="s">
        <v>98</v>
      </c>
      <c r="F43" s="10"/>
      <c r="G43" s="10"/>
      <c r="H43" s="17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  <c r="PQ43" s="10"/>
      <c r="PR43" s="10"/>
      <c r="PS43" s="10"/>
      <c r="PT43" s="10"/>
      <c r="PU43" s="10"/>
      <c r="PV43" s="10"/>
      <c r="PW43" s="10"/>
      <c r="PX43" s="10"/>
      <c r="PY43" s="10"/>
      <c r="PZ43" s="10"/>
      <c r="QA43" s="10"/>
      <c r="QB43" s="10"/>
      <c r="QC43" s="10"/>
      <c r="QD43" s="10"/>
      <c r="QE43" s="10"/>
      <c r="QF43" s="10"/>
      <c r="QG43" s="10"/>
      <c r="QH43" s="10"/>
      <c r="QI43" s="10"/>
      <c r="QJ43" s="10"/>
      <c r="QK43" s="10"/>
      <c r="QL43" s="10"/>
      <c r="QM43" s="10"/>
      <c r="QN43" s="10"/>
      <c r="QO43" s="10"/>
      <c r="QP43" s="10"/>
      <c r="QQ43" s="10"/>
      <c r="QR43" s="10"/>
      <c r="QS43" s="10"/>
      <c r="QT43" s="10"/>
      <c r="QU43" s="10"/>
      <c r="QV43" s="10"/>
      <c r="QW43" s="10"/>
      <c r="QX43" s="10"/>
      <c r="QY43" s="10"/>
      <c r="QZ43" s="10"/>
      <c r="RA43" s="10"/>
      <c r="RB43" s="10"/>
      <c r="RC43" s="10"/>
      <c r="RD43" s="10"/>
      <c r="RE43" s="10"/>
      <c r="RF43" s="10"/>
      <c r="RG43" s="10"/>
      <c r="RH43" s="10"/>
      <c r="RI43" s="10"/>
      <c r="RJ43" s="10"/>
      <c r="RK43" s="10"/>
      <c r="RL43" s="10"/>
      <c r="RM43" s="10"/>
      <c r="RN43" s="10"/>
      <c r="RO43" s="10"/>
      <c r="RP43" s="10"/>
      <c r="RQ43" s="10"/>
      <c r="RR43" s="10"/>
      <c r="RS43" s="10"/>
      <c r="RT43" s="10"/>
      <c r="RU43" s="10"/>
      <c r="RV43" s="10"/>
      <c r="RW43" s="10"/>
      <c r="RX43" s="10"/>
      <c r="RY43" s="10"/>
      <c r="RZ43" s="10"/>
      <c r="SA43" s="10"/>
      <c r="SB43" s="10"/>
      <c r="SC43" s="10"/>
      <c r="SD43" s="10"/>
      <c r="SE43" s="10"/>
      <c r="SF43" s="10"/>
      <c r="SG43" s="10"/>
      <c r="SH43" s="10"/>
      <c r="SI43" s="10"/>
      <c r="SJ43" s="10"/>
      <c r="SK43" s="10"/>
      <c r="SL43" s="10"/>
      <c r="SM43" s="10"/>
      <c r="SN43" s="10"/>
      <c r="SO43" s="10"/>
      <c r="SP43" s="10"/>
      <c r="SQ43" s="10"/>
      <c r="SR43" s="10"/>
      <c r="SS43" s="10"/>
      <c r="ST43" s="10"/>
      <c r="SU43" s="10"/>
      <c r="SV43" s="10"/>
      <c r="SW43" s="10"/>
      <c r="SX43" s="10"/>
      <c r="SY43" s="10"/>
      <c r="SZ43" s="10"/>
      <c r="TA43" s="10"/>
      <c r="TB43" s="10"/>
      <c r="TC43" s="10"/>
      <c r="TD43" s="10"/>
      <c r="TE43" s="10"/>
      <c r="TF43" s="10"/>
      <c r="TG43" s="10"/>
      <c r="TH43" s="10"/>
      <c r="TI43" s="10"/>
      <c r="TJ43" s="10"/>
      <c r="TK43" s="10"/>
      <c r="TL43" s="10"/>
      <c r="TM43" s="10"/>
      <c r="TN43" s="10"/>
      <c r="TO43" s="10"/>
      <c r="TP43" s="10"/>
      <c r="TQ43" s="10"/>
      <c r="TR43" s="10"/>
      <c r="TS43" s="10"/>
      <c r="TT43" s="10"/>
      <c r="TU43" s="10"/>
      <c r="TV43" s="10"/>
      <c r="TW43" s="10"/>
      <c r="TX43" s="10"/>
      <c r="TY43" s="10"/>
      <c r="TZ43" s="10"/>
      <c r="UA43" s="10"/>
      <c r="UB43" s="10"/>
      <c r="UC43" s="10"/>
      <c r="UD43" s="10"/>
      <c r="UE43" s="10"/>
      <c r="UF43" s="10"/>
      <c r="UG43" s="10"/>
      <c r="UH43" s="10"/>
      <c r="UI43" s="10"/>
      <c r="UJ43" s="10"/>
      <c r="UK43" s="10"/>
      <c r="UL43" s="10"/>
      <c r="UM43" s="10"/>
      <c r="UN43" s="10"/>
      <c r="UO43" s="10"/>
      <c r="UP43" s="10"/>
      <c r="UQ43" s="10"/>
      <c r="UR43" s="10"/>
      <c r="US43" s="10"/>
      <c r="UT43" s="10"/>
      <c r="UU43" s="10"/>
      <c r="UV43" s="10"/>
      <c r="UW43" s="10"/>
      <c r="UX43" s="10"/>
      <c r="UY43" s="10"/>
      <c r="UZ43" s="10"/>
      <c r="VA43" s="10"/>
      <c r="VB43" s="10"/>
      <c r="VC43" s="10"/>
      <c r="VD43" s="10"/>
      <c r="VE43" s="10"/>
      <c r="VF43" s="10"/>
      <c r="VG43" s="10"/>
      <c r="VH43" s="10"/>
      <c r="VI43" s="10"/>
      <c r="VJ43" s="10"/>
      <c r="VK43" s="10"/>
      <c r="VL43" s="10"/>
      <c r="VM43" s="10"/>
      <c r="VN43" s="10"/>
      <c r="VO43" s="10"/>
      <c r="VP43" s="10"/>
      <c r="VQ43" s="10"/>
      <c r="VR43" s="10"/>
      <c r="VS43" s="10"/>
      <c r="VT43" s="10"/>
      <c r="VU43" s="10"/>
      <c r="VV43" s="10"/>
      <c r="VW43" s="10"/>
      <c r="VX43" s="10"/>
      <c r="VY43" s="10"/>
      <c r="VZ43" s="10"/>
      <c r="WA43" s="10"/>
      <c r="WB43" s="10"/>
      <c r="WC43" s="10"/>
      <c r="WD43" s="10"/>
      <c r="WE43" s="10"/>
      <c r="WF43" s="10"/>
      <c r="WG43" s="10"/>
      <c r="WH43" s="10"/>
      <c r="WI43" s="10"/>
      <c r="WJ43" s="10"/>
      <c r="WK43" s="10"/>
      <c r="WL43" s="10"/>
      <c r="WM43" s="10"/>
      <c r="WN43" s="10"/>
      <c r="WO43" s="10"/>
      <c r="WP43" s="10"/>
      <c r="WQ43" s="10"/>
      <c r="WR43" s="10"/>
      <c r="WS43" s="10"/>
      <c r="WT43" s="10"/>
      <c r="WU43" s="10"/>
      <c r="WV43" s="10"/>
      <c r="WW43" s="10"/>
      <c r="WX43" s="10"/>
      <c r="WY43" s="10"/>
      <c r="WZ43" s="10"/>
      <c r="XA43" s="10"/>
      <c r="XB43" s="10"/>
      <c r="XC43" s="10"/>
      <c r="XD43" s="10"/>
      <c r="XE43" s="10"/>
      <c r="XF43" s="10"/>
      <c r="XG43" s="10"/>
      <c r="XH43" s="10"/>
      <c r="XI43" s="10"/>
      <c r="XJ43" s="10"/>
      <c r="XK43" s="10"/>
      <c r="XL43" s="10"/>
      <c r="XM43" s="10"/>
      <c r="XN43" s="10"/>
      <c r="XO43" s="10"/>
      <c r="XP43" s="10"/>
      <c r="XQ43" s="10"/>
      <c r="XR43" s="10"/>
      <c r="XS43" s="10"/>
      <c r="XT43" s="10"/>
      <c r="XU43" s="10"/>
      <c r="XV43" s="10"/>
      <c r="XW43" s="10"/>
      <c r="XX43" s="10"/>
      <c r="XY43" s="10"/>
      <c r="XZ43" s="10"/>
      <c r="YA43" s="10"/>
      <c r="YB43" s="10"/>
      <c r="YC43" s="10"/>
      <c r="YD43" s="10"/>
      <c r="YE43" s="10"/>
      <c r="YF43" s="10"/>
      <c r="YG43" s="10"/>
      <c r="YH43" s="10"/>
      <c r="YI43" s="10"/>
      <c r="YJ43" s="10"/>
      <c r="YK43" s="10"/>
      <c r="YL43" s="10"/>
      <c r="YM43" s="10"/>
      <c r="YN43" s="10"/>
      <c r="YO43" s="10"/>
      <c r="YP43" s="10"/>
      <c r="YQ43" s="10"/>
      <c r="YR43" s="10"/>
      <c r="YS43" s="10"/>
      <c r="YT43" s="10"/>
      <c r="YU43" s="10"/>
      <c r="YV43" s="10"/>
      <c r="YW43" s="10"/>
      <c r="YX43" s="10"/>
      <c r="YY43" s="10"/>
      <c r="YZ43" s="10"/>
      <c r="ZA43" s="10"/>
      <c r="ZB43" s="10"/>
      <c r="ZC43" s="10"/>
      <c r="ZD43" s="10"/>
      <c r="ZE43" s="10"/>
      <c r="ZF43" s="10"/>
      <c r="ZG43" s="10"/>
      <c r="ZH43" s="10"/>
      <c r="ZI43" s="10"/>
      <c r="ZJ43" s="10"/>
      <c r="ZK43" s="10"/>
      <c r="ZL43" s="10"/>
      <c r="ZM43" s="10"/>
      <c r="ZN43" s="10"/>
      <c r="ZO43" s="10"/>
      <c r="ZP43" s="10"/>
      <c r="ZQ43" s="10"/>
      <c r="ZR43" s="10"/>
      <c r="ZS43" s="10"/>
      <c r="ZT43" s="10"/>
      <c r="ZU43" s="10"/>
      <c r="ZV43" s="10"/>
      <c r="ZW43" s="10"/>
      <c r="ZX43" s="10"/>
      <c r="ZY43" s="10"/>
      <c r="ZZ43" s="10"/>
      <c r="AAA43" s="10"/>
      <c r="AAB43" s="10"/>
      <c r="AAC43" s="10"/>
      <c r="AAD43" s="10"/>
      <c r="AAE43" s="10"/>
      <c r="AAF43" s="10"/>
      <c r="AAG43" s="10"/>
      <c r="AAH43" s="10"/>
      <c r="AAI43" s="10"/>
      <c r="AAJ43" s="10"/>
      <c r="AAK43" s="10"/>
      <c r="AAL43" s="10"/>
      <c r="AAM43" s="10"/>
      <c r="AAN43" s="10"/>
      <c r="AAO43" s="10"/>
      <c r="AAP43" s="10"/>
      <c r="AAQ43" s="10"/>
      <c r="AAR43" s="10"/>
      <c r="AAS43" s="10"/>
      <c r="AAT43" s="10"/>
      <c r="AAU43" s="10"/>
      <c r="AAV43" s="10"/>
      <c r="AAW43" s="10"/>
      <c r="AAX43" s="10"/>
      <c r="AAY43" s="10"/>
      <c r="AAZ43" s="10"/>
      <c r="ABA43" s="10"/>
      <c r="ABB43" s="10"/>
      <c r="ABC43" s="10"/>
      <c r="ABD43" s="10"/>
      <c r="ABE43" s="10"/>
      <c r="ABF43" s="10"/>
      <c r="ABG43" s="10"/>
      <c r="ABH43" s="10"/>
      <c r="ABI43" s="10"/>
      <c r="ABJ43" s="10"/>
      <c r="ABK43" s="10"/>
      <c r="ABL43" s="10"/>
      <c r="ABM43" s="10"/>
      <c r="ABN43" s="10"/>
      <c r="ABO43" s="10"/>
      <c r="ABP43" s="10"/>
      <c r="ABQ43" s="10"/>
      <c r="ABR43" s="10"/>
      <c r="ABS43" s="10"/>
      <c r="ABT43" s="10"/>
      <c r="ABU43" s="10"/>
      <c r="ABV43" s="10"/>
      <c r="ABW43" s="10"/>
      <c r="ABX43" s="10"/>
      <c r="ABY43" s="10"/>
      <c r="ABZ43" s="10"/>
      <c r="ACA43" s="10"/>
      <c r="ACB43" s="10"/>
      <c r="ACC43" s="10"/>
      <c r="ACD43" s="10"/>
      <c r="ACE43" s="10"/>
      <c r="ACF43" s="10"/>
      <c r="ACG43" s="10"/>
      <c r="ACH43" s="10"/>
      <c r="ACI43" s="10"/>
      <c r="ACJ43" s="10"/>
      <c r="ACK43" s="10"/>
      <c r="ACL43" s="10"/>
      <c r="ACM43" s="10"/>
      <c r="ACN43" s="10"/>
      <c r="ACO43" s="10"/>
      <c r="ACP43" s="10"/>
      <c r="ACQ43" s="10"/>
      <c r="ACR43" s="10"/>
      <c r="ACS43" s="10"/>
      <c r="ACT43" s="10"/>
      <c r="ACU43" s="10"/>
      <c r="ACV43" s="10"/>
      <c r="ACW43" s="10"/>
      <c r="ACX43" s="10"/>
      <c r="ACY43" s="10"/>
      <c r="ACZ43" s="10"/>
      <c r="ADA43" s="10"/>
      <c r="ADB43" s="10"/>
      <c r="ADC43" s="10"/>
      <c r="ADD43" s="10"/>
      <c r="ADE43" s="10"/>
      <c r="ADF43" s="10"/>
      <c r="ADG43" s="10"/>
      <c r="ADH43" s="10"/>
      <c r="ADI43" s="10"/>
      <c r="ADJ43" s="10"/>
      <c r="ADK43" s="10"/>
      <c r="ADL43" s="10"/>
      <c r="ADM43" s="10"/>
      <c r="ADN43" s="10"/>
      <c r="ADO43" s="10"/>
      <c r="ADP43" s="10"/>
      <c r="ADQ43" s="10"/>
      <c r="ADR43" s="10"/>
      <c r="ADS43" s="10"/>
      <c r="ADT43" s="10"/>
      <c r="ADU43" s="10"/>
      <c r="ADV43" s="10"/>
      <c r="ADW43" s="10"/>
      <c r="ADX43" s="10"/>
      <c r="ADY43" s="10"/>
      <c r="ADZ43" s="10"/>
      <c r="AEA43" s="10"/>
      <c r="AEB43" s="10"/>
      <c r="AEC43" s="10"/>
      <c r="AED43" s="10"/>
      <c r="AEE43" s="10"/>
      <c r="AEF43" s="10"/>
      <c r="AEG43" s="10"/>
      <c r="AEH43" s="10"/>
      <c r="AEI43" s="10"/>
      <c r="AEJ43" s="10"/>
      <c r="AEK43" s="10"/>
      <c r="AEL43" s="10"/>
      <c r="AEM43" s="10"/>
      <c r="AEN43" s="10"/>
      <c r="AEO43" s="10"/>
      <c r="AEP43" s="10"/>
      <c r="AEQ43" s="10"/>
      <c r="AER43" s="10"/>
      <c r="AES43" s="10"/>
      <c r="AET43" s="10"/>
      <c r="AEU43" s="10"/>
      <c r="AEV43" s="10"/>
      <c r="AEW43" s="10"/>
      <c r="AEX43" s="10"/>
      <c r="AEY43" s="10"/>
      <c r="AEZ43" s="10"/>
      <c r="AFA43" s="10"/>
      <c r="AFB43" s="10"/>
      <c r="AFC43" s="10"/>
      <c r="AFD43" s="10"/>
      <c r="AFE43" s="10"/>
      <c r="AFF43" s="10"/>
      <c r="AFG43" s="10"/>
      <c r="AFH43" s="10"/>
      <c r="AFI43" s="10"/>
      <c r="AFJ43" s="10"/>
      <c r="AFK43" s="10"/>
      <c r="AFL43" s="10"/>
      <c r="AFM43" s="10"/>
      <c r="AFN43" s="10"/>
      <c r="AFO43" s="10"/>
      <c r="AFP43" s="10"/>
      <c r="AFQ43" s="10"/>
      <c r="AFR43" s="10"/>
      <c r="AFS43" s="10"/>
      <c r="AFT43" s="10"/>
      <c r="AFU43" s="10"/>
      <c r="AFV43" s="10"/>
      <c r="AFW43" s="10"/>
      <c r="AFX43" s="10"/>
      <c r="AFY43" s="10"/>
      <c r="AFZ43" s="10"/>
      <c r="AGA43" s="10"/>
      <c r="AGB43" s="10"/>
      <c r="AGC43" s="10"/>
      <c r="AGD43" s="10"/>
      <c r="AGE43" s="10"/>
      <c r="AGF43" s="10"/>
      <c r="AGG43" s="10"/>
      <c r="AGH43" s="10"/>
      <c r="AGI43" s="10"/>
      <c r="AGJ43" s="10"/>
      <c r="AGK43" s="10"/>
      <c r="AGL43" s="10"/>
      <c r="AGM43" s="10"/>
      <c r="AGN43" s="10"/>
      <c r="AGO43" s="10"/>
      <c r="AGP43" s="10"/>
      <c r="AGQ43" s="10"/>
      <c r="AGR43" s="10"/>
      <c r="AGS43" s="10"/>
      <c r="AGT43" s="10"/>
      <c r="AGU43" s="10"/>
      <c r="AGV43" s="10"/>
      <c r="AGW43" s="10"/>
      <c r="AGX43" s="10"/>
      <c r="AGY43" s="10"/>
      <c r="AGZ43" s="10"/>
      <c r="AHA43" s="10"/>
      <c r="AHB43" s="10"/>
      <c r="AHC43" s="10"/>
      <c r="AHD43" s="10"/>
      <c r="AHE43" s="10"/>
      <c r="AHF43" s="10"/>
      <c r="AHG43" s="10"/>
      <c r="AHH43" s="10"/>
      <c r="AHI43" s="10"/>
      <c r="AHJ43" s="10"/>
      <c r="AHK43" s="10"/>
      <c r="AHL43" s="10"/>
      <c r="AHM43" s="10"/>
      <c r="AHN43" s="10"/>
      <c r="AHO43" s="10"/>
      <c r="AHP43" s="10"/>
      <c r="AHQ43" s="10"/>
      <c r="AHR43" s="10"/>
      <c r="AHS43" s="10"/>
      <c r="AHT43" s="10"/>
      <c r="AHU43" s="10"/>
      <c r="AHV43" s="10"/>
      <c r="AHW43" s="10"/>
      <c r="AHX43" s="10"/>
      <c r="AHY43" s="10"/>
      <c r="AHZ43" s="10"/>
      <c r="AIA43" s="10"/>
      <c r="AIB43" s="10"/>
      <c r="AIC43" s="10"/>
      <c r="AID43" s="10"/>
      <c r="AIE43" s="10"/>
      <c r="AIF43" s="10"/>
      <c r="AIG43" s="10"/>
      <c r="AIH43" s="10"/>
      <c r="AII43" s="10"/>
      <c r="AIJ43" s="10"/>
      <c r="AIK43" s="10"/>
      <c r="AIL43" s="10"/>
      <c r="AIM43" s="10"/>
      <c r="AIN43" s="10"/>
      <c r="AIO43" s="10"/>
      <c r="AIP43" s="10"/>
      <c r="AIQ43" s="10"/>
      <c r="AIR43" s="10"/>
      <c r="AIS43" s="10"/>
      <c r="AIT43" s="10"/>
      <c r="AIU43" s="10"/>
      <c r="AIV43" s="10"/>
      <c r="AIW43" s="10"/>
      <c r="AIX43" s="10"/>
      <c r="AIY43" s="10"/>
      <c r="AIZ43" s="10"/>
      <c r="AJA43" s="10"/>
      <c r="AJB43" s="10"/>
      <c r="AJC43" s="10"/>
      <c r="AJD43" s="10"/>
      <c r="AJE43" s="10"/>
      <c r="AJF43" s="10"/>
      <c r="AJG43" s="10"/>
      <c r="AJH43" s="10"/>
      <c r="AJI43" s="10"/>
      <c r="AJJ43" s="10"/>
      <c r="AJK43" s="10"/>
      <c r="AJL43" s="10"/>
      <c r="AJM43" s="10"/>
      <c r="AJN43" s="10"/>
      <c r="AJO43" s="10"/>
      <c r="AJP43" s="10"/>
      <c r="AJQ43" s="10"/>
      <c r="AJR43" s="10"/>
      <c r="AJS43" s="10"/>
      <c r="AJT43" s="10"/>
      <c r="AJU43" s="10"/>
      <c r="AJV43" s="10"/>
      <c r="AJW43" s="10"/>
      <c r="AJX43" s="10"/>
      <c r="AJY43" s="10"/>
      <c r="AJZ43" s="10"/>
      <c r="AKA43" s="10"/>
      <c r="AKB43" s="10"/>
      <c r="AKC43" s="10"/>
      <c r="AKD43" s="10"/>
      <c r="AKE43" s="10"/>
      <c r="AKF43" s="10"/>
      <c r="AKG43" s="10"/>
      <c r="AKH43" s="10"/>
      <c r="AKI43" s="10"/>
      <c r="AKJ43" s="10"/>
      <c r="AKK43" s="10"/>
      <c r="AKL43" s="10"/>
      <c r="AKM43" s="10"/>
      <c r="AKN43" s="10"/>
      <c r="AKO43" s="10"/>
      <c r="AKP43" s="10"/>
      <c r="AKQ43" s="10"/>
      <c r="AKR43" s="10"/>
      <c r="AKS43" s="10"/>
      <c r="AKT43" s="10"/>
      <c r="AKU43" s="10"/>
      <c r="AKV43" s="10"/>
      <c r="AKW43" s="10"/>
      <c r="AKX43" s="10"/>
      <c r="AKY43" s="10"/>
      <c r="AKZ43" s="10"/>
      <c r="ALA43" s="10"/>
      <c r="ALB43" s="10"/>
      <c r="ALC43" s="10"/>
      <c r="ALD43" s="10"/>
      <c r="ALE43" s="10"/>
      <c r="ALF43" s="10"/>
      <c r="ALG43" s="10"/>
      <c r="ALH43" s="10"/>
      <c r="ALI43" s="10"/>
      <c r="ALJ43" s="10"/>
      <c r="ALK43" s="10"/>
      <c r="ALL43" s="10"/>
      <c r="ALM43" s="10"/>
      <c r="ALN43" s="10"/>
      <c r="ALO43" s="10"/>
      <c r="ALP43" s="10"/>
      <c r="ALQ43" s="10"/>
      <c r="ALR43" s="10"/>
      <c r="ALS43" s="10"/>
      <c r="ALT43" s="10"/>
      <c r="ALU43" s="10"/>
      <c r="ALV43" s="10"/>
      <c r="ALW43" s="10"/>
      <c r="ALX43" s="10"/>
      <c r="ALY43" s="10"/>
      <c r="ALZ43" s="10"/>
      <c r="AMA43" s="10"/>
      <c r="AMB43" s="10"/>
      <c r="AMC43" s="10"/>
      <c r="AMD43" s="10"/>
      <c r="AME43" s="10"/>
      <c r="AMF43" s="10"/>
      <c r="AMG43" s="10"/>
      <c r="AMH43" s="10"/>
    </row>
    <row r="44" spans="1:1022" s="417" customFormat="1" ht="11.25" x14ac:dyDescent="0.2">
      <c r="A44" s="15" t="s">
        <v>99</v>
      </c>
      <c r="B44" s="10"/>
      <c r="C44" s="15" t="s">
        <v>100</v>
      </c>
      <c r="D44" s="15"/>
      <c r="E44" s="17" t="s">
        <v>101</v>
      </c>
      <c r="F44" s="10"/>
      <c r="G44" s="10"/>
      <c r="H44" s="17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  <c r="PQ44" s="10"/>
      <c r="PR44" s="10"/>
      <c r="PS44" s="10"/>
      <c r="PT44" s="10"/>
      <c r="PU44" s="10"/>
      <c r="PV44" s="10"/>
      <c r="PW44" s="10"/>
      <c r="PX44" s="10"/>
      <c r="PY44" s="10"/>
      <c r="PZ44" s="10"/>
      <c r="QA44" s="10"/>
      <c r="QB44" s="10"/>
      <c r="QC44" s="10"/>
      <c r="QD44" s="10"/>
      <c r="QE44" s="10"/>
      <c r="QF44" s="10"/>
      <c r="QG44" s="10"/>
      <c r="QH44" s="10"/>
      <c r="QI44" s="10"/>
      <c r="QJ44" s="10"/>
      <c r="QK44" s="10"/>
      <c r="QL44" s="10"/>
      <c r="QM44" s="10"/>
      <c r="QN44" s="10"/>
      <c r="QO44" s="10"/>
      <c r="QP44" s="10"/>
      <c r="QQ44" s="10"/>
      <c r="QR44" s="10"/>
      <c r="QS44" s="10"/>
      <c r="QT44" s="10"/>
      <c r="QU44" s="10"/>
      <c r="QV44" s="10"/>
      <c r="QW44" s="10"/>
      <c r="QX44" s="10"/>
      <c r="QY44" s="10"/>
      <c r="QZ44" s="10"/>
      <c r="RA44" s="10"/>
      <c r="RB44" s="10"/>
      <c r="RC44" s="10"/>
      <c r="RD44" s="10"/>
      <c r="RE44" s="10"/>
      <c r="RF44" s="10"/>
      <c r="RG44" s="10"/>
      <c r="RH44" s="10"/>
      <c r="RI44" s="10"/>
      <c r="RJ44" s="10"/>
      <c r="RK44" s="10"/>
      <c r="RL44" s="10"/>
      <c r="RM44" s="10"/>
      <c r="RN44" s="10"/>
      <c r="RO44" s="10"/>
      <c r="RP44" s="10"/>
      <c r="RQ44" s="10"/>
      <c r="RR44" s="10"/>
      <c r="RS44" s="10"/>
      <c r="RT44" s="10"/>
      <c r="RU44" s="10"/>
      <c r="RV44" s="10"/>
      <c r="RW44" s="10"/>
      <c r="RX44" s="10"/>
      <c r="RY44" s="10"/>
      <c r="RZ44" s="10"/>
      <c r="SA44" s="10"/>
      <c r="SB44" s="10"/>
      <c r="SC44" s="10"/>
      <c r="SD44" s="10"/>
      <c r="SE44" s="10"/>
      <c r="SF44" s="10"/>
      <c r="SG44" s="10"/>
      <c r="SH44" s="10"/>
      <c r="SI44" s="10"/>
      <c r="SJ44" s="10"/>
      <c r="SK44" s="10"/>
      <c r="SL44" s="10"/>
      <c r="SM44" s="10"/>
      <c r="SN44" s="10"/>
      <c r="SO44" s="10"/>
      <c r="SP44" s="10"/>
      <c r="SQ44" s="10"/>
      <c r="SR44" s="10"/>
      <c r="SS44" s="10"/>
      <c r="ST44" s="10"/>
      <c r="SU44" s="10"/>
      <c r="SV44" s="10"/>
      <c r="SW44" s="10"/>
      <c r="SX44" s="10"/>
      <c r="SY44" s="10"/>
      <c r="SZ44" s="10"/>
      <c r="TA44" s="10"/>
      <c r="TB44" s="10"/>
      <c r="TC44" s="10"/>
      <c r="TD44" s="10"/>
      <c r="TE44" s="10"/>
      <c r="TF44" s="10"/>
      <c r="TG44" s="10"/>
      <c r="TH44" s="10"/>
      <c r="TI44" s="10"/>
      <c r="TJ44" s="10"/>
      <c r="TK44" s="10"/>
      <c r="TL44" s="10"/>
      <c r="TM44" s="10"/>
      <c r="TN44" s="10"/>
      <c r="TO44" s="10"/>
      <c r="TP44" s="10"/>
      <c r="TQ44" s="10"/>
      <c r="TR44" s="10"/>
      <c r="TS44" s="10"/>
      <c r="TT44" s="10"/>
      <c r="TU44" s="10"/>
      <c r="TV44" s="10"/>
      <c r="TW44" s="10"/>
      <c r="TX44" s="10"/>
      <c r="TY44" s="10"/>
      <c r="TZ44" s="10"/>
      <c r="UA44" s="10"/>
      <c r="UB44" s="10"/>
      <c r="UC44" s="10"/>
      <c r="UD44" s="10"/>
      <c r="UE44" s="10"/>
      <c r="UF44" s="10"/>
      <c r="UG44" s="10"/>
      <c r="UH44" s="10"/>
      <c r="UI44" s="10"/>
      <c r="UJ44" s="10"/>
      <c r="UK44" s="10"/>
      <c r="UL44" s="10"/>
      <c r="UM44" s="10"/>
      <c r="UN44" s="10"/>
      <c r="UO44" s="10"/>
      <c r="UP44" s="10"/>
      <c r="UQ44" s="10"/>
      <c r="UR44" s="10"/>
      <c r="US44" s="10"/>
      <c r="UT44" s="10"/>
      <c r="UU44" s="10"/>
      <c r="UV44" s="10"/>
      <c r="UW44" s="10"/>
      <c r="UX44" s="10"/>
      <c r="UY44" s="10"/>
      <c r="UZ44" s="10"/>
      <c r="VA44" s="10"/>
      <c r="VB44" s="10"/>
      <c r="VC44" s="10"/>
      <c r="VD44" s="10"/>
      <c r="VE44" s="10"/>
      <c r="VF44" s="10"/>
      <c r="VG44" s="10"/>
      <c r="VH44" s="10"/>
      <c r="VI44" s="10"/>
      <c r="VJ44" s="10"/>
      <c r="VK44" s="10"/>
      <c r="VL44" s="10"/>
      <c r="VM44" s="10"/>
      <c r="VN44" s="10"/>
      <c r="VO44" s="10"/>
      <c r="VP44" s="10"/>
      <c r="VQ44" s="10"/>
      <c r="VR44" s="10"/>
      <c r="VS44" s="10"/>
      <c r="VT44" s="10"/>
      <c r="VU44" s="10"/>
      <c r="VV44" s="10"/>
      <c r="VW44" s="10"/>
      <c r="VX44" s="10"/>
      <c r="VY44" s="10"/>
      <c r="VZ44" s="10"/>
      <c r="WA44" s="10"/>
      <c r="WB44" s="10"/>
      <c r="WC44" s="10"/>
      <c r="WD44" s="10"/>
      <c r="WE44" s="10"/>
      <c r="WF44" s="10"/>
      <c r="WG44" s="10"/>
      <c r="WH44" s="10"/>
      <c r="WI44" s="10"/>
      <c r="WJ44" s="10"/>
      <c r="WK44" s="10"/>
      <c r="WL44" s="10"/>
      <c r="WM44" s="10"/>
      <c r="WN44" s="10"/>
      <c r="WO44" s="10"/>
      <c r="WP44" s="10"/>
      <c r="WQ44" s="10"/>
      <c r="WR44" s="10"/>
      <c r="WS44" s="10"/>
      <c r="WT44" s="10"/>
      <c r="WU44" s="10"/>
      <c r="WV44" s="10"/>
      <c r="WW44" s="10"/>
      <c r="WX44" s="10"/>
      <c r="WY44" s="10"/>
      <c r="WZ44" s="10"/>
      <c r="XA44" s="10"/>
      <c r="XB44" s="10"/>
      <c r="XC44" s="10"/>
      <c r="XD44" s="10"/>
      <c r="XE44" s="10"/>
      <c r="XF44" s="10"/>
      <c r="XG44" s="10"/>
      <c r="XH44" s="10"/>
      <c r="XI44" s="10"/>
      <c r="XJ44" s="10"/>
      <c r="XK44" s="10"/>
      <c r="XL44" s="10"/>
      <c r="XM44" s="10"/>
      <c r="XN44" s="10"/>
      <c r="XO44" s="10"/>
      <c r="XP44" s="10"/>
      <c r="XQ44" s="10"/>
      <c r="XR44" s="10"/>
      <c r="XS44" s="10"/>
      <c r="XT44" s="10"/>
      <c r="XU44" s="10"/>
      <c r="XV44" s="10"/>
      <c r="XW44" s="10"/>
      <c r="XX44" s="10"/>
      <c r="XY44" s="10"/>
      <c r="XZ44" s="10"/>
      <c r="YA44" s="10"/>
      <c r="YB44" s="10"/>
      <c r="YC44" s="10"/>
      <c r="YD44" s="10"/>
      <c r="YE44" s="10"/>
      <c r="YF44" s="10"/>
      <c r="YG44" s="10"/>
      <c r="YH44" s="10"/>
      <c r="YI44" s="10"/>
      <c r="YJ44" s="10"/>
      <c r="YK44" s="10"/>
      <c r="YL44" s="10"/>
      <c r="YM44" s="10"/>
      <c r="YN44" s="10"/>
      <c r="YO44" s="10"/>
      <c r="YP44" s="10"/>
      <c r="YQ44" s="10"/>
      <c r="YR44" s="10"/>
      <c r="YS44" s="10"/>
      <c r="YT44" s="10"/>
      <c r="YU44" s="10"/>
      <c r="YV44" s="10"/>
      <c r="YW44" s="10"/>
      <c r="YX44" s="10"/>
      <c r="YY44" s="10"/>
      <c r="YZ44" s="10"/>
      <c r="ZA44" s="10"/>
      <c r="ZB44" s="10"/>
      <c r="ZC44" s="10"/>
      <c r="ZD44" s="10"/>
      <c r="ZE44" s="10"/>
      <c r="ZF44" s="10"/>
      <c r="ZG44" s="10"/>
      <c r="ZH44" s="10"/>
      <c r="ZI44" s="10"/>
      <c r="ZJ44" s="10"/>
      <c r="ZK44" s="10"/>
      <c r="ZL44" s="10"/>
      <c r="ZM44" s="10"/>
      <c r="ZN44" s="10"/>
      <c r="ZO44" s="10"/>
      <c r="ZP44" s="10"/>
      <c r="ZQ44" s="10"/>
      <c r="ZR44" s="10"/>
      <c r="ZS44" s="10"/>
      <c r="ZT44" s="10"/>
      <c r="ZU44" s="10"/>
      <c r="ZV44" s="10"/>
      <c r="ZW44" s="10"/>
      <c r="ZX44" s="10"/>
      <c r="ZY44" s="10"/>
      <c r="ZZ44" s="10"/>
      <c r="AAA44" s="10"/>
      <c r="AAB44" s="10"/>
      <c r="AAC44" s="10"/>
      <c r="AAD44" s="10"/>
      <c r="AAE44" s="10"/>
      <c r="AAF44" s="10"/>
      <c r="AAG44" s="10"/>
      <c r="AAH44" s="10"/>
      <c r="AAI44" s="10"/>
      <c r="AAJ44" s="10"/>
      <c r="AAK44" s="10"/>
      <c r="AAL44" s="10"/>
      <c r="AAM44" s="10"/>
      <c r="AAN44" s="10"/>
      <c r="AAO44" s="10"/>
      <c r="AAP44" s="10"/>
      <c r="AAQ44" s="10"/>
      <c r="AAR44" s="10"/>
      <c r="AAS44" s="10"/>
      <c r="AAT44" s="10"/>
      <c r="AAU44" s="10"/>
      <c r="AAV44" s="10"/>
      <c r="AAW44" s="10"/>
      <c r="AAX44" s="10"/>
      <c r="AAY44" s="10"/>
      <c r="AAZ44" s="10"/>
      <c r="ABA44" s="10"/>
      <c r="ABB44" s="10"/>
      <c r="ABC44" s="10"/>
      <c r="ABD44" s="10"/>
      <c r="ABE44" s="10"/>
      <c r="ABF44" s="10"/>
      <c r="ABG44" s="10"/>
      <c r="ABH44" s="10"/>
      <c r="ABI44" s="10"/>
      <c r="ABJ44" s="10"/>
      <c r="ABK44" s="10"/>
      <c r="ABL44" s="10"/>
      <c r="ABM44" s="10"/>
      <c r="ABN44" s="10"/>
      <c r="ABO44" s="10"/>
      <c r="ABP44" s="10"/>
      <c r="ABQ44" s="10"/>
      <c r="ABR44" s="10"/>
      <c r="ABS44" s="10"/>
      <c r="ABT44" s="10"/>
      <c r="ABU44" s="10"/>
      <c r="ABV44" s="10"/>
      <c r="ABW44" s="10"/>
      <c r="ABX44" s="10"/>
      <c r="ABY44" s="10"/>
      <c r="ABZ44" s="10"/>
      <c r="ACA44" s="10"/>
      <c r="ACB44" s="10"/>
      <c r="ACC44" s="10"/>
      <c r="ACD44" s="10"/>
      <c r="ACE44" s="10"/>
      <c r="ACF44" s="10"/>
      <c r="ACG44" s="10"/>
      <c r="ACH44" s="10"/>
      <c r="ACI44" s="10"/>
      <c r="ACJ44" s="10"/>
      <c r="ACK44" s="10"/>
      <c r="ACL44" s="10"/>
      <c r="ACM44" s="10"/>
      <c r="ACN44" s="10"/>
      <c r="ACO44" s="10"/>
      <c r="ACP44" s="10"/>
      <c r="ACQ44" s="10"/>
      <c r="ACR44" s="10"/>
      <c r="ACS44" s="10"/>
      <c r="ACT44" s="10"/>
      <c r="ACU44" s="10"/>
      <c r="ACV44" s="10"/>
      <c r="ACW44" s="10"/>
      <c r="ACX44" s="10"/>
      <c r="ACY44" s="10"/>
      <c r="ACZ44" s="10"/>
      <c r="ADA44" s="10"/>
      <c r="ADB44" s="10"/>
      <c r="ADC44" s="10"/>
      <c r="ADD44" s="10"/>
      <c r="ADE44" s="10"/>
      <c r="ADF44" s="10"/>
      <c r="ADG44" s="10"/>
      <c r="ADH44" s="10"/>
      <c r="ADI44" s="10"/>
      <c r="ADJ44" s="10"/>
      <c r="ADK44" s="10"/>
      <c r="ADL44" s="10"/>
      <c r="ADM44" s="10"/>
      <c r="ADN44" s="10"/>
      <c r="ADO44" s="10"/>
      <c r="ADP44" s="10"/>
      <c r="ADQ44" s="10"/>
      <c r="ADR44" s="10"/>
      <c r="ADS44" s="10"/>
      <c r="ADT44" s="10"/>
      <c r="ADU44" s="10"/>
      <c r="ADV44" s="10"/>
      <c r="ADW44" s="10"/>
      <c r="ADX44" s="10"/>
      <c r="ADY44" s="10"/>
      <c r="ADZ44" s="10"/>
      <c r="AEA44" s="10"/>
      <c r="AEB44" s="10"/>
      <c r="AEC44" s="10"/>
      <c r="AED44" s="10"/>
      <c r="AEE44" s="10"/>
      <c r="AEF44" s="10"/>
      <c r="AEG44" s="10"/>
      <c r="AEH44" s="10"/>
      <c r="AEI44" s="10"/>
      <c r="AEJ44" s="10"/>
      <c r="AEK44" s="10"/>
      <c r="AEL44" s="10"/>
      <c r="AEM44" s="10"/>
      <c r="AEN44" s="10"/>
      <c r="AEO44" s="10"/>
      <c r="AEP44" s="10"/>
      <c r="AEQ44" s="10"/>
      <c r="AER44" s="10"/>
      <c r="AES44" s="10"/>
      <c r="AET44" s="10"/>
      <c r="AEU44" s="10"/>
      <c r="AEV44" s="10"/>
      <c r="AEW44" s="10"/>
      <c r="AEX44" s="10"/>
      <c r="AEY44" s="10"/>
      <c r="AEZ44" s="10"/>
      <c r="AFA44" s="10"/>
      <c r="AFB44" s="10"/>
      <c r="AFC44" s="10"/>
      <c r="AFD44" s="10"/>
      <c r="AFE44" s="10"/>
      <c r="AFF44" s="10"/>
      <c r="AFG44" s="10"/>
      <c r="AFH44" s="10"/>
      <c r="AFI44" s="10"/>
      <c r="AFJ44" s="10"/>
      <c r="AFK44" s="10"/>
      <c r="AFL44" s="10"/>
      <c r="AFM44" s="10"/>
      <c r="AFN44" s="10"/>
      <c r="AFO44" s="10"/>
      <c r="AFP44" s="10"/>
      <c r="AFQ44" s="10"/>
      <c r="AFR44" s="10"/>
      <c r="AFS44" s="10"/>
      <c r="AFT44" s="10"/>
      <c r="AFU44" s="10"/>
      <c r="AFV44" s="10"/>
      <c r="AFW44" s="10"/>
      <c r="AFX44" s="10"/>
      <c r="AFY44" s="10"/>
      <c r="AFZ44" s="10"/>
      <c r="AGA44" s="10"/>
      <c r="AGB44" s="10"/>
      <c r="AGC44" s="10"/>
      <c r="AGD44" s="10"/>
      <c r="AGE44" s="10"/>
      <c r="AGF44" s="10"/>
      <c r="AGG44" s="10"/>
      <c r="AGH44" s="10"/>
      <c r="AGI44" s="10"/>
      <c r="AGJ44" s="10"/>
      <c r="AGK44" s="10"/>
      <c r="AGL44" s="10"/>
      <c r="AGM44" s="10"/>
      <c r="AGN44" s="10"/>
      <c r="AGO44" s="10"/>
      <c r="AGP44" s="10"/>
      <c r="AGQ44" s="10"/>
      <c r="AGR44" s="10"/>
      <c r="AGS44" s="10"/>
      <c r="AGT44" s="10"/>
      <c r="AGU44" s="10"/>
      <c r="AGV44" s="10"/>
      <c r="AGW44" s="10"/>
      <c r="AGX44" s="10"/>
      <c r="AGY44" s="10"/>
      <c r="AGZ44" s="10"/>
      <c r="AHA44" s="10"/>
      <c r="AHB44" s="10"/>
      <c r="AHC44" s="10"/>
      <c r="AHD44" s="10"/>
      <c r="AHE44" s="10"/>
      <c r="AHF44" s="10"/>
      <c r="AHG44" s="10"/>
      <c r="AHH44" s="10"/>
      <c r="AHI44" s="10"/>
      <c r="AHJ44" s="10"/>
      <c r="AHK44" s="10"/>
      <c r="AHL44" s="10"/>
      <c r="AHM44" s="10"/>
      <c r="AHN44" s="10"/>
      <c r="AHO44" s="10"/>
      <c r="AHP44" s="10"/>
      <c r="AHQ44" s="10"/>
      <c r="AHR44" s="10"/>
      <c r="AHS44" s="10"/>
      <c r="AHT44" s="10"/>
      <c r="AHU44" s="10"/>
      <c r="AHV44" s="10"/>
      <c r="AHW44" s="10"/>
      <c r="AHX44" s="10"/>
      <c r="AHY44" s="10"/>
      <c r="AHZ44" s="10"/>
      <c r="AIA44" s="10"/>
      <c r="AIB44" s="10"/>
      <c r="AIC44" s="10"/>
      <c r="AID44" s="10"/>
      <c r="AIE44" s="10"/>
      <c r="AIF44" s="10"/>
      <c r="AIG44" s="10"/>
      <c r="AIH44" s="10"/>
      <c r="AII44" s="10"/>
      <c r="AIJ44" s="10"/>
      <c r="AIK44" s="10"/>
      <c r="AIL44" s="10"/>
      <c r="AIM44" s="10"/>
      <c r="AIN44" s="10"/>
      <c r="AIO44" s="10"/>
      <c r="AIP44" s="10"/>
      <c r="AIQ44" s="10"/>
      <c r="AIR44" s="10"/>
      <c r="AIS44" s="10"/>
      <c r="AIT44" s="10"/>
      <c r="AIU44" s="10"/>
      <c r="AIV44" s="10"/>
      <c r="AIW44" s="10"/>
      <c r="AIX44" s="10"/>
      <c r="AIY44" s="10"/>
      <c r="AIZ44" s="10"/>
      <c r="AJA44" s="10"/>
      <c r="AJB44" s="10"/>
      <c r="AJC44" s="10"/>
      <c r="AJD44" s="10"/>
      <c r="AJE44" s="10"/>
      <c r="AJF44" s="10"/>
      <c r="AJG44" s="10"/>
      <c r="AJH44" s="10"/>
      <c r="AJI44" s="10"/>
      <c r="AJJ44" s="10"/>
      <c r="AJK44" s="10"/>
      <c r="AJL44" s="10"/>
      <c r="AJM44" s="10"/>
      <c r="AJN44" s="10"/>
      <c r="AJO44" s="10"/>
      <c r="AJP44" s="10"/>
      <c r="AJQ44" s="10"/>
      <c r="AJR44" s="10"/>
      <c r="AJS44" s="10"/>
      <c r="AJT44" s="10"/>
      <c r="AJU44" s="10"/>
      <c r="AJV44" s="10"/>
      <c r="AJW44" s="10"/>
      <c r="AJX44" s="10"/>
      <c r="AJY44" s="10"/>
      <c r="AJZ44" s="10"/>
      <c r="AKA44" s="10"/>
      <c r="AKB44" s="10"/>
      <c r="AKC44" s="10"/>
      <c r="AKD44" s="10"/>
      <c r="AKE44" s="10"/>
      <c r="AKF44" s="10"/>
      <c r="AKG44" s="10"/>
      <c r="AKH44" s="10"/>
      <c r="AKI44" s="10"/>
      <c r="AKJ44" s="10"/>
      <c r="AKK44" s="10"/>
      <c r="AKL44" s="10"/>
      <c r="AKM44" s="10"/>
      <c r="AKN44" s="10"/>
      <c r="AKO44" s="10"/>
      <c r="AKP44" s="10"/>
      <c r="AKQ44" s="10"/>
      <c r="AKR44" s="10"/>
      <c r="AKS44" s="10"/>
      <c r="AKT44" s="10"/>
      <c r="AKU44" s="10"/>
      <c r="AKV44" s="10"/>
      <c r="AKW44" s="10"/>
      <c r="AKX44" s="10"/>
      <c r="AKY44" s="10"/>
      <c r="AKZ44" s="10"/>
      <c r="ALA44" s="10"/>
      <c r="ALB44" s="10"/>
      <c r="ALC44" s="10"/>
      <c r="ALD44" s="10"/>
      <c r="ALE44" s="10"/>
      <c r="ALF44" s="10"/>
      <c r="ALG44" s="10"/>
      <c r="ALH44" s="10"/>
      <c r="ALI44" s="10"/>
      <c r="ALJ44" s="10"/>
      <c r="ALK44" s="10"/>
      <c r="ALL44" s="10"/>
      <c r="ALM44" s="10"/>
      <c r="ALN44" s="10"/>
      <c r="ALO44" s="10"/>
      <c r="ALP44" s="10"/>
      <c r="ALQ44" s="10"/>
      <c r="ALR44" s="10"/>
      <c r="ALS44" s="10"/>
      <c r="ALT44" s="10"/>
      <c r="ALU44" s="10"/>
      <c r="ALV44" s="10"/>
      <c r="ALW44" s="10"/>
      <c r="ALX44" s="10"/>
      <c r="ALY44" s="10"/>
      <c r="ALZ44" s="10"/>
      <c r="AMA44" s="10"/>
      <c r="AMB44" s="10"/>
      <c r="AMC44" s="10"/>
      <c r="AMD44" s="10"/>
      <c r="AME44" s="10"/>
      <c r="AMF44" s="10"/>
      <c r="AMG44" s="10"/>
      <c r="AMH44" s="10"/>
    </row>
    <row r="45" spans="1:1022" s="417" customFormat="1" ht="11.25" x14ac:dyDescent="0.2">
      <c r="A45" s="22" t="s">
        <v>1459</v>
      </c>
      <c r="B45" s="10"/>
      <c r="C45" s="22" t="s">
        <v>1460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  <c r="PQ45" s="10"/>
      <c r="PR45" s="10"/>
      <c r="PS45" s="10"/>
      <c r="PT45" s="10"/>
      <c r="PU45" s="10"/>
      <c r="PV45" s="10"/>
      <c r="PW45" s="10"/>
      <c r="PX45" s="10"/>
      <c r="PY45" s="10"/>
      <c r="PZ45" s="10"/>
      <c r="QA45" s="10"/>
      <c r="QB45" s="10"/>
      <c r="QC45" s="10"/>
      <c r="QD45" s="10"/>
      <c r="QE45" s="10"/>
      <c r="QF45" s="10"/>
      <c r="QG45" s="10"/>
      <c r="QH45" s="10"/>
      <c r="QI45" s="10"/>
      <c r="QJ45" s="10"/>
      <c r="QK45" s="10"/>
      <c r="QL45" s="10"/>
      <c r="QM45" s="10"/>
      <c r="QN45" s="10"/>
      <c r="QO45" s="10"/>
      <c r="QP45" s="10"/>
      <c r="QQ45" s="10"/>
      <c r="QR45" s="10"/>
      <c r="QS45" s="10"/>
      <c r="QT45" s="10"/>
      <c r="QU45" s="10"/>
      <c r="QV45" s="10"/>
      <c r="QW45" s="10"/>
      <c r="QX45" s="10"/>
      <c r="QY45" s="10"/>
      <c r="QZ45" s="10"/>
      <c r="RA45" s="10"/>
      <c r="RB45" s="10"/>
      <c r="RC45" s="10"/>
      <c r="RD45" s="10"/>
      <c r="RE45" s="10"/>
      <c r="RF45" s="10"/>
      <c r="RG45" s="10"/>
      <c r="RH45" s="10"/>
      <c r="RI45" s="10"/>
      <c r="RJ45" s="10"/>
      <c r="RK45" s="10"/>
      <c r="RL45" s="10"/>
      <c r="RM45" s="10"/>
      <c r="RN45" s="10"/>
      <c r="RO45" s="10"/>
      <c r="RP45" s="10"/>
      <c r="RQ45" s="10"/>
      <c r="RR45" s="10"/>
      <c r="RS45" s="10"/>
      <c r="RT45" s="10"/>
      <c r="RU45" s="10"/>
      <c r="RV45" s="10"/>
      <c r="RW45" s="10"/>
      <c r="RX45" s="10"/>
      <c r="RY45" s="10"/>
      <c r="RZ45" s="10"/>
      <c r="SA45" s="10"/>
      <c r="SB45" s="10"/>
      <c r="SC45" s="10"/>
      <c r="SD45" s="10"/>
      <c r="SE45" s="10"/>
      <c r="SF45" s="10"/>
      <c r="SG45" s="10"/>
      <c r="SH45" s="10"/>
      <c r="SI45" s="10"/>
      <c r="SJ45" s="10"/>
      <c r="SK45" s="10"/>
      <c r="SL45" s="10"/>
      <c r="SM45" s="10"/>
      <c r="SN45" s="10"/>
      <c r="SO45" s="10"/>
      <c r="SP45" s="10"/>
      <c r="SQ45" s="10"/>
      <c r="SR45" s="10"/>
      <c r="SS45" s="10"/>
      <c r="ST45" s="10"/>
      <c r="SU45" s="10"/>
      <c r="SV45" s="10"/>
      <c r="SW45" s="10"/>
      <c r="SX45" s="10"/>
      <c r="SY45" s="10"/>
      <c r="SZ45" s="10"/>
      <c r="TA45" s="10"/>
      <c r="TB45" s="10"/>
      <c r="TC45" s="10"/>
      <c r="TD45" s="10"/>
      <c r="TE45" s="10"/>
      <c r="TF45" s="10"/>
      <c r="TG45" s="10"/>
      <c r="TH45" s="10"/>
      <c r="TI45" s="10"/>
      <c r="TJ45" s="10"/>
      <c r="TK45" s="10"/>
      <c r="TL45" s="10"/>
      <c r="TM45" s="10"/>
      <c r="TN45" s="10"/>
      <c r="TO45" s="10"/>
      <c r="TP45" s="10"/>
      <c r="TQ45" s="10"/>
      <c r="TR45" s="10"/>
      <c r="TS45" s="10"/>
      <c r="TT45" s="10"/>
      <c r="TU45" s="10"/>
      <c r="TV45" s="10"/>
      <c r="TW45" s="10"/>
      <c r="TX45" s="10"/>
      <c r="TY45" s="10"/>
      <c r="TZ45" s="10"/>
      <c r="UA45" s="10"/>
      <c r="UB45" s="10"/>
      <c r="UC45" s="10"/>
      <c r="UD45" s="10"/>
      <c r="UE45" s="10"/>
      <c r="UF45" s="10"/>
      <c r="UG45" s="10"/>
      <c r="UH45" s="10"/>
      <c r="UI45" s="10"/>
      <c r="UJ45" s="10"/>
      <c r="UK45" s="10"/>
      <c r="UL45" s="10"/>
      <c r="UM45" s="10"/>
      <c r="UN45" s="10"/>
      <c r="UO45" s="10"/>
      <c r="UP45" s="10"/>
      <c r="UQ45" s="10"/>
      <c r="UR45" s="10"/>
      <c r="US45" s="10"/>
      <c r="UT45" s="10"/>
      <c r="UU45" s="10"/>
      <c r="UV45" s="10"/>
      <c r="UW45" s="10"/>
      <c r="UX45" s="10"/>
      <c r="UY45" s="10"/>
      <c r="UZ45" s="10"/>
      <c r="VA45" s="10"/>
      <c r="VB45" s="10"/>
      <c r="VC45" s="10"/>
      <c r="VD45" s="10"/>
      <c r="VE45" s="10"/>
      <c r="VF45" s="10"/>
      <c r="VG45" s="10"/>
      <c r="VH45" s="10"/>
      <c r="VI45" s="10"/>
      <c r="VJ45" s="10"/>
      <c r="VK45" s="10"/>
      <c r="VL45" s="10"/>
      <c r="VM45" s="10"/>
      <c r="VN45" s="10"/>
      <c r="VO45" s="10"/>
      <c r="VP45" s="10"/>
      <c r="VQ45" s="10"/>
      <c r="VR45" s="10"/>
      <c r="VS45" s="10"/>
      <c r="VT45" s="10"/>
      <c r="VU45" s="10"/>
      <c r="VV45" s="10"/>
      <c r="VW45" s="10"/>
      <c r="VX45" s="10"/>
      <c r="VY45" s="10"/>
      <c r="VZ45" s="10"/>
      <c r="WA45" s="10"/>
      <c r="WB45" s="10"/>
      <c r="WC45" s="10"/>
      <c r="WD45" s="10"/>
      <c r="WE45" s="10"/>
      <c r="WF45" s="10"/>
      <c r="WG45" s="10"/>
      <c r="WH45" s="10"/>
      <c r="WI45" s="10"/>
      <c r="WJ45" s="10"/>
      <c r="WK45" s="10"/>
      <c r="WL45" s="10"/>
      <c r="WM45" s="10"/>
      <c r="WN45" s="10"/>
      <c r="WO45" s="10"/>
      <c r="WP45" s="10"/>
      <c r="WQ45" s="10"/>
      <c r="WR45" s="10"/>
      <c r="WS45" s="10"/>
      <c r="WT45" s="10"/>
      <c r="WU45" s="10"/>
      <c r="WV45" s="10"/>
      <c r="WW45" s="10"/>
      <c r="WX45" s="10"/>
      <c r="WY45" s="10"/>
      <c r="WZ45" s="10"/>
      <c r="XA45" s="10"/>
      <c r="XB45" s="10"/>
      <c r="XC45" s="10"/>
      <c r="XD45" s="10"/>
      <c r="XE45" s="10"/>
      <c r="XF45" s="10"/>
      <c r="XG45" s="10"/>
      <c r="XH45" s="10"/>
      <c r="XI45" s="10"/>
      <c r="XJ45" s="10"/>
      <c r="XK45" s="10"/>
      <c r="XL45" s="10"/>
      <c r="XM45" s="10"/>
      <c r="XN45" s="10"/>
      <c r="XO45" s="10"/>
      <c r="XP45" s="10"/>
      <c r="XQ45" s="10"/>
      <c r="XR45" s="10"/>
      <c r="XS45" s="10"/>
      <c r="XT45" s="10"/>
      <c r="XU45" s="10"/>
      <c r="XV45" s="10"/>
      <c r="XW45" s="10"/>
      <c r="XX45" s="10"/>
      <c r="XY45" s="10"/>
      <c r="XZ45" s="10"/>
      <c r="YA45" s="10"/>
      <c r="YB45" s="10"/>
      <c r="YC45" s="10"/>
      <c r="YD45" s="10"/>
      <c r="YE45" s="10"/>
      <c r="YF45" s="10"/>
      <c r="YG45" s="10"/>
      <c r="YH45" s="10"/>
      <c r="YI45" s="10"/>
      <c r="YJ45" s="10"/>
      <c r="YK45" s="10"/>
      <c r="YL45" s="10"/>
      <c r="YM45" s="10"/>
      <c r="YN45" s="10"/>
      <c r="YO45" s="10"/>
      <c r="YP45" s="10"/>
      <c r="YQ45" s="10"/>
      <c r="YR45" s="10"/>
      <c r="YS45" s="10"/>
      <c r="YT45" s="10"/>
      <c r="YU45" s="10"/>
      <c r="YV45" s="10"/>
      <c r="YW45" s="10"/>
      <c r="YX45" s="10"/>
      <c r="YY45" s="10"/>
      <c r="YZ45" s="10"/>
      <c r="ZA45" s="10"/>
      <c r="ZB45" s="10"/>
      <c r="ZC45" s="10"/>
      <c r="ZD45" s="10"/>
      <c r="ZE45" s="10"/>
      <c r="ZF45" s="10"/>
      <c r="ZG45" s="10"/>
      <c r="ZH45" s="10"/>
      <c r="ZI45" s="10"/>
      <c r="ZJ45" s="10"/>
      <c r="ZK45" s="10"/>
      <c r="ZL45" s="10"/>
      <c r="ZM45" s="10"/>
      <c r="ZN45" s="10"/>
      <c r="ZO45" s="10"/>
      <c r="ZP45" s="10"/>
      <c r="ZQ45" s="10"/>
      <c r="ZR45" s="10"/>
      <c r="ZS45" s="10"/>
      <c r="ZT45" s="10"/>
      <c r="ZU45" s="10"/>
      <c r="ZV45" s="10"/>
      <c r="ZW45" s="10"/>
      <c r="ZX45" s="10"/>
      <c r="ZY45" s="10"/>
      <c r="ZZ45" s="10"/>
      <c r="AAA45" s="10"/>
      <c r="AAB45" s="10"/>
      <c r="AAC45" s="10"/>
      <c r="AAD45" s="10"/>
      <c r="AAE45" s="10"/>
      <c r="AAF45" s="10"/>
      <c r="AAG45" s="10"/>
      <c r="AAH45" s="10"/>
      <c r="AAI45" s="10"/>
      <c r="AAJ45" s="10"/>
      <c r="AAK45" s="10"/>
      <c r="AAL45" s="10"/>
      <c r="AAM45" s="10"/>
      <c r="AAN45" s="10"/>
      <c r="AAO45" s="10"/>
      <c r="AAP45" s="10"/>
      <c r="AAQ45" s="10"/>
      <c r="AAR45" s="10"/>
      <c r="AAS45" s="10"/>
      <c r="AAT45" s="10"/>
      <c r="AAU45" s="10"/>
      <c r="AAV45" s="10"/>
      <c r="AAW45" s="10"/>
      <c r="AAX45" s="10"/>
      <c r="AAY45" s="10"/>
      <c r="AAZ45" s="10"/>
      <c r="ABA45" s="10"/>
      <c r="ABB45" s="10"/>
      <c r="ABC45" s="10"/>
      <c r="ABD45" s="10"/>
      <c r="ABE45" s="10"/>
      <c r="ABF45" s="10"/>
      <c r="ABG45" s="10"/>
      <c r="ABH45" s="10"/>
      <c r="ABI45" s="10"/>
      <c r="ABJ45" s="10"/>
      <c r="ABK45" s="10"/>
      <c r="ABL45" s="10"/>
      <c r="ABM45" s="10"/>
      <c r="ABN45" s="10"/>
      <c r="ABO45" s="10"/>
      <c r="ABP45" s="10"/>
      <c r="ABQ45" s="10"/>
      <c r="ABR45" s="10"/>
      <c r="ABS45" s="10"/>
      <c r="ABT45" s="10"/>
      <c r="ABU45" s="10"/>
      <c r="ABV45" s="10"/>
      <c r="ABW45" s="10"/>
      <c r="ABX45" s="10"/>
      <c r="ABY45" s="10"/>
      <c r="ABZ45" s="10"/>
      <c r="ACA45" s="10"/>
      <c r="ACB45" s="10"/>
      <c r="ACC45" s="10"/>
      <c r="ACD45" s="10"/>
      <c r="ACE45" s="10"/>
      <c r="ACF45" s="10"/>
      <c r="ACG45" s="10"/>
      <c r="ACH45" s="10"/>
      <c r="ACI45" s="10"/>
      <c r="ACJ45" s="10"/>
      <c r="ACK45" s="10"/>
      <c r="ACL45" s="10"/>
      <c r="ACM45" s="10"/>
      <c r="ACN45" s="10"/>
      <c r="ACO45" s="10"/>
      <c r="ACP45" s="10"/>
      <c r="ACQ45" s="10"/>
      <c r="ACR45" s="10"/>
      <c r="ACS45" s="10"/>
      <c r="ACT45" s="10"/>
      <c r="ACU45" s="10"/>
      <c r="ACV45" s="10"/>
      <c r="ACW45" s="10"/>
      <c r="ACX45" s="10"/>
      <c r="ACY45" s="10"/>
      <c r="ACZ45" s="10"/>
      <c r="ADA45" s="10"/>
      <c r="ADB45" s="10"/>
      <c r="ADC45" s="10"/>
      <c r="ADD45" s="10"/>
      <c r="ADE45" s="10"/>
      <c r="ADF45" s="10"/>
      <c r="ADG45" s="10"/>
      <c r="ADH45" s="10"/>
      <c r="ADI45" s="10"/>
      <c r="ADJ45" s="10"/>
      <c r="ADK45" s="10"/>
      <c r="ADL45" s="10"/>
      <c r="ADM45" s="10"/>
      <c r="ADN45" s="10"/>
      <c r="ADO45" s="10"/>
      <c r="ADP45" s="10"/>
      <c r="ADQ45" s="10"/>
      <c r="ADR45" s="10"/>
      <c r="ADS45" s="10"/>
      <c r="ADT45" s="10"/>
      <c r="ADU45" s="10"/>
      <c r="ADV45" s="10"/>
      <c r="ADW45" s="10"/>
      <c r="ADX45" s="10"/>
      <c r="ADY45" s="10"/>
      <c r="ADZ45" s="10"/>
      <c r="AEA45" s="10"/>
      <c r="AEB45" s="10"/>
      <c r="AEC45" s="10"/>
      <c r="AED45" s="10"/>
      <c r="AEE45" s="10"/>
      <c r="AEF45" s="10"/>
      <c r="AEG45" s="10"/>
      <c r="AEH45" s="10"/>
      <c r="AEI45" s="10"/>
      <c r="AEJ45" s="10"/>
      <c r="AEK45" s="10"/>
      <c r="AEL45" s="10"/>
      <c r="AEM45" s="10"/>
      <c r="AEN45" s="10"/>
      <c r="AEO45" s="10"/>
      <c r="AEP45" s="10"/>
      <c r="AEQ45" s="10"/>
      <c r="AER45" s="10"/>
      <c r="AES45" s="10"/>
      <c r="AET45" s="10"/>
      <c r="AEU45" s="10"/>
      <c r="AEV45" s="10"/>
      <c r="AEW45" s="10"/>
      <c r="AEX45" s="10"/>
      <c r="AEY45" s="10"/>
      <c r="AEZ45" s="10"/>
      <c r="AFA45" s="10"/>
      <c r="AFB45" s="10"/>
      <c r="AFC45" s="10"/>
      <c r="AFD45" s="10"/>
      <c r="AFE45" s="10"/>
      <c r="AFF45" s="10"/>
      <c r="AFG45" s="10"/>
      <c r="AFH45" s="10"/>
      <c r="AFI45" s="10"/>
      <c r="AFJ45" s="10"/>
      <c r="AFK45" s="10"/>
      <c r="AFL45" s="10"/>
      <c r="AFM45" s="10"/>
      <c r="AFN45" s="10"/>
      <c r="AFO45" s="10"/>
      <c r="AFP45" s="10"/>
      <c r="AFQ45" s="10"/>
      <c r="AFR45" s="10"/>
      <c r="AFS45" s="10"/>
      <c r="AFT45" s="10"/>
      <c r="AFU45" s="10"/>
      <c r="AFV45" s="10"/>
      <c r="AFW45" s="10"/>
      <c r="AFX45" s="10"/>
      <c r="AFY45" s="10"/>
      <c r="AFZ45" s="10"/>
      <c r="AGA45" s="10"/>
      <c r="AGB45" s="10"/>
      <c r="AGC45" s="10"/>
      <c r="AGD45" s="10"/>
      <c r="AGE45" s="10"/>
      <c r="AGF45" s="10"/>
      <c r="AGG45" s="10"/>
      <c r="AGH45" s="10"/>
      <c r="AGI45" s="10"/>
      <c r="AGJ45" s="10"/>
      <c r="AGK45" s="10"/>
      <c r="AGL45" s="10"/>
      <c r="AGM45" s="10"/>
      <c r="AGN45" s="10"/>
      <c r="AGO45" s="10"/>
      <c r="AGP45" s="10"/>
      <c r="AGQ45" s="10"/>
      <c r="AGR45" s="10"/>
      <c r="AGS45" s="10"/>
      <c r="AGT45" s="10"/>
      <c r="AGU45" s="10"/>
      <c r="AGV45" s="10"/>
      <c r="AGW45" s="10"/>
      <c r="AGX45" s="10"/>
      <c r="AGY45" s="10"/>
      <c r="AGZ45" s="10"/>
      <c r="AHA45" s="10"/>
      <c r="AHB45" s="10"/>
      <c r="AHC45" s="10"/>
      <c r="AHD45" s="10"/>
      <c r="AHE45" s="10"/>
      <c r="AHF45" s="10"/>
      <c r="AHG45" s="10"/>
      <c r="AHH45" s="10"/>
      <c r="AHI45" s="10"/>
      <c r="AHJ45" s="10"/>
      <c r="AHK45" s="10"/>
      <c r="AHL45" s="10"/>
      <c r="AHM45" s="10"/>
      <c r="AHN45" s="10"/>
      <c r="AHO45" s="10"/>
      <c r="AHP45" s="10"/>
      <c r="AHQ45" s="10"/>
      <c r="AHR45" s="10"/>
      <c r="AHS45" s="10"/>
      <c r="AHT45" s="10"/>
      <c r="AHU45" s="10"/>
      <c r="AHV45" s="10"/>
      <c r="AHW45" s="10"/>
      <c r="AHX45" s="10"/>
      <c r="AHY45" s="10"/>
      <c r="AHZ45" s="10"/>
      <c r="AIA45" s="10"/>
      <c r="AIB45" s="10"/>
      <c r="AIC45" s="10"/>
      <c r="AID45" s="10"/>
      <c r="AIE45" s="10"/>
      <c r="AIF45" s="10"/>
      <c r="AIG45" s="10"/>
      <c r="AIH45" s="10"/>
      <c r="AII45" s="10"/>
      <c r="AIJ45" s="10"/>
      <c r="AIK45" s="10"/>
      <c r="AIL45" s="10"/>
      <c r="AIM45" s="10"/>
      <c r="AIN45" s="10"/>
      <c r="AIO45" s="10"/>
      <c r="AIP45" s="10"/>
      <c r="AIQ45" s="10"/>
      <c r="AIR45" s="10"/>
      <c r="AIS45" s="10"/>
      <c r="AIT45" s="10"/>
      <c r="AIU45" s="10"/>
      <c r="AIV45" s="10"/>
      <c r="AIW45" s="10"/>
      <c r="AIX45" s="10"/>
      <c r="AIY45" s="10"/>
      <c r="AIZ45" s="10"/>
      <c r="AJA45" s="10"/>
      <c r="AJB45" s="10"/>
      <c r="AJC45" s="10"/>
      <c r="AJD45" s="10"/>
      <c r="AJE45" s="10"/>
      <c r="AJF45" s="10"/>
      <c r="AJG45" s="10"/>
      <c r="AJH45" s="10"/>
      <c r="AJI45" s="10"/>
      <c r="AJJ45" s="10"/>
      <c r="AJK45" s="10"/>
      <c r="AJL45" s="10"/>
      <c r="AJM45" s="10"/>
      <c r="AJN45" s="10"/>
      <c r="AJO45" s="10"/>
      <c r="AJP45" s="10"/>
      <c r="AJQ45" s="10"/>
      <c r="AJR45" s="10"/>
      <c r="AJS45" s="10"/>
      <c r="AJT45" s="10"/>
      <c r="AJU45" s="10"/>
      <c r="AJV45" s="10"/>
      <c r="AJW45" s="10"/>
      <c r="AJX45" s="10"/>
      <c r="AJY45" s="10"/>
      <c r="AJZ45" s="10"/>
      <c r="AKA45" s="10"/>
      <c r="AKB45" s="10"/>
      <c r="AKC45" s="10"/>
      <c r="AKD45" s="10"/>
      <c r="AKE45" s="10"/>
      <c r="AKF45" s="10"/>
      <c r="AKG45" s="10"/>
      <c r="AKH45" s="10"/>
      <c r="AKI45" s="10"/>
      <c r="AKJ45" s="10"/>
      <c r="AKK45" s="10"/>
      <c r="AKL45" s="10"/>
      <c r="AKM45" s="10"/>
      <c r="AKN45" s="10"/>
      <c r="AKO45" s="10"/>
      <c r="AKP45" s="10"/>
      <c r="AKQ45" s="10"/>
      <c r="AKR45" s="10"/>
      <c r="AKS45" s="10"/>
      <c r="AKT45" s="10"/>
      <c r="AKU45" s="10"/>
      <c r="AKV45" s="10"/>
      <c r="AKW45" s="10"/>
      <c r="AKX45" s="10"/>
      <c r="AKY45" s="10"/>
      <c r="AKZ45" s="10"/>
      <c r="ALA45" s="10"/>
      <c r="ALB45" s="10"/>
      <c r="ALC45" s="10"/>
      <c r="ALD45" s="10"/>
      <c r="ALE45" s="10"/>
      <c r="ALF45" s="10"/>
      <c r="ALG45" s="10"/>
      <c r="ALH45" s="10"/>
      <c r="ALI45" s="10"/>
      <c r="ALJ45" s="10"/>
      <c r="ALK45" s="10"/>
      <c r="ALL45" s="10"/>
      <c r="ALM45" s="10"/>
      <c r="ALN45" s="10"/>
      <c r="ALO45" s="10"/>
      <c r="ALP45" s="10"/>
      <c r="ALQ45" s="10"/>
      <c r="ALR45" s="10"/>
      <c r="ALS45" s="10"/>
      <c r="ALT45" s="10"/>
      <c r="ALU45" s="10"/>
      <c r="ALV45" s="10"/>
      <c r="ALW45" s="10"/>
      <c r="ALX45" s="10"/>
      <c r="ALY45" s="10"/>
      <c r="ALZ45" s="10"/>
      <c r="AMA45" s="10"/>
      <c r="AMB45" s="10"/>
      <c r="AMC45" s="10"/>
      <c r="AMD45" s="10"/>
      <c r="AME45" s="10"/>
      <c r="AMF45" s="10"/>
      <c r="AMG45" s="10"/>
      <c r="AMH45" s="10"/>
    </row>
  </sheetData>
  <mergeCells count="1">
    <mergeCell ref="C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MK57"/>
  <sheetViews>
    <sheetView topLeftCell="C50" zoomScale="148" zoomScaleNormal="148" workbookViewId="0">
      <selection activeCell="D63" sqref="D63"/>
    </sheetView>
  </sheetViews>
  <sheetFormatPr defaultColWidth="8.7109375" defaultRowHeight="15" x14ac:dyDescent="0.25"/>
  <cols>
    <col min="1" max="1" width="5.42578125" style="8" customWidth="1"/>
    <col min="2" max="3" width="11.5703125" style="8" customWidth="1"/>
    <col min="4" max="6" width="11.5703125" style="437" customWidth="1"/>
    <col min="7" max="7" width="12.85546875" style="437" customWidth="1"/>
    <col min="8" max="12" width="11.5703125" style="437" customWidth="1"/>
    <col min="13" max="986" width="11.5703125" style="8" customWidth="1"/>
    <col min="987" max="1025" width="11.5703125" style="1" customWidth="1"/>
  </cols>
  <sheetData>
    <row r="1" spans="1:12" ht="11.45" customHeight="1" x14ac:dyDescent="0.25">
      <c r="A1" s="8" t="s">
        <v>874</v>
      </c>
    </row>
    <row r="2" spans="1:12" ht="11.45" customHeight="1" x14ac:dyDescent="0.25">
      <c r="A2" s="8" t="s">
        <v>1714</v>
      </c>
    </row>
    <row r="4" spans="1:12" ht="11.45" customHeight="1" x14ac:dyDescent="0.25">
      <c r="A4" s="8" t="s">
        <v>875</v>
      </c>
      <c r="C4" s="8" t="s">
        <v>876</v>
      </c>
    </row>
    <row r="6" spans="1:12" ht="25.5" customHeight="1" x14ac:dyDescent="0.25">
      <c r="D6" s="437" t="s">
        <v>877</v>
      </c>
      <c r="E6" s="437" t="s">
        <v>878</v>
      </c>
      <c r="F6" s="437" t="s">
        <v>879</v>
      </c>
      <c r="G6" s="437" t="s">
        <v>880</v>
      </c>
      <c r="H6" s="437" t="s">
        <v>881</v>
      </c>
      <c r="I6" s="437" t="s">
        <v>1644</v>
      </c>
      <c r="J6" s="437" t="s">
        <v>882</v>
      </c>
      <c r="K6" s="437" t="s">
        <v>883</v>
      </c>
      <c r="L6" s="437" t="s">
        <v>884</v>
      </c>
    </row>
    <row r="7" spans="1:12" ht="11.45" customHeight="1" x14ac:dyDescent="0.25">
      <c r="A7" s="8" t="s">
        <v>885</v>
      </c>
    </row>
    <row r="8" spans="1:12" ht="11.45" customHeight="1" x14ac:dyDescent="0.25">
      <c r="A8" s="8">
        <v>1500</v>
      </c>
      <c r="B8" s="8" t="s">
        <v>886</v>
      </c>
      <c r="D8" s="426" t="s">
        <v>1715</v>
      </c>
      <c r="E8" s="426" t="s">
        <v>1716</v>
      </c>
      <c r="F8" s="426" t="s">
        <v>1717</v>
      </c>
      <c r="G8" s="426" t="s">
        <v>1718</v>
      </c>
      <c r="H8" s="426" t="s">
        <v>1719</v>
      </c>
      <c r="I8" s="426" t="s">
        <v>1720</v>
      </c>
      <c r="J8" s="426" t="s">
        <v>1721</v>
      </c>
      <c r="K8" s="426" t="s">
        <v>1722</v>
      </c>
      <c r="L8" s="426" t="s">
        <v>1723</v>
      </c>
    </row>
    <row r="9" spans="1:12" ht="11.45" customHeight="1" x14ac:dyDescent="0.25">
      <c r="A9" s="8">
        <v>1501</v>
      </c>
      <c r="B9" s="8" t="s">
        <v>887</v>
      </c>
      <c r="D9" s="426" t="s">
        <v>1724</v>
      </c>
      <c r="E9" s="426" t="s">
        <v>1725</v>
      </c>
      <c r="F9" s="426" t="s">
        <v>1726</v>
      </c>
      <c r="G9" s="426" t="s">
        <v>1727</v>
      </c>
      <c r="H9" s="426" t="s">
        <v>1724</v>
      </c>
      <c r="I9" s="426" t="s">
        <v>1724</v>
      </c>
      <c r="J9" s="426" t="s">
        <v>1724</v>
      </c>
      <c r="K9" s="426" t="s">
        <v>1728</v>
      </c>
      <c r="L9" s="426" t="s">
        <v>1729</v>
      </c>
    </row>
    <row r="10" spans="1:12" ht="11.45" customHeight="1" x14ac:dyDescent="0.25">
      <c r="A10" s="8">
        <v>1540</v>
      </c>
      <c r="B10" s="8" t="s">
        <v>888</v>
      </c>
      <c r="D10" s="426" t="s">
        <v>1730</v>
      </c>
      <c r="E10" s="426" t="s">
        <v>1683</v>
      </c>
      <c r="F10" s="426" t="s">
        <v>1731</v>
      </c>
      <c r="G10" s="426" t="s">
        <v>1732</v>
      </c>
      <c r="H10" s="426" t="s">
        <v>1733</v>
      </c>
      <c r="I10" s="426" t="s">
        <v>1734</v>
      </c>
      <c r="J10" s="426" t="s">
        <v>1735</v>
      </c>
      <c r="K10" s="426" t="s">
        <v>1736</v>
      </c>
      <c r="L10" s="426" t="s">
        <v>1737</v>
      </c>
    </row>
    <row r="11" spans="1:12" ht="11.45" customHeight="1" x14ac:dyDescent="0.25">
      <c r="A11" s="8">
        <v>1543</v>
      </c>
      <c r="B11" s="8" t="s">
        <v>889</v>
      </c>
      <c r="D11" s="426" t="s">
        <v>1738</v>
      </c>
      <c r="E11" s="426" t="s">
        <v>1684</v>
      </c>
      <c r="F11" s="426" t="s">
        <v>1739</v>
      </c>
      <c r="G11" s="426" t="s">
        <v>1740</v>
      </c>
      <c r="H11" s="426" t="s">
        <v>1741</v>
      </c>
      <c r="I11" s="426" t="s">
        <v>1742</v>
      </c>
      <c r="J11" s="426" t="s">
        <v>1743</v>
      </c>
      <c r="K11" s="426" t="s">
        <v>1744</v>
      </c>
      <c r="L11" s="426" t="s">
        <v>1745</v>
      </c>
    </row>
    <row r="12" spans="1:12" ht="11.45" customHeight="1" x14ac:dyDescent="0.25">
      <c r="A12" s="8">
        <v>1550</v>
      </c>
      <c r="B12" s="8" t="s">
        <v>890</v>
      </c>
      <c r="D12" s="426" t="s">
        <v>1746</v>
      </c>
      <c r="E12" s="426" t="s">
        <v>1687</v>
      </c>
      <c r="F12" s="426" t="s">
        <v>1747</v>
      </c>
      <c r="G12" s="426" t="s">
        <v>1748</v>
      </c>
      <c r="H12" s="426" t="s">
        <v>1749</v>
      </c>
      <c r="I12" s="426" t="s">
        <v>1750</v>
      </c>
      <c r="J12" s="426" t="s">
        <v>1751</v>
      </c>
      <c r="K12" s="426" t="s">
        <v>1752</v>
      </c>
      <c r="L12" s="426" t="s">
        <v>1753</v>
      </c>
    </row>
    <row r="13" spans="1:12" ht="11.45" customHeight="1" x14ac:dyDescent="0.25">
      <c r="A13" s="8">
        <v>1551</v>
      </c>
      <c r="B13" s="8" t="s">
        <v>891</v>
      </c>
      <c r="D13" s="426" t="s">
        <v>1754</v>
      </c>
      <c r="E13" s="426" t="s">
        <v>1688</v>
      </c>
      <c r="F13" s="426" t="s">
        <v>1724</v>
      </c>
      <c r="G13" s="426" t="s">
        <v>1755</v>
      </c>
      <c r="H13" s="426" t="s">
        <v>1724</v>
      </c>
      <c r="I13" s="426" t="s">
        <v>1724</v>
      </c>
      <c r="J13" s="426" t="s">
        <v>1724</v>
      </c>
      <c r="K13" s="426" t="s">
        <v>1724</v>
      </c>
      <c r="L13" s="426" t="s">
        <v>1755</v>
      </c>
    </row>
    <row r="14" spans="1:12" ht="11.45" customHeight="1" x14ac:dyDescent="0.25">
      <c r="A14" s="8">
        <v>1552</v>
      </c>
      <c r="B14" s="8" t="s">
        <v>892</v>
      </c>
      <c r="D14" s="426" t="s">
        <v>1756</v>
      </c>
      <c r="E14" s="426" t="s">
        <v>1689</v>
      </c>
      <c r="F14" s="426" t="s">
        <v>1757</v>
      </c>
      <c r="G14" s="426" t="s">
        <v>1758</v>
      </c>
      <c r="H14" s="426" t="s">
        <v>1759</v>
      </c>
      <c r="I14" s="426" t="s">
        <v>1724</v>
      </c>
      <c r="J14" s="426" t="s">
        <v>1759</v>
      </c>
      <c r="K14" s="426" t="s">
        <v>1760</v>
      </c>
      <c r="L14" s="426" t="s">
        <v>1761</v>
      </c>
    </row>
    <row r="15" spans="1:12" ht="11.45" customHeight="1" x14ac:dyDescent="0.25">
      <c r="A15" s="8">
        <v>1553</v>
      </c>
      <c r="B15" s="8" t="s">
        <v>893</v>
      </c>
      <c r="D15" s="426" t="s">
        <v>1762</v>
      </c>
      <c r="E15" s="426" t="s">
        <v>1690</v>
      </c>
      <c r="F15" s="426" t="s">
        <v>1763</v>
      </c>
      <c r="G15" s="426" t="s">
        <v>1764</v>
      </c>
      <c r="H15" s="426" t="s">
        <v>1765</v>
      </c>
      <c r="I15" s="426" t="s">
        <v>1766</v>
      </c>
      <c r="J15" s="426" t="s">
        <v>1767</v>
      </c>
      <c r="K15" s="426" t="s">
        <v>1768</v>
      </c>
      <c r="L15" s="426" t="s">
        <v>1769</v>
      </c>
    </row>
    <row r="16" spans="1:12" ht="11.45" customHeight="1" x14ac:dyDescent="0.25">
      <c r="A16" s="8">
        <v>1569</v>
      </c>
      <c r="B16" s="8" t="s">
        <v>894</v>
      </c>
      <c r="D16" s="426" t="s">
        <v>1770</v>
      </c>
      <c r="E16" s="426" t="s">
        <v>1691</v>
      </c>
      <c r="F16" s="426" t="s">
        <v>1771</v>
      </c>
      <c r="G16" s="426" t="s">
        <v>1772</v>
      </c>
      <c r="H16" s="426" t="s">
        <v>1773</v>
      </c>
      <c r="I16" s="426" t="s">
        <v>1774</v>
      </c>
      <c r="J16" s="426" t="s">
        <v>1775</v>
      </c>
      <c r="K16" s="426" t="s">
        <v>1776</v>
      </c>
      <c r="L16" s="426" t="s">
        <v>1777</v>
      </c>
    </row>
    <row r="17" spans="1:12" ht="11.45" customHeight="1" x14ac:dyDescent="0.25">
      <c r="A17" s="8">
        <v>1570</v>
      </c>
      <c r="B17" s="8" t="s">
        <v>895</v>
      </c>
      <c r="D17" s="426" t="s">
        <v>1778</v>
      </c>
      <c r="E17" s="426" t="s">
        <v>1779</v>
      </c>
      <c r="F17" s="426" t="s">
        <v>1780</v>
      </c>
      <c r="G17" s="426" t="s">
        <v>1781</v>
      </c>
      <c r="H17" s="426" t="s">
        <v>1724</v>
      </c>
      <c r="I17" s="426" t="s">
        <v>1782</v>
      </c>
      <c r="J17" s="426" t="s">
        <v>1782</v>
      </c>
      <c r="K17" s="426" t="s">
        <v>1783</v>
      </c>
      <c r="L17" s="426" t="s">
        <v>1784</v>
      </c>
    </row>
    <row r="18" spans="1:12" ht="11.45" customHeight="1" x14ac:dyDescent="0.25">
      <c r="A18" s="8">
        <v>1571</v>
      </c>
      <c r="B18" s="8" t="s">
        <v>896</v>
      </c>
      <c r="D18" s="426" t="s">
        <v>1785</v>
      </c>
      <c r="E18" s="426" t="s">
        <v>1786</v>
      </c>
      <c r="F18" s="426" t="s">
        <v>1787</v>
      </c>
      <c r="G18" s="426" t="s">
        <v>1788</v>
      </c>
      <c r="H18" s="426" t="s">
        <v>1789</v>
      </c>
      <c r="I18" s="426" t="s">
        <v>1790</v>
      </c>
      <c r="J18" s="426" t="s">
        <v>1791</v>
      </c>
      <c r="K18" s="426" t="s">
        <v>1792</v>
      </c>
      <c r="L18" s="426" t="s">
        <v>1793</v>
      </c>
    </row>
    <row r="19" spans="1:12" ht="11.45" customHeight="1" x14ac:dyDescent="0.25">
      <c r="A19" s="8">
        <v>1599</v>
      </c>
      <c r="B19" s="8" t="s">
        <v>897</v>
      </c>
      <c r="D19" s="426" t="s">
        <v>1794</v>
      </c>
      <c r="E19" s="426" t="s">
        <v>1692</v>
      </c>
      <c r="F19" s="426" t="s">
        <v>1724</v>
      </c>
      <c r="G19" s="426" t="s">
        <v>1795</v>
      </c>
      <c r="H19" s="426" t="s">
        <v>1724</v>
      </c>
      <c r="I19" s="426" t="s">
        <v>1724</v>
      </c>
      <c r="J19" s="426" t="s">
        <v>1724</v>
      </c>
      <c r="K19" s="426" t="s">
        <v>1724</v>
      </c>
      <c r="L19" s="426" t="s">
        <v>1795</v>
      </c>
    </row>
    <row r="20" spans="1:12" ht="11.45" customHeight="1" x14ac:dyDescent="0.25">
      <c r="A20" s="8">
        <v>1600</v>
      </c>
      <c r="B20" s="8" t="s">
        <v>898</v>
      </c>
      <c r="D20" s="426" t="s">
        <v>1796</v>
      </c>
      <c r="E20" s="426" t="s">
        <v>1797</v>
      </c>
      <c r="F20" s="426" t="s">
        <v>1798</v>
      </c>
      <c r="G20" s="426" t="s">
        <v>1799</v>
      </c>
      <c r="H20" s="426" t="s">
        <v>1800</v>
      </c>
      <c r="I20" s="426" t="s">
        <v>1801</v>
      </c>
      <c r="J20" s="426" t="s">
        <v>1802</v>
      </c>
      <c r="K20" s="426" t="s">
        <v>1803</v>
      </c>
      <c r="L20" s="426" t="s">
        <v>1804</v>
      </c>
    </row>
    <row r="21" spans="1:12" ht="11.45" customHeight="1" x14ac:dyDescent="0.25">
      <c r="A21" s="8">
        <v>1601</v>
      </c>
      <c r="B21" s="8" t="s">
        <v>899</v>
      </c>
      <c r="D21" s="426" t="s">
        <v>1805</v>
      </c>
      <c r="E21" s="426" t="s">
        <v>1806</v>
      </c>
      <c r="F21" s="426" t="s">
        <v>1724</v>
      </c>
      <c r="G21" s="426" t="s">
        <v>1807</v>
      </c>
      <c r="H21" s="426" t="s">
        <v>1724</v>
      </c>
      <c r="I21" s="426" t="s">
        <v>1707</v>
      </c>
      <c r="J21" s="426" t="s">
        <v>1707</v>
      </c>
      <c r="K21" s="426" t="s">
        <v>1724</v>
      </c>
      <c r="L21" s="426" t="s">
        <v>1808</v>
      </c>
    </row>
    <row r="22" spans="1:12" ht="11.45" customHeight="1" x14ac:dyDescent="0.25">
      <c r="A22" s="8">
        <v>1602</v>
      </c>
      <c r="B22" s="8" t="s">
        <v>900</v>
      </c>
      <c r="D22" s="426" t="s">
        <v>1809</v>
      </c>
      <c r="E22" s="426" t="s">
        <v>1810</v>
      </c>
      <c r="F22" s="426" t="s">
        <v>1724</v>
      </c>
      <c r="G22" s="426" t="s">
        <v>1811</v>
      </c>
      <c r="H22" s="426" t="s">
        <v>1724</v>
      </c>
      <c r="I22" s="426" t="s">
        <v>1812</v>
      </c>
      <c r="J22" s="426" t="s">
        <v>1812</v>
      </c>
      <c r="K22" s="426" t="s">
        <v>1724</v>
      </c>
      <c r="L22" s="426" t="s">
        <v>1813</v>
      </c>
    </row>
    <row r="23" spans="1:12" ht="11.45" customHeight="1" x14ac:dyDescent="0.25">
      <c r="A23" s="8">
        <v>1603</v>
      </c>
      <c r="B23" s="8" t="s">
        <v>901</v>
      </c>
      <c r="D23" s="426" t="s">
        <v>1814</v>
      </c>
      <c r="E23" s="426" t="s">
        <v>1815</v>
      </c>
      <c r="F23" s="426" t="s">
        <v>1724</v>
      </c>
      <c r="G23" s="426" t="s">
        <v>1816</v>
      </c>
      <c r="H23" s="426" t="s">
        <v>1724</v>
      </c>
      <c r="I23" s="426" t="s">
        <v>1724</v>
      </c>
      <c r="J23" s="426" t="s">
        <v>1724</v>
      </c>
      <c r="K23" s="426" t="s">
        <v>1724</v>
      </c>
      <c r="L23" s="426" t="s">
        <v>1816</v>
      </c>
    </row>
    <row r="24" spans="1:12" ht="11.45" customHeight="1" x14ac:dyDescent="0.25">
      <c r="A24" s="8">
        <v>1604</v>
      </c>
      <c r="B24" s="8" t="s">
        <v>902</v>
      </c>
      <c r="D24" s="426" t="s">
        <v>1817</v>
      </c>
      <c r="E24" s="426" t="s">
        <v>1818</v>
      </c>
      <c r="F24" s="426" t="s">
        <v>1819</v>
      </c>
      <c r="G24" s="426" t="s">
        <v>1820</v>
      </c>
      <c r="H24" s="426" t="s">
        <v>1821</v>
      </c>
      <c r="I24" s="426" t="s">
        <v>1822</v>
      </c>
      <c r="J24" s="426" t="s">
        <v>1823</v>
      </c>
      <c r="K24" s="426" t="s">
        <v>1823</v>
      </c>
      <c r="L24" s="426" t="s">
        <v>1824</v>
      </c>
    </row>
    <row r="25" spans="1:12" ht="11.45" customHeight="1" x14ac:dyDescent="0.25">
      <c r="A25" s="8">
        <v>1605</v>
      </c>
      <c r="B25" s="8" t="s">
        <v>903</v>
      </c>
      <c r="D25" s="426" t="s">
        <v>1825</v>
      </c>
      <c r="E25" s="426" t="s">
        <v>1826</v>
      </c>
      <c r="F25" s="426" t="s">
        <v>1827</v>
      </c>
      <c r="G25" s="426" t="s">
        <v>1828</v>
      </c>
      <c r="H25" s="426" t="s">
        <v>1829</v>
      </c>
      <c r="I25" s="426" t="s">
        <v>1724</v>
      </c>
      <c r="J25" s="426" t="s">
        <v>1829</v>
      </c>
      <c r="K25" s="426" t="s">
        <v>1830</v>
      </c>
      <c r="L25" s="426" t="s">
        <v>1831</v>
      </c>
    </row>
    <row r="26" spans="1:12" ht="11.45" customHeight="1" x14ac:dyDescent="0.25">
      <c r="A26" s="8">
        <v>1621</v>
      </c>
      <c r="B26" s="8" t="s">
        <v>904</v>
      </c>
      <c r="D26" s="426" t="s">
        <v>1832</v>
      </c>
      <c r="E26" s="426" t="s">
        <v>1833</v>
      </c>
      <c r="F26" s="426" t="s">
        <v>1834</v>
      </c>
      <c r="G26" s="426" t="s">
        <v>1835</v>
      </c>
      <c r="H26" s="426" t="s">
        <v>1836</v>
      </c>
      <c r="I26" s="426" t="s">
        <v>1837</v>
      </c>
      <c r="J26" s="426" t="s">
        <v>1838</v>
      </c>
      <c r="K26" s="426" t="s">
        <v>1839</v>
      </c>
      <c r="L26" s="426" t="s">
        <v>1840</v>
      </c>
    </row>
    <row r="27" spans="1:12" ht="11.45" customHeight="1" x14ac:dyDescent="0.25">
      <c r="A27" s="8">
        <v>1632</v>
      </c>
      <c r="B27" s="8" t="s">
        <v>905</v>
      </c>
      <c r="D27" s="426" t="s">
        <v>1841</v>
      </c>
      <c r="E27" s="426" t="s">
        <v>1842</v>
      </c>
      <c r="F27" s="426" t="s">
        <v>1724</v>
      </c>
      <c r="G27" s="426" t="s">
        <v>1843</v>
      </c>
      <c r="H27" s="426" t="s">
        <v>1724</v>
      </c>
      <c r="I27" s="426" t="s">
        <v>1724</v>
      </c>
      <c r="J27" s="426" t="s">
        <v>1724</v>
      </c>
      <c r="K27" s="426" t="s">
        <v>1724</v>
      </c>
      <c r="L27" s="426" t="s">
        <v>1843</v>
      </c>
    </row>
    <row r="28" spans="1:12" ht="11.45" customHeight="1" x14ac:dyDescent="0.25">
      <c r="A28" s="8">
        <v>1659</v>
      </c>
      <c r="B28" s="8" t="s">
        <v>906</v>
      </c>
      <c r="D28" s="426" t="s">
        <v>1844</v>
      </c>
      <c r="E28" s="426" t="s">
        <v>1696</v>
      </c>
      <c r="F28" s="426" t="s">
        <v>1845</v>
      </c>
      <c r="G28" s="426" t="s">
        <v>1846</v>
      </c>
      <c r="H28" s="426" t="s">
        <v>1847</v>
      </c>
      <c r="I28" s="426" t="s">
        <v>1848</v>
      </c>
      <c r="J28" s="426" t="s">
        <v>1849</v>
      </c>
      <c r="K28" s="426" t="s">
        <v>1850</v>
      </c>
      <c r="L28" s="426" t="s">
        <v>1851</v>
      </c>
    </row>
    <row r="29" spans="1:12" ht="11.45" customHeight="1" x14ac:dyDescent="0.25">
      <c r="A29" s="8">
        <v>1660</v>
      </c>
      <c r="B29" s="8" t="s">
        <v>907</v>
      </c>
      <c r="D29" s="426" t="s">
        <v>1852</v>
      </c>
      <c r="E29" s="426" t="s">
        <v>1853</v>
      </c>
      <c r="F29" s="426" t="s">
        <v>1854</v>
      </c>
      <c r="G29" s="426" t="s">
        <v>1855</v>
      </c>
      <c r="H29" s="426" t="s">
        <v>1856</v>
      </c>
      <c r="I29" s="426" t="s">
        <v>1857</v>
      </c>
      <c r="J29" s="426" t="s">
        <v>1858</v>
      </c>
      <c r="K29" s="426" t="s">
        <v>1859</v>
      </c>
      <c r="L29" s="426" t="s">
        <v>1860</v>
      </c>
    </row>
    <row r="30" spans="1:12" ht="11.45" customHeight="1" x14ac:dyDescent="0.25">
      <c r="A30" s="8">
        <v>1661</v>
      </c>
      <c r="B30" s="8" t="s">
        <v>908</v>
      </c>
      <c r="D30" s="426" t="s">
        <v>1861</v>
      </c>
      <c r="E30" s="426" t="s">
        <v>1862</v>
      </c>
      <c r="F30" s="426" t="s">
        <v>1724</v>
      </c>
      <c r="G30" s="426" t="s">
        <v>1863</v>
      </c>
      <c r="H30" s="426" t="s">
        <v>1724</v>
      </c>
      <c r="I30" s="426" t="s">
        <v>1864</v>
      </c>
      <c r="J30" s="426" t="s">
        <v>1864</v>
      </c>
      <c r="K30" s="426" t="s">
        <v>1724</v>
      </c>
      <c r="L30" s="426" t="s">
        <v>1865</v>
      </c>
    </row>
    <row r="31" spans="1:12" ht="11.45" customHeight="1" x14ac:dyDescent="0.25">
      <c r="A31" s="8">
        <v>1665</v>
      </c>
      <c r="B31" s="8" t="s">
        <v>909</v>
      </c>
      <c r="D31" s="426" t="s">
        <v>1866</v>
      </c>
      <c r="E31" s="426" t="s">
        <v>1867</v>
      </c>
      <c r="F31" s="426" t="s">
        <v>1724</v>
      </c>
      <c r="G31" s="426" t="s">
        <v>1868</v>
      </c>
      <c r="H31" s="426" t="s">
        <v>1724</v>
      </c>
      <c r="I31" s="426" t="s">
        <v>1724</v>
      </c>
      <c r="J31" s="426" t="s">
        <v>1724</v>
      </c>
      <c r="K31" s="426" t="s">
        <v>1724</v>
      </c>
      <c r="L31" s="426" t="s">
        <v>1868</v>
      </c>
    </row>
    <row r="32" spans="1:12" ht="11.45" customHeight="1" x14ac:dyDescent="0.25">
      <c r="A32" s="8">
        <v>1669</v>
      </c>
      <c r="B32" s="8" t="s">
        <v>910</v>
      </c>
      <c r="D32" s="426" t="s">
        <v>1869</v>
      </c>
      <c r="E32" s="426" t="s">
        <v>1724</v>
      </c>
      <c r="F32" s="426" t="s">
        <v>1724</v>
      </c>
      <c r="G32" s="426" t="s">
        <v>1869</v>
      </c>
      <c r="H32" s="426" t="s">
        <v>1724</v>
      </c>
      <c r="I32" s="426" t="s">
        <v>1724</v>
      </c>
      <c r="J32" s="426" t="s">
        <v>1724</v>
      </c>
      <c r="K32" s="426" t="s">
        <v>1724</v>
      </c>
      <c r="L32" s="426" t="s">
        <v>1869</v>
      </c>
    </row>
    <row r="33" spans="1:12" ht="11.45" customHeight="1" x14ac:dyDescent="0.25">
      <c r="A33" s="8">
        <v>1700</v>
      </c>
      <c r="B33" s="8" t="s">
        <v>911</v>
      </c>
      <c r="D33" s="426" t="s">
        <v>1870</v>
      </c>
      <c r="E33" s="426" t="s">
        <v>1871</v>
      </c>
      <c r="F33" s="426" t="s">
        <v>1872</v>
      </c>
      <c r="G33" s="426" t="s">
        <v>1873</v>
      </c>
      <c r="H33" s="426" t="s">
        <v>1724</v>
      </c>
      <c r="I33" s="426" t="s">
        <v>1874</v>
      </c>
      <c r="J33" s="426" t="s">
        <v>1874</v>
      </c>
      <c r="K33" s="426" t="s">
        <v>1872</v>
      </c>
      <c r="L33" s="426" t="s">
        <v>1875</v>
      </c>
    </row>
    <row r="34" spans="1:12" ht="11.45" customHeight="1" x14ac:dyDescent="0.25">
      <c r="A34" s="8">
        <v>1701</v>
      </c>
      <c r="B34" s="8" t="s">
        <v>912</v>
      </c>
      <c r="D34" s="426" t="s">
        <v>1876</v>
      </c>
      <c r="E34" s="426" t="s">
        <v>1877</v>
      </c>
      <c r="F34" s="426" t="s">
        <v>1878</v>
      </c>
      <c r="G34" s="426" t="s">
        <v>1879</v>
      </c>
      <c r="H34" s="426" t="s">
        <v>1724</v>
      </c>
      <c r="I34" s="426" t="s">
        <v>1880</v>
      </c>
      <c r="J34" s="426" t="s">
        <v>1880</v>
      </c>
      <c r="K34" s="426" t="s">
        <v>1881</v>
      </c>
      <c r="L34" s="426" t="s">
        <v>1882</v>
      </c>
    </row>
    <row r="35" spans="1:12" ht="11.45" customHeight="1" x14ac:dyDescent="0.25">
      <c r="A35" s="8">
        <v>1706</v>
      </c>
      <c r="B35" s="8" t="s">
        <v>913</v>
      </c>
      <c r="D35" s="426" t="s">
        <v>1883</v>
      </c>
      <c r="E35" s="426" t="s">
        <v>1884</v>
      </c>
      <c r="F35" s="426" t="s">
        <v>1885</v>
      </c>
      <c r="G35" s="426" t="s">
        <v>1886</v>
      </c>
      <c r="H35" s="426" t="s">
        <v>1887</v>
      </c>
      <c r="I35" s="426" t="s">
        <v>1888</v>
      </c>
      <c r="J35" s="426" t="s">
        <v>1889</v>
      </c>
      <c r="K35" s="426" t="s">
        <v>1890</v>
      </c>
      <c r="L35" s="426" t="s">
        <v>1891</v>
      </c>
    </row>
    <row r="36" spans="1:12" ht="11.45" customHeight="1" x14ac:dyDescent="0.25">
      <c r="A36" s="8">
        <v>1708</v>
      </c>
      <c r="B36" s="8" t="s">
        <v>914</v>
      </c>
      <c r="D36" s="426" t="s">
        <v>1892</v>
      </c>
      <c r="E36" s="426" t="s">
        <v>1893</v>
      </c>
      <c r="F36" s="426" t="s">
        <v>1894</v>
      </c>
      <c r="G36" s="426" t="s">
        <v>1895</v>
      </c>
      <c r="H36" s="426" t="s">
        <v>1896</v>
      </c>
      <c r="I36" s="426" t="s">
        <v>1724</v>
      </c>
      <c r="J36" s="426" t="s">
        <v>1896</v>
      </c>
      <c r="K36" s="426" t="s">
        <v>1897</v>
      </c>
      <c r="L36" s="426" t="s">
        <v>1898</v>
      </c>
    </row>
    <row r="37" spans="1:12" ht="11.45" customHeight="1" x14ac:dyDescent="0.25">
      <c r="A37" s="8">
        <v>1711</v>
      </c>
      <c r="B37" s="8" t="s">
        <v>942</v>
      </c>
      <c r="D37" s="426" t="s">
        <v>1899</v>
      </c>
      <c r="E37" s="426" t="s">
        <v>1900</v>
      </c>
      <c r="F37" s="426" t="s">
        <v>1724</v>
      </c>
      <c r="G37" s="426" t="s">
        <v>1901</v>
      </c>
      <c r="H37" s="426" t="s">
        <v>1724</v>
      </c>
      <c r="I37" s="426" t="s">
        <v>1902</v>
      </c>
      <c r="J37" s="426" t="s">
        <v>1902</v>
      </c>
      <c r="K37" s="426" t="s">
        <v>1903</v>
      </c>
      <c r="L37" s="426" t="s">
        <v>1904</v>
      </c>
    </row>
    <row r="38" spans="1:12" ht="11.45" customHeight="1" x14ac:dyDescent="0.25">
      <c r="A38" s="8">
        <v>1715</v>
      </c>
      <c r="B38" s="8" t="s">
        <v>915</v>
      </c>
      <c r="D38" s="426" t="s">
        <v>1905</v>
      </c>
      <c r="E38" s="426" t="s">
        <v>1906</v>
      </c>
      <c r="F38" s="426" t="s">
        <v>1724</v>
      </c>
      <c r="G38" s="426" t="s">
        <v>1907</v>
      </c>
      <c r="H38" s="426" t="s">
        <v>1724</v>
      </c>
      <c r="I38" s="426" t="s">
        <v>1724</v>
      </c>
      <c r="J38" s="426" t="s">
        <v>1724</v>
      </c>
      <c r="K38" s="426" t="s">
        <v>1724</v>
      </c>
      <c r="L38" s="426" t="s">
        <v>1907</v>
      </c>
    </row>
    <row r="39" spans="1:12" ht="11.45" customHeight="1" x14ac:dyDescent="0.25">
      <c r="A39" s="8">
        <v>1716</v>
      </c>
      <c r="B39" s="8" t="s">
        <v>916</v>
      </c>
      <c r="D39" s="426" t="s">
        <v>1908</v>
      </c>
      <c r="E39" s="426" t="s">
        <v>1909</v>
      </c>
      <c r="F39" s="426" t="s">
        <v>1724</v>
      </c>
      <c r="G39" s="426" t="s">
        <v>1910</v>
      </c>
      <c r="H39" s="426" t="s">
        <v>1724</v>
      </c>
      <c r="I39" s="426" t="s">
        <v>1911</v>
      </c>
      <c r="J39" s="426" t="s">
        <v>1911</v>
      </c>
      <c r="K39" s="426" t="s">
        <v>1724</v>
      </c>
      <c r="L39" s="426" t="s">
        <v>1912</v>
      </c>
    </row>
    <row r="40" spans="1:12" ht="11.45" customHeight="1" x14ac:dyDescent="0.25">
      <c r="A40" s="8">
        <v>1719</v>
      </c>
      <c r="B40" s="8" t="s">
        <v>959</v>
      </c>
      <c r="D40" s="426" t="s">
        <v>1913</v>
      </c>
      <c r="E40" s="426" t="s">
        <v>1914</v>
      </c>
      <c r="F40" s="426" t="s">
        <v>1724</v>
      </c>
      <c r="G40" s="426" t="s">
        <v>1915</v>
      </c>
      <c r="H40" s="426" t="s">
        <v>1724</v>
      </c>
      <c r="I40" s="426" t="s">
        <v>1724</v>
      </c>
      <c r="J40" s="426" t="s">
        <v>1724</v>
      </c>
      <c r="K40" s="426" t="s">
        <v>1724</v>
      </c>
      <c r="L40" s="426" t="s">
        <v>1915</v>
      </c>
    </row>
    <row r="41" spans="1:12" ht="11.45" customHeight="1" x14ac:dyDescent="0.25">
      <c r="A41" s="8">
        <v>1720</v>
      </c>
      <c r="B41" s="8" t="s">
        <v>952</v>
      </c>
      <c r="D41" s="426" t="s">
        <v>1916</v>
      </c>
      <c r="E41" s="426" t="s">
        <v>1917</v>
      </c>
      <c r="F41" s="426" t="s">
        <v>1918</v>
      </c>
      <c r="G41" s="426" t="s">
        <v>1919</v>
      </c>
      <c r="H41" s="426" t="s">
        <v>1920</v>
      </c>
      <c r="I41" s="426" t="s">
        <v>1921</v>
      </c>
      <c r="J41" s="426" t="s">
        <v>1922</v>
      </c>
      <c r="K41" s="426" t="s">
        <v>1923</v>
      </c>
      <c r="L41" s="426" t="s">
        <v>1924</v>
      </c>
    </row>
    <row r="42" spans="1:12" ht="11.45" customHeight="1" x14ac:dyDescent="0.25">
      <c r="A42" s="8">
        <v>1749</v>
      </c>
      <c r="B42" s="8" t="s">
        <v>917</v>
      </c>
      <c r="D42" s="426" t="s">
        <v>1925</v>
      </c>
      <c r="E42" s="426" t="s">
        <v>1926</v>
      </c>
      <c r="F42" s="426" t="s">
        <v>1927</v>
      </c>
      <c r="G42" s="426" t="s">
        <v>1928</v>
      </c>
      <c r="H42" s="426" t="s">
        <v>1929</v>
      </c>
      <c r="I42" s="426" t="s">
        <v>1930</v>
      </c>
      <c r="J42" s="426" t="s">
        <v>1931</v>
      </c>
      <c r="K42" s="426" t="s">
        <v>1932</v>
      </c>
      <c r="L42" s="426" t="s">
        <v>1933</v>
      </c>
    </row>
    <row r="43" spans="1:12" ht="11.45" customHeight="1" x14ac:dyDescent="0.25">
      <c r="A43" s="8">
        <v>1750</v>
      </c>
      <c r="B43" s="8" t="s">
        <v>918</v>
      </c>
      <c r="D43" s="426" t="s">
        <v>1934</v>
      </c>
      <c r="E43" s="426" t="s">
        <v>1935</v>
      </c>
      <c r="F43" s="426" t="s">
        <v>1936</v>
      </c>
      <c r="G43" s="426" t="s">
        <v>1937</v>
      </c>
      <c r="H43" s="426" t="s">
        <v>1724</v>
      </c>
      <c r="I43" s="426" t="s">
        <v>1724</v>
      </c>
      <c r="J43" s="426" t="s">
        <v>1724</v>
      </c>
      <c r="K43" s="426" t="s">
        <v>1938</v>
      </c>
      <c r="L43" s="426" t="s">
        <v>1939</v>
      </c>
    </row>
    <row r="44" spans="1:12" ht="11.45" customHeight="1" x14ac:dyDescent="0.25">
      <c r="A44" s="8">
        <v>1751</v>
      </c>
      <c r="B44" s="8" t="s">
        <v>919</v>
      </c>
      <c r="D44" s="426" t="s">
        <v>1724</v>
      </c>
      <c r="E44" s="426" t="s">
        <v>1724</v>
      </c>
      <c r="F44" s="426" t="s">
        <v>1724</v>
      </c>
      <c r="G44" s="426" t="s">
        <v>1724</v>
      </c>
      <c r="H44" s="426" t="s">
        <v>1940</v>
      </c>
      <c r="I44" s="426" t="s">
        <v>1941</v>
      </c>
      <c r="J44" s="426" t="s">
        <v>1942</v>
      </c>
      <c r="K44" s="426" t="s">
        <v>1724</v>
      </c>
      <c r="L44" s="426" t="s">
        <v>1943</v>
      </c>
    </row>
    <row r="45" spans="1:12" ht="11.45" customHeight="1" x14ac:dyDescent="0.25">
      <c r="A45" s="8">
        <v>1752</v>
      </c>
      <c r="B45" s="8" t="s">
        <v>920</v>
      </c>
      <c r="D45" s="426" t="s">
        <v>1944</v>
      </c>
      <c r="E45" s="426" t="s">
        <v>1945</v>
      </c>
      <c r="F45" s="426" t="s">
        <v>1946</v>
      </c>
      <c r="G45" s="426" t="s">
        <v>1947</v>
      </c>
      <c r="H45" s="426" t="s">
        <v>1948</v>
      </c>
      <c r="I45" s="426" t="s">
        <v>1949</v>
      </c>
      <c r="J45" s="426" t="s">
        <v>1950</v>
      </c>
      <c r="K45" s="426" t="s">
        <v>1946</v>
      </c>
      <c r="L45" s="426" t="s">
        <v>1951</v>
      </c>
    </row>
    <row r="46" spans="1:12" ht="11.45" customHeight="1" x14ac:dyDescent="0.25">
      <c r="A46" s="8">
        <v>1753</v>
      </c>
      <c r="B46" s="8" t="s">
        <v>921</v>
      </c>
      <c r="D46" s="426" t="s">
        <v>1952</v>
      </c>
      <c r="E46" s="426" t="s">
        <v>1953</v>
      </c>
      <c r="F46" s="426" t="s">
        <v>1954</v>
      </c>
      <c r="G46" s="426" t="s">
        <v>1955</v>
      </c>
      <c r="H46" s="426" t="s">
        <v>1956</v>
      </c>
      <c r="I46" s="426" t="s">
        <v>1957</v>
      </c>
      <c r="J46" s="426" t="s">
        <v>1958</v>
      </c>
      <c r="K46" s="426" t="s">
        <v>1959</v>
      </c>
      <c r="L46" s="426" t="s">
        <v>1960</v>
      </c>
    </row>
    <row r="47" spans="1:12" ht="11.45" customHeight="1" x14ac:dyDescent="0.25">
      <c r="A47" s="8">
        <v>1754</v>
      </c>
      <c r="B47" s="8" t="s">
        <v>922</v>
      </c>
      <c r="D47" s="426" t="s">
        <v>1724</v>
      </c>
      <c r="E47" s="426" t="s">
        <v>1724</v>
      </c>
      <c r="F47" s="426" t="s">
        <v>1961</v>
      </c>
      <c r="G47" s="426" t="s">
        <v>1961</v>
      </c>
      <c r="H47" s="426" t="s">
        <v>1724</v>
      </c>
      <c r="I47" s="426" t="s">
        <v>1724</v>
      </c>
      <c r="J47" s="426" t="s">
        <v>1724</v>
      </c>
      <c r="K47" s="426" t="s">
        <v>1962</v>
      </c>
      <c r="L47" s="426" t="s">
        <v>1963</v>
      </c>
    </row>
    <row r="48" spans="1:12" x14ac:dyDescent="0.25">
      <c r="A48" s="8">
        <v>1755</v>
      </c>
      <c r="B48" s="8" t="s">
        <v>1447</v>
      </c>
      <c r="D48" s="426" t="s">
        <v>1964</v>
      </c>
      <c r="E48" s="426" t="s">
        <v>1724</v>
      </c>
      <c r="F48" s="426" t="s">
        <v>1724</v>
      </c>
      <c r="G48" s="426" t="s">
        <v>1964</v>
      </c>
      <c r="H48" s="426" t="s">
        <v>1724</v>
      </c>
      <c r="I48" s="426" t="s">
        <v>1724</v>
      </c>
      <c r="J48" s="426" t="s">
        <v>1724</v>
      </c>
      <c r="K48" s="426" t="s">
        <v>1724</v>
      </c>
      <c r="L48" s="426" t="s">
        <v>1964</v>
      </c>
    </row>
    <row r="49" spans="1:12" x14ac:dyDescent="0.25">
      <c r="A49" s="460">
        <v>1759</v>
      </c>
      <c r="B49" s="460" t="s">
        <v>923</v>
      </c>
      <c r="C49" s="460"/>
      <c r="D49" s="426" t="s">
        <v>1965</v>
      </c>
      <c r="E49" s="426" t="s">
        <v>1966</v>
      </c>
      <c r="F49" s="426" t="s">
        <v>1967</v>
      </c>
      <c r="G49" s="426" t="s">
        <v>1968</v>
      </c>
      <c r="H49" s="426" t="s">
        <v>1969</v>
      </c>
      <c r="I49" s="426" t="s">
        <v>1970</v>
      </c>
      <c r="J49" s="426" t="s">
        <v>1971</v>
      </c>
      <c r="K49" s="426" t="s">
        <v>1972</v>
      </c>
      <c r="L49" s="426" t="s">
        <v>1973</v>
      </c>
    </row>
    <row r="50" spans="1:12" x14ac:dyDescent="0.25">
      <c r="A50" s="8">
        <v>1800</v>
      </c>
      <c r="B50" s="8" t="s">
        <v>924</v>
      </c>
      <c r="D50" s="426" t="s">
        <v>1974</v>
      </c>
      <c r="E50" s="426" t="s">
        <v>1682</v>
      </c>
      <c r="F50" s="426" t="s">
        <v>1975</v>
      </c>
      <c r="G50" s="426" t="s">
        <v>1976</v>
      </c>
      <c r="H50" s="426" t="s">
        <v>1977</v>
      </c>
      <c r="I50" s="426" t="s">
        <v>1978</v>
      </c>
      <c r="J50" s="426" t="s">
        <v>1979</v>
      </c>
      <c r="K50" s="426" t="s">
        <v>1980</v>
      </c>
      <c r="L50" s="426" t="s">
        <v>1981</v>
      </c>
    </row>
    <row r="51" spans="1:12" x14ac:dyDescent="0.25">
      <c r="A51" s="8">
        <v>1802</v>
      </c>
      <c r="B51" s="8" t="s">
        <v>925</v>
      </c>
      <c r="D51" s="426" t="s">
        <v>1982</v>
      </c>
      <c r="E51" s="426" t="s">
        <v>1983</v>
      </c>
      <c r="F51" s="426" t="s">
        <v>1984</v>
      </c>
      <c r="G51" s="426" t="s">
        <v>1985</v>
      </c>
      <c r="H51" s="426" t="s">
        <v>1986</v>
      </c>
      <c r="I51" s="426" t="s">
        <v>1987</v>
      </c>
      <c r="J51" s="426" t="s">
        <v>1988</v>
      </c>
      <c r="K51" s="426" t="s">
        <v>1989</v>
      </c>
      <c r="L51" s="426" t="s">
        <v>1990</v>
      </c>
    </row>
    <row r="52" spans="1:12" x14ac:dyDescent="0.25">
      <c r="A52" s="8">
        <v>1869</v>
      </c>
      <c r="B52" s="8" t="s">
        <v>926</v>
      </c>
      <c r="D52" s="426" t="s">
        <v>1991</v>
      </c>
      <c r="E52" s="426" t="s">
        <v>1724</v>
      </c>
      <c r="F52" s="426" t="s">
        <v>1992</v>
      </c>
      <c r="G52" s="426" t="s">
        <v>1993</v>
      </c>
      <c r="H52" s="426" t="s">
        <v>1724</v>
      </c>
      <c r="I52" s="426" t="s">
        <v>1724</v>
      </c>
      <c r="J52" s="426" t="s">
        <v>1724</v>
      </c>
      <c r="K52" s="426" t="s">
        <v>1994</v>
      </c>
      <c r="L52" s="426" t="s">
        <v>1995</v>
      </c>
    </row>
    <row r="53" spans="1:12" x14ac:dyDescent="0.25">
      <c r="A53" s="8">
        <v>2700</v>
      </c>
      <c r="B53" s="8" t="s">
        <v>911</v>
      </c>
      <c r="D53" s="426" t="s">
        <v>1724</v>
      </c>
      <c r="E53" s="426" t="s">
        <v>1724</v>
      </c>
      <c r="F53" s="426" t="s">
        <v>1724</v>
      </c>
      <c r="G53" s="426" t="s">
        <v>1724</v>
      </c>
      <c r="H53" s="426" t="s">
        <v>1996</v>
      </c>
      <c r="I53" s="426" t="s">
        <v>1724</v>
      </c>
      <c r="J53" s="426" t="s">
        <v>1996</v>
      </c>
      <c r="K53" s="426" t="s">
        <v>1724</v>
      </c>
      <c r="L53" s="426" t="s">
        <v>1997</v>
      </c>
    </row>
    <row r="54" spans="1:12" x14ac:dyDescent="0.25">
      <c r="A54" s="8">
        <v>2706</v>
      </c>
      <c r="B54" s="8" t="s">
        <v>913</v>
      </c>
      <c r="D54" s="426" t="s">
        <v>1724</v>
      </c>
      <c r="E54" s="426" t="s">
        <v>1724</v>
      </c>
      <c r="F54" s="426" t="s">
        <v>1724</v>
      </c>
      <c r="G54" s="426" t="s">
        <v>1724</v>
      </c>
      <c r="H54" s="426" t="s">
        <v>1998</v>
      </c>
      <c r="I54" s="426" t="s">
        <v>1724</v>
      </c>
      <c r="J54" s="426" t="s">
        <v>1998</v>
      </c>
      <c r="K54" s="426" t="s">
        <v>1724</v>
      </c>
      <c r="L54" s="426" t="s">
        <v>1999</v>
      </c>
    </row>
    <row r="55" spans="1:12" x14ac:dyDescent="0.25">
      <c r="A55" s="8">
        <v>2759</v>
      </c>
      <c r="B55" s="8" t="s">
        <v>923</v>
      </c>
      <c r="D55" s="426" t="s">
        <v>1724</v>
      </c>
      <c r="E55" s="426" t="s">
        <v>1724</v>
      </c>
      <c r="F55" s="426" t="s">
        <v>1724</v>
      </c>
      <c r="G55" s="426" t="s">
        <v>1724</v>
      </c>
      <c r="H55" s="426" t="s">
        <v>2000</v>
      </c>
      <c r="I55" s="426" t="s">
        <v>1724</v>
      </c>
      <c r="J55" s="426" t="s">
        <v>2000</v>
      </c>
      <c r="K55" s="426" t="s">
        <v>1724</v>
      </c>
      <c r="L55" s="426" t="s">
        <v>2001</v>
      </c>
    </row>
    <row r="56" spans="1:12" x14ac:dyDescent="0.25">
      <c r="D56" s="426"/>
      <c r="E56" s="426"/>
      <c r="F56" s="426"/>
      <c r="G56" s="426"/>
      <c r="H56" s="426"/>
      <c r="I56" s="426"/>
      <c r="J56" s="426"/>
      <c r="K56" s="426"/>
      <c r="L56" s="426"/>
    </row>
    <row r="57" spans="1:12" x14ac:dyDescent="0.25">
      <c r="A57" s="8" t="s">
        <v>953</v>
      </c>
      <c r="D57" s="426" t="s">
        <v>2002</v>
      </c>
      <c r="E57" s="426" t="s">
        <v>1673</v>
      </c>
      <c r="F57" s="426" t="s">
        <v>2003</v>
      </c>
      <c r="G57" s="426" t="s">
        <v>2004</v>
      </c>
      <c r="H57" s="426" t="s">
        <v>2005</v>
      </c>
      <c r="I57" s="426" t="s">
        <v>2006</v>
      </c>
      <c r="J57" s="426" t="s">
        <v>2007</v>
      </c>
      <c r="K57" s="426" t="s">
        <v>2008</v>
      </c>
      <c r="L57" s="426" t="s">
        <v>2009</v>
      </c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MK58"/>
  <sheetViews>
    <sheetView zoomScale="154" zoomScaleNormal="154" workbookViewId="0">
      <selection sqref="A1:L58"/>
    </sheetView>
  </sheetViews>
  <sheetFormatPr defaultColWidth="8.7109375" defaultRowHeight="15" x14ac:dyDescent="0.25"/>
  <cols>
    <col min="1" max="3" width="11.5703125" style="8" customWidth="1"/>
    <col min="4" max="12" width="11.5703125" style="437" customWidth="1"/>
    <col min="13" max="14" width="3" style="8" bestFit="1" customWidth="1"/>
    <col min="15" max="1011" width="11.5703125" style="8" customWidth="1"/>
    <col min="1012" max="1025" width="11.5703125" style="1" customWidth="1"/>
  </cols>
  <sheetData>
    <row r="1" spans="1:12" ht="11.45" customHeight="1" x14ac:dyDescent="0.25">
      <c r="A1" s="8" t="s">
        <v>874</v>
      </c>
    </row>
    <row r="2" spans="1:12" ht="21" customHeight="1" x14ac:dyDescent="0.25">
      <c r="A2" s="8" t="s">
        <v>2631</v>
      </c>
    </row>
    <row r="3" spans="1:12" ht="11.45" customHeight="1" x14ac:dyDescent="0.25"/>
    <row r="4" spans="1:12" ht="11.45" customHeight="1" x14ac:dyDescent="0.25">
      <c r="A4" s="8" t="s">
        <v>875</v>
      </c>
      <c r="C4" s="8" t="s">
        <v>876</v>
      </c>
    </row>
    <row r="5" spans="1:12" ht="11.45" customHeight="1" x14ac:dyDescent="0.25"/>
    <row r="6" spans="1:12" ht="11.45" customHeight="1" x14ac:dyDescent="0.25">
      <c r="D6" s="437" t="s">
        <v>877</v>
      </c>
      <c r="E6" s="437" t="s">
        <v>878</v>
      </c>
      <c r="F6" s="437" t="s">
        <v>879</v>
      </c>
      <c r="G6" s="437" t="s">
        <v>880</v>
      </c>
      <c r="H6" s="437" t="s">
        <v>927</v>
      </c>
      <c r="I6" s="437" t="s">
        <v>928</v>
      </c>
      <c r="J6" s="437" t="s">
        <v>929</v>
      </c>
      <c r="K6" s="437" t="s">
        <v>883</v>
      </c>
      <c r="L6" s="437" t="s">
        <v>884</v>
      </c>
    </row>
    <row r="7" spans="1:12" ht="11.45" customHeight="1" x14ac:dyDescent="0.25">
      <c r="A7" s="8" t="s">
        <v>885</v>
      </c>
    </row>
    <row r="8" spans="1:12" ht="11.45" customHeight="1" x14ac:dyDescent="0.25">
      <c r="A8" s="8">
        <v>1500</v>
      </c>
      <c r="B8" s="8" t="s">
        <v>886</v>
      </c>
      <c r="D8" s="437" t="s">
        <v>1715</v>
      </c>
      <c r="E8" s="437" t="s">
        <v>2632</v>
      </c>
      <c r="F8" s="437" t="s">
        <v>2633</v>
      </c>
      <c r="G8" s="437" t="s">
        <v>2634</v>
      </c>
      <c r="H8" s="437" t="s">
        <v>2635</v>
      </c>
      <c r="I8" s="437" t="s">
        <v>2010</v>
      </c>
      <c r="J8" s="437" t="s">
        <v>2636</v>
      </c>
      <c r="K8" s="437" t="s">
        <v>2637</v>
      </c>
      <c r="L8" s="437" t="s">
        <v>2638</v>
      </c>
    </row>
    <row r="9" spans="1:12" ht="11.45" customHeight="1" x14ac:dyDescent="0.25">
      <c r="A9" s="8">
        <v>1501</v>
      </c>
      <c r="B9" s="8" t="s">
        <v>887</v>
      </c>
      <c r="D9" s="437" t="s">
        <v>1724</v>
      </c>
      <c r="E9" s="437" t="s">
        <v>2639</v>
      </c>
      <c r="F9" s="437" t="s">
        <v>2640</v>
      </c>
      <c r="G9" s="437" t="s">
        <v>2641</v>
      </c>
      <c r="H9" s="437" t="s">
        <v>1724</v>
      </c>
      <c r="I9" s="437" t="s">
        <v>1724</v>
      </c>
      <c r="J9" s="437" t="s">
        <v>1724</v>
      </c>
      <c r="K9" s="437" t="s">
        <v>2642</v>
      </c>
      <c r="L9" s="437" t="s">
        <v>2643</v>
      </c>
    </row>
    <row r="10" spans="1:12" ht="11.45" customHeight="1" x14ac:dyDescent="0.25">
      <c r="A10" s="8">
        <v>1540</v>
      </c>
      <c r="B10" s="8" t="s">
        <v>888</v>
      </c>
      <c r="D10" s="437" t="s">
        <v>1730</v>
      </c>
      <c r="E10" s="437" t="s">
        <v>2327</v>
      </c>
      <c r="F10" s="437" t="s">
        <v>2644</v>
      </c>
      <c r="G10" s="437" t="s">
        <v>2645</v>
      </c>
      <c r="H10" s="437" t="s">
        <v>2646</v>
      </c>
      <c r="I10" s="437" t="s">
        <v>1724</v>
      </c>
      <c r="J10" s="437" t="s">
        <v>2646</v>
      </c>
      <c r="K10" s="437" t="s">
        <v>2647</v>
      </c>
      <c r="L10" s="437" t="s">
        <v>2648</v>
      </c>
    </row>
    <row r="11" spans="1:12" ht="11.45" customHeight="1" x14ac:dyDescent="0.25">
      <c r="A11" s="8">
        <v>1543</v>
      </c>
      <c r="B11" s="8" t="s">
        <v>889</v>
      </c>
      <c r="D11" s="437" t="s">
        <v>1738</v>
      </c>
      <c r="E11" s="437" t="s">
        <v>2330</v>
      </c>
      <c r="F11" s="437" t="s">
        <v>1739</v>
      </c>
      <c r="G11" s="437" t="s">
        <v>2649</v>
      </c>
      <c r="H11" s="437" t="s">
        <v>2650</v>
      </c>
      <c r="I11" s="437" t="s">
        <v>2011</v>
      </c>
      <c r="J11" s="437" t="s">
        <v>2651</v>
      </c>
      <c r="K11" s="437" t="s">
        <v>2652</v>
      </c>
      <c r="L11" s="437" t="s">
        <v>2653</v>
      </c>
    </row>
    <row r="12" spans="1:12" ht="11.45" customHeight="1" x14ac:dyDescent="0.25">
      <c r="A12" s="8">
        <v>1550</v>
      </c>
      <c r="B12" s="8" t="s">
        <v>890</v>
      </c>
      <c r="D12" s="437" t="s">
        <v>1746</v>
      </c>
      <c r="E12" s="437" t="s">
        <v>2338</v>
      </c>
      <c r="F12" s="437" t="s">
        <v>2654</v>
      </c>
      <c r="G12" s="437" t="s">
        <v>2655</v>
      </c>
      <c r="H12" s="437" t="s">
        <v>2656</v>
      </c>
      <c r="I12" s="437" t="s">
        <v>2657</v>
      </c>
      <c r="J12" s="437" t="s">
        <v>2658</v>
      </c>
      <c r="K12" s="437" t="s">
        <v>2659</v>
      </c>
      <c r="L12" s="437" t="s">
        <v>2660</v>
      </c>
    </row>
    <row r="13" spans="1:12" ht="11.45" customHeight="1" x14ac:dyDescent="0.25">
      <c r="A13" s="8">
        <v>1551</v>
      </c>
      <c r="B13" s="8" t="s">
        <v>891</v>
      </c>
      <c r="D13" s="437" t="s">
        <v>1754</v>
      </c>
      <c r="E13" s="437" t="s">
        <v>2339</v>
      </c>
      <c r="F13" s="437" t="s">
        <v>1724</v>
      </c>
      <c r="G13" s="437" t="s">
        <v>2661</v>
      </c>
      <c r="H13" s="437" t="s">
        <v>1724</v>
      </c>
      <c r="I13" s="437" t="s">
        <v>1724</v>
      </c>
      <c r="J13" s="437" t="s">
        <v>1724</v>
      </c>
      <c r="K13" s="437" t="s">
        <v>1724</v>
      </c>
      <c r="L13" s="437" t="s">
        <v>2661</v>
      </c>
    </row>
    <row r="14" spans="1:12" ht="11.45" customHeight="1" x14ac:dyDescent="0.25">
      <c r="A14" s="8">
        <v>1552</v>
      </c>
      <c r="B14" s="8" t="s">
        <v>892</v>
      </c>
      <c r="D14" s="437" t="s">
        <v>1756</v>
      </c>
      <c r="E14" s="437" t="s">
        <v>2340</v>
      </c>
      <c r="F14" s="437" t="s">
        <v>2662</v>
      </c>
      <c r="G14" s="437" t="s">
        <v>2663</v>
      </c>
      <c r="H14" s="437" t="s">
        <v>2664</v>
      </c>
      <c r="I14" s="437" t="s">
        <v>1724</v>
      </c>
      <c r="J14" s="437" t="s">
        <v>2664</v>
      </c>
      <c r="K14" s="437" t="s">
        <v>2665</v>
      </c>
      <c r="L14" s="437" t="s">
        <v>2666</v>
      </c>
    </row>
    <row r="15" spans="1:12" ht="11.45" customHeight="1" x14ac:dyDescent="0.25">
      <c r="A15" s="8">
        <v>1553</v>
      </c>
      <c r="B15" s="8" t="s">
        <v>893</v>
      </c>
      <c r="D15" s="437" t="s">
        <v>1762</v>
      </c>
      <c r="E15" s="437" t="s">
        <v>2341</v>
      </c>
      <c r="F15" s="437" t="s">
        <v>1763</v>
      </c>
      <c r="G15" s="437" t="s">
        <v>2667</v>
      </c>
      <c r="H15" s="437" t="s">
        <v>1765</v>
      </c>
      <c r="I15" s="437" t="s">
        <v>1724</v>
      </c>
      <c r="J15" s="437" t="s">
        <v>1765</v>
      </c>
      <c r="K15" s="437" t="s">
        <v>1768</v>
      </c>
      <c r="L15" s="437" t="s">
        <v>2668</v>
      </c>
    </row>
    <row r="16" spans="1:12" ht="11.45" customHeight="1" x14ac:dyDescent="0.25">
      <c r="A16" s="8">
        <v>1569</v>
      </c>
      <c r="B16" s="8" t="s">
        <v>894</v>
      </c>
      <c r="D16" s="437" t="s">
        <v>1770</v>
      </c>
      <c r="E16" s="437" t="s">
        <v>2342</v>
      </c>
      <c r="F16" s="437" t="s">
        <v>2669</v>
      </c>
      <c r="G16" s="437" t="s">
        <v>2670</v>
      </c>
      <c r="H16" s="437" t="s">
        <v>2671</v>
      </c>
      <c r="I16" s="437" t="s">
        <v>1724</v>
      </c>
      <c r="J16" s="437" t="s">
        <v>2671</v>
      </c>
      <c r="K16" s="437" t="s">
        <v>2672</v>
      </c>
      <c r="L16" s="437" t="s">
        <v>2673</v>
      </c>
    </row>
    <row r="17" spans="1:12" ht="11.45" customHeight="1" x14ac:dyDescent="0.25">
      <c r="A17" s="8">
        <v>1570</v>
      </c>
      <c r="B17" s="8" t="s">
        <v>895</v>
      </c>
      <c r="D17" s="437" t="s">
        <v>1778</v>
      </c>
      <c r="E17" s="437" t="s">
        <v>2674</v>
      </c>
      <c r="F17" s="437" t="s">
        <v>2675</v>
      </c>
      <c r="G17" s="437" t="s">
        <v>2676</v>
      </c>
      <c r="H17" s="437" t="s">
        <v>2677</v>
      </c>
      <c r="I17" s="437" t="s">
        <v>2678</v>
      </c>
      <c r="J17" s="437" t="s">
        <v>2679</v>
      </c>
      <c r="K17" s="437" t="s">
        <v>2680</v>
      </c>
      <c r="L17" s="437" t="s">
        <v>2681</v>
      </c>
    </row>
    <row r="18" spans="1:12" ht="11.45" customHeight="1" x14ac:dyDescent="0.25">
      <c r="A18" s="8">
        <v>1571</v>
      </c>
      <c r="B18" s="8" t="s">
        <v>896</v>
      </c>
      <c r="D18" s="437" t="s">
        <v>1785</v>
      </c>
      <c r="E18" s="437" t="s">
        <v>2682</v>
      </c>
      <c r="F18" s="437" t="s">
        <v>2683</v>
      </c>
      <c r="G18" s="437" t="s">
        <v>2684</v>
      </c>
      <c r="H18" s="437" t="s">
        <v>2685</v>
      </c>
      <c r="I18" s="437" t="s">
        <v>2012</v>
      </c>
      <c r="J18" s="437" t="s">
        <v>2686</v>
      </c>
      <c r="K18" s="437" t="s">
        <v>2687</v>
      </c>
      <c r="L18" s="437" t="s">
        <v>2688</v>
      </c>
    </row>
    <row r="19" spans="1:12" ht="11.45" customHeight="1" x14ac:dyDescent="0.25">
      <c r="A19" s="8">
        <v>1599</v>
      </c>
      <c r="B19" s="8" t="s">
        <v>897</v>
      </c>
      <c r="D19" s="437" t="s">
        <v>1794</v>
      </c>
      <c r="E19" s="437" t="s">
        <v>2346</v>
      </c>
      <c r="F19" s="437" t="s">
        <v>1724</v>
      </c>
      <c r="G19" s="437" t="s">
        <v>2689</v>
      </c>
      <c r="H19" s="437" t="s">
        <v>1724</v>
      </c>
      <c r="I19" s="437" t="s">
        <v>1724</v>
      </c>
      <c r="J19" s="437" t="s">
        <v>1724</v>
      </c>
      <c r="K19" s="437" t="s">
        <v>1724</v>
      </c>
      <c r="L19" s="437" t="s">
        <v>2689</v>
      </c>
    </row>
    <row r="20" spans="1:12" ht="11.45" customHeight="1" x14ac:dyDescent="0.25">
      <c r="A20" s="8">
        <v>1600</v>
      </c>
      <c r="B20" s="8" t="s">
        <v>898</v>
      </c>
      <c r="D20" s="437" t="s">
        <v>2690</v>
      </c>
      <c r="E20" s="437" t="s">
        <v>2691</v>
      </c>
      <c r="F20" s="437" t="s">
        <v>2692</v>
      </c>
      <c r="G20" s="437" t="s">
        <v>2693</v>
      </c>
      <c r="H20" s="437" t="s">
        <v>2694</v>
      </c>
      <c r="I20" s="437" t="s">
        <v>2013</v>
      </c>
      <c r="J20" s="437" t="s">
        <v>2695</v>
      </c>
      <c r="K20" s="437" t="s">
        <v>2696</v>
      </c>
      <c r="L20" s="437" t="s">
        <v>2697</v>
      </c>
    </row>
    <row r="21" spans="1:12" ht="11.45" customHeight="1" x14ac:dyDescent="0.25">
      <c r="A21" s="8">
        <v>1601</v>
      </c>
      <c r="B21" s="8" t="s">
        <v>899</v>
      </c>
      <c r="D21" s="437" t="s">
        <v>1805</v>
      </c>
      <c r="E21" s="437" t="s">
        <v>2698</v>
      </c>
      <c r="F21" s="437" t="s">
        <v>1724</v>
      </c>
      <c r="G21" s="437" t="s">
        <v>2699</v>
      </c>
      <c r="H21" s="437" t="s">
        <v>1724</v>
      </c>
      <c r="I21" s="437" t="s">
        <v>2700</v>
      </c>
      <c r="J21" s="437" t="s">
        <v>2700</v>
      </c>
      <c r="K21" s="437" t="s">
        <v>1724</v>
      </c>
      <c r="L21" s="437" t="s">
        <v>2701</v>
      </c>
    </row>
    <row r="22" spans="1:12" ht="11.45" customHeight="1" x14ac:dyDescent="0.25">
      <c r="A22" s="8">
        <v>1602</v>
      </c>
      <c r="B22" s="8" t="s">
        <v>900</v>
      </c>
      <c r="D22" s="437" t="s">
        <v>1809</v>
      </c>
      <c r="E22" s="437" t="s">
        <v>2702</v>
      </c>
      <c r="F22" s="437" t="s">
        <v>1724</v>
      </c>
      <c r="G22" s="437" t="s">
        <v>2703</v>
      </c>
      <c r="H22" s="437" t="s">
        <v>1724</v>
      </c>
      <c r="I22" s="437" t="s">
        <v>1724</v>
      </c>
      <c r="J22" s="437" t="s">
        <v>1724</v>
      </c>
      <c r="K22" s="437" t="s">
        <v>1724</v>
      </c>
      <c r="L22" s="437" t="s">
        <v>2703</v>
      </c>
    </row>
    <row r="23" spans="1:12" ht="11.45" customHeight="1" x14ac:dyDescent="0.25">
      <c r="A23" s="8">
        <v>1603</v>
      </c>
      <c r="B23" s="8" t="s">
        <v>901</v>
      </c>
      <c r="D23" s="437" t="s">
        <v>1814</v>
      </c>
      <c r="E23" s="437" t="s">
        <v>2704</v>
      </c>
      <c r="F23" s="437" t="s">
        <v>1724</v>
      </c>
      <c r="G23" s="437" t="s">
        <v>2705</v>
      </c>
      <c r="H23" s="437" t="s">
        <v>1724</v>
      </c>
      <c r="I23" s="437" t="s">
        <v>1724</v>
      </c>
      <c r="J23" s="437" t="s">
        <v>1724</v>
      </c>
      <c r="K23" s="437" t="s">
        <v>1724</v>
      </c>
      <c r="L23" s="437" t="s">
        <v>2705</v>
      </c>
    </row>
    <row r="24" spans="1:12" ht="11.45" customHeight="1" x14ac:dyDescent="0.25">
      <c r="A24" s="8">
        <v>1604</v>
      </c>
      <c r="B24" s="8" t="s">
        <v>902</v>
      </c>
      <c r="D24" s="437" t="s">
        <v>2706</v>
      </c>
      <c r="E24" s="437" t="s">
        <v>2707</v>
      </c>
      <c r="F24" s="437" t="s">
        <v>2708</v>
      </c>
      <c r="G24" s="437" t="s">
        <v>2709</v>
      </c>
      <c r="H24" s="437" t="s">
        <v>2710</v>
      </c>
      <c r="I24" s="437" t="s">
        <v>1724</v>
      </c>
      <c r="J24" s="437" t="s">
        <v>2710</v>
      </c>
      <c r="K24" s="437" t="s">
        <v>2711</v>
      </c>
      <c r="L24" s="437" t="s">
        <v>2712</v>
      </c>
    </row>
    <row r="25" spans="1:12" ht="11.45" customHeight="1" x14ac:dyDescent="0.25">
      <c r="A25" s="8">
        <v>1605</v>
      </c>
      <c r="B25" s="8" t="s">
        <v>903</v>
      </c>
      <c r="D25" s="437" t="s">
        <v>1825</v>
      </c>
      <c r="E25" s="437" t="s">
        <v>2713</v>
      </c>
      <c r="F25" s="437" t="s">
        <v>2714</v>
      </c>
      <c r="G25" s="437" t="s">
        <v>2715</v>
      </c>
      <c r="H25" s="437" t="s">
        <v>2716</v>
      </c>
      <c r="I25" s="437" t="s">
        <v>1724</v>
      </c>
      <c r="J25" s="437" t="s">
        <v>2716</v>
      </c>
      <c r="K25" s="437" t="s">
        <v>2717</v>
      </c>
      <c r="L25" s="437" t="s">
        <v>2718</v>
      </c>
    </row>
    <row r="26" spans="1:12" ht="11.45" customHeight="1" x14ac:dyDescent="0.25">
      <c r="A26" s="8">
        <v>1621</v>
      </c>
      <c r="B26" s="8" t="s">
        <v>904</v>
      </c>
      <c r="D26" s="437" t="s">
        <v>1832</v>
      </c>
      <c r="E26" s="437" t="s">
        <v>2719</v>
      </c>
      <c r="F26" s="437" t="s">
        <v>2720</v>
      </c>
      <c r="G26" s="437" t="s">
        <v>2721</v>
      </c>
      <c r="H26" s="437" t="s">
        <v>2722</v>
      </c>
      <c r="I26" s="437" t="s">
        <v>2014</v>
      </c>
      <c r="J26" s="437" t="s">
        <v>2723</v>
      </c>
      <c r="K26" s="437" t="s">
        <v>2724</v>
      </c>
      <c r="L26" s="437" t="s">
        <v>2725</v>
      </c>
    </row>
    <row r="27" spans="1:12" ht="11.45" customHeight="1" x14ac:dyDescent="0.25">
      <c r="A27" s="8">
        <v>1632</v>
      </c>
      <c r="B27" s="8" t="s">
        <v>905</v>
      </c>
      <c r="D27" s="437" t="s">
        <v>1841</v>
      </c>
      <c r="E27" s="437" t="s">
        <v>2726</v>
      </c>
      <c r="F27" s="437" t="s">
        <v>1724</v>
      </c>
      <c r="G27" s="437" t="s">
        <v>2727</v>
      </c>
      <c r="H27" s="437" t="s">
        <v>1724</v>
      </c>
      <c r="I27" s="437" t="s">
        <v>1724</v>
      </c>
      <c r="J27" s="437" t="s">
        <v>1724</v>
      </c>
      <c r="K27" s="437" t="s">
        <v>1724</v>
      </c>
      <c r="L27" s="437" t="s">
        <v>2727</v>
      </c>
    </row>
    <row r="28" spans="1:12" ht="11.45" customHeight="1" x14ac:dyDescent="0.25">
      <c r="A28" s="8">
        <v>1659</v>
      </c>
      <c r="B28" s="8" t="s">
        <v>906</v>
      </c>
      <c r="D28" s="437" t="s">
        <v>1844</v>
      </c>
      <c r="E28" s="437" t="s">
        <v>2436</v>
      </c>
      <c r="F28" s="437" t="s">
        <v>2728</v>
      </c>
      <c r="G28" s="437" t="s">
        <v>2729</v>
      </c>
      <c r="H28" s="437" t="s">
        <v>2730</v>
      </c>
      <c r="I28" s="437" t="s">
        <v>1724</v>
      </c>
      <c r="J28" s="437" t="s">
        <v>2730</v>
      </c>
      <c r="K28" s="437" t="s">
        <v>2731</v>
      </c>
      <c r="L28" s="437" t="s">
        <v>2732</v>
      </c>
    </row>
    <row r="29" spans="1:12" ht="11.45" customHeight="1" x14ac:dyDescent="0.25">
      <c r="A29" s="8">
        <v>1660</v>
      </c>
      <c r="B29" s="8" t="s">
        <v>907</v>
      </c>
      <c r="D29" s="437" t="s">
        <v>1852</v>
      </c>
      <c r="E29" s="437" t="s">
        <v>2733</v>
      </c>
      <c r="F29" s="437" t="s">
        <v>2734</v>
      </c>
      <c r="G29" s="437" t="s">
        <v>2735</v>
      </c>
      <c r="H29" s="437" t="s">
        <v>2736</v>
      </c>
      <c r="I29" s="437" t="s">
        <v>2015</v>
      </c>
      <c r="J29" s="437" t="s">
        <v>2737</v>
      </c>
      <c r="K29" s="437" t="s">
        <v>2738</v>
      </c>
      <c r="L29" s="437" t="s">
        <v>2739</v>
      </c>
    </row>
    <row r="30" spans="1:12" ht="11.45" customHeight="1" x14ac:dyDescent="0.25">
      <c r="A30" s="8">
        <v>1661</v>
      </c>
      <c r="B30" s="8" t="s">
        <v>908</v>
      </c>
      <c r="D30" s="437" t="s">
        <v>1861</v>
      </c>
      <c r="E30" s="437" t="s">
        <v>2740</v>
      </c>
      <c r="F30" s="437" t="s">
        <v>1724</v>
      </c>
      <c r="G30" s="437" t="s">
        <v>2741</v>
      </c>
      <c r="H30" s="437" t="s">
        <v>1724</v>
      </c>
      <c r="I30" s="437" t="s">
        <v>1724</v>
      </c>
      <c r="J30" s="437" t="s">
        <v>1724</v>
      </c>
      <c r="K30" s="437" t="s">
        <v>1724</v>
      </c>
      <c r="L30" s="437" t="s">
        <v>2741</v>
      </c>
    </row>
    <row r="31" spans="1:12" ht="11.45" customHeight="1" x14ac:dyDescent="0.25">
      <c r="A31" s="8">
        <v>1665</v>
      </c>
      <c r="B31" s="8" t="s">
        <v>909</v>
      </c>
      <c r="D31" s="437" t="s">
        <v>1866</v>
      </c>
      <c r="E31" s="437" t="s">
        <v>2742</v>
      </c>
      <c r="F31" s="437" t="s">
        <v>1724</v>
      </c>
      <c r="G31" s="437" t="s">
        <v>2743</v>
      </c>
      <c r="H31" s="437" t="s">
        <v>1724</v>
      </c>
      <c r="I31" s="437" t="s">
        <v>1724</v>
      </c>
      <c r="J31" s="437" t="s">
        <v>1724</v>
      </c>
      <c r="K31" s="437" t="s">
        <v>1724</v>
      </c>
      <c r="L31" s="437" t="s">
        <v>2743</v>
      </c>
    </row>
    <row r="32" spans="1:12" ht="11.45" customHeight="1" x14ac:dyDescent="0.25">
      <c r="A32" s="8">
        <v>1669</v>
      </c>
      <c r="B32" s="8" t="s">
        <v>910</v>
      </c>
      <c r="D32" s="437" t="s">
        <v>1869</v>
      </c>
      <c r="E32" s="437" t="s">
        <v>1724</v>
      </c>
      <c r="F32" s="437" t="s">
        <v>1724</v>
      </c>
      <c r="G32" s="437" t="s">
        <v>1869</v>
      </c>
      <c r="H32" s="437" t="s">
        <v>1724</v>
      </c>
      <c r="I32" s="437" t="s">
        <v>1724</v>
      </c>
      <c r="J32" s="437" t="s">
        <v>1724</v>
      </c>
      <c r="K32" s="437" t="s">
        <v>1724</v>
      </c>
      <c r="L32" s="437" t="s">
        <v>1869</v>
      </c>
    </row>
    <row r="33" spans="1:12" ht="11.45" customHeight="1" x14ac:dyDescent="0.25">
      <c r="A33" s="8">
        <v>1700</v>
      </c>
      <c r="B33" s="8" t="s">
        <v>911</v>
      </c>
      <c r="D33" s="437" t="s">
        <v>1870</v>
      </c>
      <c r="E33" s="437" t="s">
        <v>2744</v>
      </c>
      <c r="F33" s="437" t="s">
        <v>2745</v>
      </c>
      <c r="G33" s="437" t="s">
        <v>2746</v>
      </c>
      <c r="H33" s="437" t="s">
        <v>1724</v>
      </c>
      <c r="I33" s="437" t="s">
        <v>1724</v>
      </c>
      <c r="J33" s="437" t="s">
        <v>1724</v>
      </c>
      <c r="K33" s="437" t="s">
        <v>2747</v>
      </c>
      <c r="L33" s="437" t="s">
        <v>2748</v>
      </c>
    </row>
    <row r="34" spans="1:12" ht="11.45" customHeight="1" x14ac:dyDescent="0.25">
      <c r="A34" s="8">
        <v>1701</v>
      </c>
      <c r="B34" s="8" t="s">
        <v>912</v>
      </c>
      <c r="D34" s="437" t="s">
        <v>1876</v>
      </c>
      <c r="E34" s="437" t="s">
        <v>2749</v>
      </c>
      <c r="F34" s="437" t="s">
        <v>1878</v>
      </c>
      <c r="G34" s="437" t="s">
        <v>2750</v>
      </c>
      <c r="H34" s="437" t="s">
        <v>1724</v>
      </c>
      <c r="I34" s="437" t="s">
        <v>2016</v>
      </c>
      <c r="J34" s="437" t="s">
        <v>2016</v>
      </c>
      <c r="K34" s="437" t="s">
        <v>1881</v>
      </c>
      <c r="L34" s="437" t="s">
        <v>2751</v>
      </c>
    </row>
    <row r="35" spans="1:12" ht="11.45" customHeight="1" x14ac:dyDescent="0.25">
      <c r="A35" s="8">
        <v>1706</v>
      </c>
      <c r="B35" s="8" t="s">
        <v>913</v>
      </c>
      <c r="D35" s="437" t="s">
        <v>1883</v>
      </c>
      <c r="E35" s="437" t="s">
        <v>2752</v>
      </c>
      <c r="F35" s="437" t="s">
        <v>2753</v>
      </c>
      <c r="G35" s="437" t="s">
        <v>2754</v>
      </c>
      <c r="H35" s="437" t="s">
        <v>2755</v>
      </c>
      <c r="I35" s="437" t="s">
        <v>1724</v>
      </c>
      <c r="J35" s="437" t="s">
        <v>2755</v>
      </c>
      <c r="K35" s="437" t="s">
        <v>2756</v>
      </c>
      <c r="L35" s="437" t="s">
        <v>2757</v>
      </c>
    </row>
    <row r="36" spans="1:12" ht="11.45" customHeight="1" x14ac:dyDescent="0.25">
      <c r="A36" s="8">
        <v>1708</v>
      </c>
      <c r="B36" s="8" t="s">
        <v>914</v>
      </c>
      <c r="D36" s="437" t="s">
        <v>1892</v>
      </c>
      <c r="E36" s="437" t="s">
        <v>2758</v>
      </c>
      <c r="F36" s="437" t="s">
        <v>2759</v>
      </c>
      <c r="G36" s="437" t="s">
        <v>2760</v>
      </c>
      <c r="H36" s="437" t="s">
        <v>1896</v>
      </c>
      <c r="I36" s="437" t="s">
        <v>1724</v>
      </c>
      <c r="J36" s="437" t="s">
        <v>1896</v>
      </c>
      <c r="K36" s="437" t="s">
        <v>2761</v>
      </c>
      <c r="L36" s="437" t="s">
        <v>2762</v>
      </c>
    </row>
    <row r="37" spans="1:12" ht="11.45" customHeight="1" x14ac:dyDescent="0.25">
      <c r="A37" s="8">
        <v>1711</v>
      </c>
      <c r="B37" s="8" t="s">
        <v>942</v>
      </c>
      <c r="D37" s="437" t="s">
        <v>1899</v>
      </c>
      <c r="E37" s="437" t="s">
        <v>2763</v>
      </c>
      <c r="F37" s="437" t="s">
        <v>1724</v>
      </c>
      <c r="G37" s="437" t="s">
        <v>2764</v>
      </c>
      <c r="H37" s="437" t="s">
        <v>1724</v>
      </c>
      <c r="I37" s="437" t="s">
        <v>1724</v>
      </c>
      <c r="J37" s="437" t="s">
        <v>1724</v>
      </c>
      <c r="K37" s="437" t="s">
        <v>1903</v>
      </c>
      <c r="L37" s="437" t="s">
        <v>2765</v>
      </c>
    </row>
    <row r="38" spans="1:12" ht="11.45" customHeight="1" x14ac:dyDescent="0.25">
      <c r="A38" s="8">
        <v>1715</v>
      </c>
      <c r="B38" s="8" t="s">
        <v>915</v>
      </c>
      <c r="D38" s="437" t="s">
        <v>1905</v>
      </c>
      <c r="E38" s="437" t="s">
        <v>2766</v>
      </c>
      <c r="F38" s="437" t="s">
        <v>1724</v>
      </c>
      <c r="G38" s="437" t="s">
        <v>2767</v>
      </c>
      <c r="H38" s="437" t="s">
        <v>1724</v>
      </c>
      <c r="I38" s="437" t="s">
        <v>1724</v>
      </c>
      <c r="J38" s="437" t="s">
        <v>1724</v>
      </c>
      <c r="K38" s="437" t="s">
        <v>1724</v>
      </c>
      <c r="L38" s="437" t="s">
        <v>2767</v>
      </c>
    </row>
    <row r="39" spans="1:12" ht="11.45" customHeight="1" x14ac:dyDescent="0.25">
      <c r="A39" s="8">
        <v>1716</v>
      </c>
      <c r="B39" s="8" t="s">
        <v>916</v>
      </c>
      <c r="D39" s="437" t="s">
        <v>1908</v>
      </c>
      <c r="E39" s="437" t="s">
        <v>2768</v>
      </c>
      <c r="F39" s="437" t="s">
        <v>1724</v>
      </c>
      <c r="G39" s="437" t="s">
        <v>2769</v>
      </c>
      <c r="H39" s="437" t="s">
        <v>1724</v>
      </c>
      <c r="I39" s="437" t="s">
        <v>1724</v>
      </c>
      <c r="J39" s="437" t="s">
        <v>1724</v>
      </c>
      <c r="K39" s="437" t="s">
        <v>1724</v>
      </c>
      <c r="L39" s="437" t="s">
        <v>2769</v>
      </c>
    </row>
    <row r="40" spans="1:12" ht="11.45" customHeight="1" x14ac:dyDescent="0.25">
      <c r="A40" s="8">
        <v>1719</v>
      </c>
      <c r="B40" s="8" t="s">
        <v>959</v>
      </c>
      <c r="D40" s="437" t="s">
        <v>1913</v>
      </c>
      <c r="E40" s="437" t="s">
        <v>2770</v>
      </c>
      <c r="F40" s="437" t="s">
        <v>1724</v>
      </c>
      <c r="G40" s="437" t="s">
        <v>2771</v>
      </c>
      <c r="H40" s="437" t="s">
        <v>1724</v>
      </c>
      <c r="I40" s="437" t="s">
        <v>1724</v>
      </c>
      <c r="J40" s="437" t="s">
        <v>1724</v>
      </c>
      <c r="K40" s="437" t="s">
        <v>1724</v>
      </c>
      <c r="L40" s="437" t="s">
        <v>2771</v>
      </c>
    </row>
    <row r="41" spans="1:12" ht="11.45" customHeight="1" x14ac:dyDescent="0.25">
      <c r="A41" s="8">
        <v>1720</v>
      </c>
      <c r="B41" s="8" t="s">
        <v>952</v>
      </c>
      <c r="D41" s="437" t="s">
        <v>1916</v>
      </c>
      <c r="E41" s="437" t="s">
        <v>2772</v>
      </c>
      <c r="F41" s="437" t="s">
        <v>2773</v>
      </c>
      <c r="G41" s="437" t="s">
        <v>2774</v>
      </c>
      <c r="H41" s="437" t="s">
        <v>2775</v>
      </c>
      <c r="I41" s="437" t="s">
        <v>1724</v>
      </c>
      <c r="J41" s="437" t="s">
        <v>2775</v>
      </c>
      <c r="K41" s="437" t="s">
        <v>2776</v>
      </c>
      <c r="L41" s="437" t="s">
        <v>2777</v>
      </c>
    </row>
    <row r="42" spans="1:12" ht="11.45" customHeight="1" x14ac:dyDescent="0.25">
      <c r="A42" s="8">
        <v>1749</v>
      </c>
      <c r="B42" s="8" t="s">
        <v>917</v>
      </c>
      <c r="D42" s="437" t="s">
        <v>1925</v>
      </c>
      <c r="E42" s="437" t="s">
        <v>2778</v>
      </c>
      <c r="F42" s="437" t="s">
        <v>2779</v>
      </c>
      <c r="G42" s="437" t="s">
        <v>2780</v>
      </c>
      <c r="H42" s="437" t="s">
        <v>2781</v>
      </c>
      <c r="I42" s="437" t="s">
        <v>1724</v>
      </c>
      <c r="J42" s="437" t="s">
        <v>2781</v>
      </c>
      <c r="K42" s="437" t="s">
        <v>2782</v>
      </c>
      <c r="L42" s="437" t="s">
        <v>2783</v>
      </c>
    </row>
    <row r="43" spans="1:12" x14ac:dyDescent="0.25">
      <c r="A43" s="8">
        <v>1750</v>
      </c>
      <c r="B43" s="8" t="s">
        <v>918</v>
      </c>
      <c r="D43" s="437" t="s">
        <v>1934</v>
      </c>
      <c r="E43" s="437" t="s">
        <v>2784</v>
      </c>
      <c r="F43" s="437" t="s">
        <v>2785</v>
      </c>
      <c r="G43" s="437" t="s">
        <v>2786</v>
      </c>
      <c r="H43" s="437" t="s">
        <v>1724</v>
      </c>
      <c r="I43" s="437" t="s">
        <v>1724</v>
      </c>
      <c r="J43" s="437" t="s">
        <v>1724</v>
      </c>
      <c r="K43" s="437" t="s">
        <v>2785</v>
      </c>
      <c r="L43" s="437" t="s">
        <v>2787</v>
      </c>
    </row>
    <row r="44" spans="1:12" x14ac:dyDescent="0.25">
      <c r="A44" s="8">
        <v>1751</v>
      </c>
      <c r="B44" s="8" t="s">
        <v>919</v>
      </c>
      <c r="D44" s="437" t="s">
        <v>1724</v>
      </c>
      <c r="E44" s="437" t="s">
        <v>1724</v>
      </c>
      <c r="F44" s="437" t="s">
        <v>1724</v>
      </c>
      <c r="G44" s="437" t="s">
        <v>1724</v>
      </c>
      <c r="H44" s="437" t="s">
        <v>2788</v>
      </c>
      <c r="I44" s="437" t="s">
        <v>1724</v>
      </c>
      <c r="J44" s="437" t="s">
        <v>2788</v>
      </c>
      <c r="K44" s="437" t="s">
        <v>1724</v>
      </c>
      <c r="L44" s="437" t="s">
        <v>2789</v>
      </c>
    </row>
    <row r="45" spans="1:12" x14ac:dyDescent="0.25">
      <c r="A45" s="8">
        <v>1752</v>
      </c>
      <c r="B45" s="8" t="s">
        <v>920</v>
      </c>
      <c r="D45" s="437" t="s">
        <v>1944</v>
      </c>
      <c r="E45" s="437" t="s">
        <v>2790</v>
      </c>
      <c r="F45" s="437" t="s">
        <v>2791</v>
      </c>
      <c r="G45" s="437" t="s">
        <v>2792</v>
      </c>
      <c r="H45" s="437" t="s">
        <v>1948</v>
      </c>
      <c r="I45" s="437" t="s">
        <v>1724</v>
      </c>
      <c r="J45" s="437" t="s">
        <v>1948</v>
      </c>
      <c r="K45" s="437" t="s">
        <v>2791</v>
      </c>
      <c r="L45" s="437" t="s">
        <v>2793</v>
      </c>
    </row>
    <row r="46" spans="1:12" x14ac:dyDescent="0.25">
      <c r="A46" s="8">
        <v>1753</v>
      </c>
      <c r="B46" s="8" t="s">
        <v>921</v>
      </c>
      <c r="D46" s="437" t="s">
        <v>1952</v>
      </c>
      <c r="E46" s="437" t="s">
        <v>2794</v>
      </c>
      <c r="F46" s="437" t="s">
        <v>1954</v>
      </c>
      <c r="G46" s="437" t="s">
        <v>2795</v>
      </c>
      <c r="H46" s="437" t="s">
        <v>2017</v>
      </c>
      <c r="I46" s="437" t="s">
        <v>1724</v>
      </c>
      <c r="J46" s="437" t="s">
        <v>2017</v>
      </c>
      <c r="K46" s="437" t="s">
        <v>1959</v>
      </c>
      <c r="L46" s="437" t="s">
        <v>2796</v>
      </c>
    </row>
    <row r="47" spans="1:12" x14ac:dyDescent="0.25">
      <c r="A47" s="8">
        <v>1754</v>
      </c>
      <c r="B47" s="8" t="s">
        <v>922</v>
      </c>
      <c r="D47" s="437" t="s">
        <v>1724</v>
      </c>
      <c r="E47" s="437" t="s">
        <v>1724</v>
      </c>
      <c r="F47" s="437" t="s">
        <v>2797</v>
      </c>
      <c r="G47" s="437" t="s">
        <v>2797</v>
      </c>
      <c r="H47" s="437" t="s">
        <v>1724</v>
      </c>
      <c r="I47" s="437" t="s">
        <v>1724</v>
      </c>
      <c r="J47" s="437" t="s">
        <v>1724</v>
      </c>
      <c r="K47" s="437" t="s">
        <v>1962</v>
      </c>
      <c r="L47" s="437" t="s">
        <v>2798</v>
      </c>
    </row>
    <row r="48" spans="1:12" x14ac:dyDescent="0.25">
      <c r="A48" s="8">
        <v>1755</v>
      </c>
      <c r="B48" s="8" t="s">
        <v>1447</v>
      </c>
      <c r="D48" s="437" t="s">
        <v>1964</v>
      </c>
      <c r="E48" s="437" t="s">
        <v>1724</v>
      </c>
      <c r="F48" s="437" t="s">
        <v>1724</v>
      </c>
      <c r="G48" s="437" t="s">
        <v>1964</v>
      </c>
      <c r="H48" s="437" t="s">
        <v>1724</v>
      </c>
      <c r="I48" s="437" t="s">
        <v>1724</v>
      </c>
      <c r="J48" s="437" t="s">
        <v>1724</v>
      </c>
      <c r="K48" s="437" t="s">
        <v>1724</v>
      </c>
      <c r="L48" s="437" t="s">
        <v>1964</v>
      </c>
    </row>
    <row r="49" spans="1:1025" x14ac:dyDescent="0.25">
      <c r="A49" s="8">
        <v>1759</v>
      </c>
      <c r="B49" s="8" t="s">
        <v>923</v>
      </c>
      <c r="D49" s="437" t="s">
        <v>1965</v>
      </c>
      <c r="E49" s="437" t="s">
        <v>2799</v>
      </c>
      <c r="F49" s="437" t="s">
        <v>2800</v>
      </c>
      <c r="G49" s="437" t="s">
        <v>2801</v>
      </c>
      <c r="H49" s="437" t="s">
        <v>2802</v>
      </c>
      <c r="I49" s="437" t="s">
        <v>1724</v>
      </c>
      <c r="J49" s="437" t="s">
        <v>2802</v>
      </c>
      <c r="K49" s="437" t="s">
        <v>2803</v>
      </c>
      <c r="L49" s="437" t="s">
        <v>2804</v>
      </c>
      <c r="N49" s="460"/>
    </row>
    <row r="50" spans="1:1025" x14ac:dyDescent="0.25">
      <c r="A50" s="8">
        <v>1800</v>
      </c>
      <c r="B50" s="8" t="s">
        <v>924</v>
      </c>
      <c r="D50" s="437" t="s">
        <v>1974</v>
      </c>
      <c r="E50" s="437" t="s">
        <v>2295</v>
      </c>
      <c r="F50" s="437" t="s">
        <v>2805</v>
      </c>
      <c r="G50" s="437" t="s">
        <v>2806</v>
      </c>
      <c r="H50" s="437" t="s">
        <v>2807</v>
      </c>
      <c r="I50" s="437" t="s">
        <v>1724</v>
      </c>
      <c r="J50" s="437" t="s">
        <v>2807</v>
      </c>
      <c r="K50" s="437" t="s">
        <v>2808</v>
      </c>
      <c r="L50" s="437" t="s">
        <v>2809</v>
      </c>
    </row>
    <row r="51" spans="1:1025" x14ac:dyDescent="0.25">
      <c r="A51" s="8">
        <v>1802</v>
      </c>
      <c r="B51" s="8" t="s">
        <v>925</v>
      </c>
      <c r="D51" s="437" t="s">
        <v>1982</v>
      </c>
      <c r="E51" s="437" t="s">
        <v>2810</v>
      </c>
      <c r="F51" s="437" t="s">
        <v>2811</v>
      </c>
      <c r="G51" s="437" t="s">
        <v>2812</v>
      </c>
      <c r="H51" s="437" t="s">
        <v>1986</v>
      </c>
      <c r="I51" s="437" t="s">
        <v>1987</v>
      </c>
      <c r="J51" s="437" t="s">
        <v>1988</v>
      </c>
      <c r="K51" s="437" t="s">
        <v>2813</v>
      </c>
      <c r="L51" s="437" t="s">
        <v>2814</v>
      </c>
    </row>
    <row r="52" spans="1:1025" x14ac:dyDescent="0.25">
      <c r="A52" s="8">
        <v>1869</v>
      </c>
      <c r="B52" s="8" t="s">
        <v>926</v>
      </c>
      <c r="D52" s="437" t="s">
        <v>1991</v>
      </c>
      <c r="E52" s="437" t="s">
        <v>1724</v>
      </c>
      <c r="F52" s="437" t="s">
        <v>2815</v>
      </c>
      <c r="G52" s="437" t="s">
        <v>2816</v>
      </c>
      <c r="H52" s="437" t="s">
        <v>1724</v>
      </c>
      <c r="I52" s="437" t="s">
        <v>1724</v>
      </c>
      <c r="J52" s="437" t="s">
        <v>1724</v>
      </c>
      <c r="K52" s="437" t="s">
        <v>2817</v>
      </c>
      <c r="L52" s="437" t="s">
        <v>2818</v>
      </c>
    </row>
    <row r="53" spans="1:1025" x14ac:dyDescent="0.25">
      <c r="A53" s="8">
        <v>2570</v>
      </c>
      <c r="B53" s="8" t="s">
        <v>895</v>
      </c>
      <c r="D53" s="437" t="s">
        <v>1724</v>
      </c>
      <c r="E53" s="437" t="s">
        <v>1724</v>
      </c>
      <c r="F53" s="437" t="s">
        <v>1724</v>
      </c>
      <c r="G53" s="437" t="s">
        <v>1724</v>
      </c>
      <c r="H53" s="437" t="s">
        <v>2819</v>
      </c>
      <c r="I53" s="437" t="s">
        <v>1724</v>
      </c>
      <c r="J53" s="437" t="s">
        <v>2819</v>
      </c>
      <c r="K53" s="437" t="s">
        <v>1724</v>
      </c>
      <c r="L53" s="437" t="s">
        <v>2820</v>
      </c>
    </row>
    <row r="54" spans="1:1025" x14ac:dyDescent="0.25">
      <c r="A54" s="8">
        <v>2700</v>
      </c>
      <c r="B54" s="8" t="s">
        <v>911</v>
      </c>
      <c r="D54" s="437" t="s">
        <v>1724</v>
      </c>
      <c r="E54" s="437" t="s">
        <v>1724</v>
      </c>
      <c r="F54" s="437" t="s">
        <v>1724</v>
      </c>
      <c r="G54" s="437" t="s">
        <v>1724</v>
      </c>
      <c r="H54" s="437" t="s">
        <v>2821</v>
      </c>
      <c r="I54" s="437" t="s">
        <v>1724</v>
      </c>
      <c r="J54" s="437" t="s">
        <v>2821</v>
      </c>
      <c r="K54" s="437" t="s">
        <v>1724</v>
      </c>
      <c r="L54" s="437" t="s">
        <v>2822</v>
      </c>
    </row>
    <row r="55" spans="1:1025" x14ac:dyDescent="0.25">
      <c r="A55" s="8">
        <v>2706</v>
      </c>
      <c r="B55" s="8" t="s">
        <v>913</v>
      </c>
      <c r="D55" s="437" t="s">
        <v>1724</v>
      </c>
      <c r="E55" s="437" t="s">
        <v>1724</v>
      </c>
      <c r="F55" s="437" t="s">
        <v>2823</v>
      </c>
      <c r="G55" s="437" t="s">
        <v>2823</v>
      </c>
      <c r="H55" s="437" t="s">
        <v>2824</v>
      </c>
      <c r="I55" s="437" t="s">
        <v>1724</v>
      </c>
      <c r="J55" s="437" t="s">
        <v>2824</v>
      </c>
      <c r="K55" s="437" t="s">
        <v>2825</v>
      </c>
      <c r="L55" s="437" t="s">
        <v>2826</v>
      </c>
    </row>
    <row r="56" spans="1:1025" s="666" customFormat="1" x14ac:dyDescent="0.25">
      <c r="A56" s="673">
        <v>2759</v>
      </c>
      <c r="B56" s="673" t="s">
        <v>923</v>
      </c>
      <c r="C56" s="673"/>
      <c r="D56" s="674" t="s">
        <v>1724</v>
      </c>
      <c r="E56" s="674" t="s">
        <v>1724</v>
      </c>
      <c r="F56" s="674" t="s">
        <v>1724</v>
      </c>
      <c r="G56" s="674" t="s">
        <v>1724</v>
      </c>
      <c r="H56" s="674" t="s">
        <v>2827</v>
      </c>
      <c r="I56" s="674" t="s">
        <v>1724</v>
      </c>
      <c r="J56" s="674" t="s">
        <v>2827</v>
      </c>
      <c r="K56" s="674" t="s">
        <v>1724</v>
      </c>
      <c r="L56" s="674" t="s">
        <v>2828</v>
      </c>
      <c r="M56" s="673"/>
      <c r="N56" s="673"/>
      <c r="O56" s="673"/>
      <c r="P56" s="673"/>
      <c r="Q56" s="673"/>
      <c r="R56" s="673"/>
      <c r="S56" s="673"/>
      <c r="T56" s="673"/>
      <c r="U56" s="673"/>
      <c r="V56" s="673"/>
      <c r="W56" s="673"/>
      <c r="X56" s="673"/>
      <c r="Y56" s="673"/>
      <c r="Z56" s="673"/>
      <c r="AA56" s="673"/>
      <c r="AB56" s="673"/>
      <c r="AC56" s="673"/>
      <c r="AD56" s="673"/>
      <c r="AE56" s="673"/>
      <c r="AF56" s="673"/>
      <c r="AG56" s="673"/>
      <c r="AH56" s="673"/>
      <c r="AI56" s="673"/>
      <c r="AJ56" s="673"/>
      <c r="AK56" s="673"/>
      <c r="AL56" s="673"/>
      <c r="AM56" s="673"/>
      <c r="AN56" s="673"/>
      <c r="AO56" s="673"/>
      <c r="AP56" s="673"/>
      <c r="AQ56" s="673"/>
      <c r="AR56" s="673"/>
      <c r="AS56" s="673"/>
      <c r="AT56" s="673"/>
      <c r="AU56" s="673"/>
      <c r="AV56" s="673"/>
      <c r="AW56" s="673"/>
      <c r="AX56" s="673"/>
      <c r="AY56" s="673"/>
      <c r="AZ56" s="673"/>
      <c r="BA56" s="673"/>
      <c r="BB56" s="673"/>
      <c r="BC56" s="673"/>
      <c r="BD56" s="673"/>
      <c r="BE56" s="673"/>
      <c r="BF56" s="673"/>
      <c r="BG56" s="673"/>
      <c r="BH56" s="673"/>
      <c r="BI56" s="673"/>
      <c r="BJ56" s="673"/>
      <c r="BK56" s="673"/>
      <c r="BL56" s="673"/>
      <c r="BM56" s="673"/>
      <c r="BN56" s="673"/>
      <c r="BO56" s="673"/>
      <c r="BP56" s="673"/>
      <c r="BQ56" s="673"/>
      <c r="BR56" s="673"/>
      <c r="BS56" s="673"/>
      <c r="BT56" s="673"/>
      <c r="BU56" s="673"/>
      <c r="BV56" s="673"/>
      <c r="BW56" s="673"/>
      <c r="BX56" s="673"/>
      <c r="BY56" s="673"/>
      <c r="BZ56" s="673"/>
      <c r="CA56" s="673"/>
      <c r="CB56" s="673"/>
      <c r="CC56" s="673"/>
      <c r="CD56" s="673"/>
      <c r="CE56" s="673"/>
      <c r="CF56" s="673"/>
      <c r="CG56" s="673"/>
      <c r="CH56" s="673"/>
      <c r="CI56" s="673"/>
      <c r="CJ56" s="673"/>
      <c r="CK56" s="673"/>
      <c r="CL56" s="673"/>
      <c r="CM56" s="673"/>
      <c r="CN56" s="673"/>
      <c r="CO56" s="673"/>
      <c r="CP56" s="673"/>
      <c r="CQ56" s="673"/>
      <c r="CR56" s="673"/>
      <c r="CS56" s="673"/>
      <c r="CT56" s="673"/>
      <c r="CU56" s="673"/>
      <c r="CV56" s="673"/>
      <c r="CW56" s="673"/>
      <c r="CX56" s="673"/>
      <c r="CY56" s="673"/>
      <c r="CZ56" s="673"/>
      <c r="DA56" s="673"/>
      <c r="DB56" s="673"/>
      <c r="DC56" s="673"/>
      <c r="DD56" s="673"/>
      <c r="DE56" s="673"/>
      <c r="DF56" s="673"/>
      <c r="DG56" s="673"/>
      <c r="DH56" s="673"/>
      <c r="DI56" s="673"/>
      <c r="DJ56" s="673"/>
      <c r="DK56" s="673"/>
      <c r="DL56" s="673"/>
      <c r="DM56" s="673"/>
      <c r="DN56" s="673"/>
      <c r="DO56" s="673"/>
      <c r="DP56" s="673"/>
      <c r="DQ56" s="673"/>
      <c r="DR56" s="673"/>
      <c r="DS56" s="673"/>
      <c r="DT56" s="673"/>
      <c r="DU56" s="673"/>
      <c r="DV56" s="673"/>
      <c r="DW56" s="673"/>
      <c r="DX56" s="673"/>
      <c r="DY56" s="673"/>
      <c r="DZ56" s="673"/>
      <c r="EA56" s="673"/>
      <c r="EB56" s="673"/>
      <c r="EC56" s="673"/>
      <c r="ED56" s="673"/>
      <c r="EE56" s="673"/>
      <c r="EF56" s="673"/>
      <c r="EG56" s="673"/>
      <c r="EH56" s="673"/>
      <c r="EI56" s="673"/>
      <c r="EJ56" s="673"/>
      <c r="EK56" s="673"/>
      <c r="EL56" s="673"/>
      <c r="EM56" s="673"/>
      <c r="EN56" s="673"/>
      <c r="EO56" s="673"/>
      <c r="EP56" s="673"/>
      <c r="EQ56" s="673"/>
      <c r="ER56" s="673"/>
      <c r="ES56" s="673"/>
      <c r="ET56" s="673"/>
      <c r="EU56" s="673"/>
      <c r="EV56" s="673"/>
      <c r="EW56" s="673"/>
      <c r="EX56" s="673"/>
      <c r="EY56" s="673"/>
      <c r="EZ56" s="673"/>
      <c r="FA56" s="673"/>
      <c r="FB56" s="673"/>
      <c r="FC56" s="673"/>
      <c r="FD56" s="673"/>
      <c r="FE56" s="673"/>
      <c r="FF56" s="673"/>
      <c r="FG56" s="673"/>
      <c r="FH56" s="673"/>
      <c r="FI56" s="673"/>
      <c r="FJ56" s="673"/>
      <c r="FK56" s="673"/>
      <c r="FL56" s="673"/>
      <c r="FM56" s="673"/>
      <c r="FN56" s="673"/>
      <c r="FO56" s="673"/>
      <c r="FP56" s="673"/>
      <c r="FQ56" s="673"/>
      <c r="FR56" s="673"/>
      <c r="FS56" s="673"/>
      <c r="FT56" s="673"/>
      <c r="FU56" s="673"/>
      <c r="FV56" s="673"/>
      <c r="FW56" s="673"/>
      <c r="FX56" s="673"/>
      <c r="FY56" s="673"/>
      <c r="FZ56" s="673"/>
      <c r="GA56" s="673"/>
      <c r="GB56" s="673"/>
      <c r="GC56" s="673"/>
      <c r="GD56" s="673"/>
      <c r="GE56" s="673"/>
      <c r="GF56" s="673"/>
      <c r="GG56" s="673"/>
      <c r="GH56" s="673"/>
      <c r="GI56" s="673"/>
      <c r="GJ56" s="673"/>
      <c r="GK56" s="673"/>
      <c r="GL56" s="673"/>
      <c r="GM56" s="673"/>
      <c r="GN56" s="673"/>
      <c r="GO56" s="673"/>
      <c r="GP56" s="673"/>
      <c r="GQ56" s="673"/>
      <c r="GR56" s="673"/>
      <c r="GS56" s="673"/>
      <c r="GT56" s="673"/>
      <c r="GU56" s="673"/>
      <c r="GV56" s="673"/>
      <c r="GW56" s="673"/>
      <c r="GX56" s="673"/>
      <c r="GY56" s="673"/>
      <c r="GZ56" s="673"/>
      <c r="HA56" s="673"/>
      <c r="HB56" s="673"/>
      <c r="HC56" s="673"/>
      <c r="HD56" s="673"/>
      <c r="HE56" s="673"/>
      <c r="HF56" s="673"/>
      <c r="HG56" s="673"/>
      <c r="HH56" s="673"/>
      <c r="HI56" s="673"/>
      <c r="HJ56" s="673"/>
      <c r="HK56" s="673"/>
      <c r="HL56" s="673"/>
      <c r="HM56" s="673"/>
      <c r="HN56" s="673"/>
      <c r="HO56" s="673"/>
      <c r="HP56" s="673"/>
      <c r="HQ56" s="673"/>
      <c r="HR56" s="673"/>
      <c r="HS56" s="673"/>
      <c r="HT56" s="673"/>
      <c r="HU56" s="673"/>
      <c r="HV56" s="673"/>
      <c r="HW56" s="673"/>
      <c r="HX56" s="673"/>
      <c r="HY56" s="673"/>
      <c r="HZ56" s="673"/>
      <c r="IA56" s="673"/>
      <c r="IB56" s="673"/>
      <c r="IC56" s="673"/>
      <c r="ID56" s="673"/>
      <c r="IE56" s="673"/>
      <c r="IF56" s="673"/>
      <c r="IG56" s="673"/>
      <c r="IH56" s="673"/>
      <c r="II56" s="673"/>
      <c r="IJ56" s="673"/>
      <c r="IK56" s="673"/>
      <c r="IL56" s="673"/>
      <c r="IM56" s="673"/>
      <c r="IN56" s="673"/>
      <c r="IO56" s="673"/>
      <c r="IP56" s="673"/>
      <c r="IQ56" s="673"/>
      <c r="IR56" s="673"/>
      <c r="IS56" s="673"/>
      <c r="IT56" s="673"/>
      <c r="IU56" s="673"/>
      <c r="IV56" s="673"/>
      <c r="IW56" s="673"/>
      <c r="IX56" s="673"/>
      <c r="IY56" s="673"/>
      <c r="IZ56" s="673"/>
      <c r="JA56" s="673"/>
      <c r="JB56" s="673"/>
      <c r="JC56" s="673"/>
      <c r="JD56" s="673"/>
      <c r="JE56" s="673"/>
      <c r="JF56" s="673"/>
      <c r="JG56" s="673"/>
      <c r="JH56" s="673"/>
      <c r="JI56" s="673"/>
      <c r="JJ56" s="673"/>
      <c r="JK56" s="673"/>
      <c r="JL56" s="673"/>
      <c r="JM56" s="673"/>
      <c r="JN56" s="673"/>
      <c r="JO56" s="673"/>
      <c r="JP56" s="673"/>
      <c r="JQ56" s="673"/>
      <c r="JR56" s="673"/>
      <c r="JS56" s="673"/>
      <c r="JT56" s="673"/>
      <c r="JU56" s="673"/>
      <c r="JV56" s="673"/>
      <c r="JW56" s="673"/>
      <c r="JX56" s="673"/>
      <c r="JY56" s="673"/>
      <c r="JZ56" s="673"/>
      <c r="KA56" s="673"/>
      <c r="KB56" s="673"/>
      <c r="KC56" s="673"/>
      <c r="KD56" s="673"/>
      <c r="KE56" s="673"/>
      <c r="KF56" s="673"/>
      <c r="KG56" s="673"/>
      <c r="KH56" s="673"/>
      <c r="KI56" s="673"/>
      <c r="KJ56" s="673"/>
      <c r="KK56" s="673"/>
      <c r="KL56" s="673"/>
      <c r="KM56" s="673"/>
      <c r="KN56" s="673"/>
      <c r="KO56" s="673"/>
      <c r="KP56" s="673"/>
      <c r="KQ56" s="673"/>
      <c r="KR56" s="673"/>
      <c r="KS56" s="673"/>
      <c r="KT56" s="673"/>
      <c r="KU56" s="673"/>
      <c r="KV56" s="673"/>
      <c r="KW56" s="673"/>
      <c r="KX56" s="673"/>
      <c r="KY56" s="673"/>
      <c r="KZ56" s="673"/>
      <c r="LA56" s="673"/>
      <c r="LB56" s="673"/>
      <c r="LC56" s="673"/>
      <c r="LD56" s="673"/>
      <c r="LE56" s="673"/>
      <c r="LF56" s="673"/>
      <c r="LG56" s="673"/>
      <c r="LH56" s="673"/>
      <c r="LI56" s="673"/>
      <c r="LJ56" s="673"/>
      <c r="LK56" s="673"/>
      <c r="LL56" s="673"/>
      <c r="LM56" s="673"/>
      <c r="LN56" s="673"/>
      <c r="LO56" s="673"/>
      <c r="LP56" s="673"/>
      <c r="LQ56" s="673"/>
      <c r="LR56" s="673"/>
      <c r="LS56" s="673"/>
      <c r="LT56" s="673"/>
      <c r="LU56" s="673"/>
      <c r="LV56" s="673"/>
      <c r="LW56" s="673"/>
      <c r="LX56" s="673"/>
      <c r="LY56" s="673"/>
      <c r="LZ56" s="673"/>
      <c r="MA56" s="673"/>
      <c r="MB56" s="673"/>
      <c r="MC56" s="673"/>
      <c r="MD56" s="673"/>
      <c r="ME56" s="673"/>
      <c r="MF56" s="673"/>
      <c r="MG56" s="673"/>
      <c r="MH56" s="673"/>
      <c r="MI56" s="673"/>
      <c r="MJ56" s="673"/>
      <c r="MK56" s="673"/>
      <c r="ML56" s="673"/>
      <c r="MM56" s="673"/>
      <c r="MN56" s="673"/>
      <c r="MO56" s="673"/>
      <c r="MP56" s="673"/>
      <c r="MQ56" s="673"/>
      <c r="MR56" s="673"/>
      <c r="MS56" s="673"/>
      <c r="MT56" s="673"/>
      <c r="MU56" s="673"/>
      <c r="MV56" s="673"/>
      <c r="MW56" s="673"/>
      <c r="MX56" s="673"/>
      <c r="MY56" s="673"/>
      <c r="MZ56" s="673"/>
      <c r="NA56" s="673"/>
      <c r="NB56" s="673"/>
      <c r="NC56" s="673"/>
      <c r="ND56" s="673"/>
      <c r="NE56" s="673"/>
      <c r="NF56" s="673"/>
      <c r="NG56" s="673"/>
      <c r="NH56" s="673"/>
      <c r="NI56" s="673"/>
      <c r="NJ56" s="673"/>
      <c r="NK56" s="673"/>
      <c r="NL56" s="673"/>
      <c r="NM56" s="673"/>
      <c r="NN56" s="673"/>
      <c r="NO56" s="673"/>
      <c r="NP56" s="673"/>
      <c r="NQ56" s="673"/>
      <c r="NR56" s="673"/>
      <c r="NS56" s="673"/>
      <c r="NT56" s="673"/>
      <c r="NU56" s="673"/>
      <c r="NV56" s="673"/>
      <c r="NW56" s="673"/>
      <c r="NX56" s="673"/>
      <c r="NY56" s="673"/>
      <c r="NZ56" s="673"/>
      <c r="OA56" s="673"/>
      <c r="OB56" s="673"/>
      <c r="OC56" s="673"/>
      <c r="OD56" s="673"/>
      <c r="OE56" s="673"/>
      <c r="OF56" s="673"/>
      <c r="OG56" s="673"/>
      <c r="OH56" s="673"/>
      <c r="OI56" s="673"/>
      <c r="OJ56" s="673"/>
      <c r="OK56" s="673"/>
      <c r="OL56" s="673"/>
      <c r="OM56" s="673"/>
      <c r="ON56" s="673"/>
      <c r="OO56" s="673"/>
      <c r="OP56" s="673"/>
      <c r="OQ56" s="673"/>
      <c r="OR56" s="673"/>
      <c r="OS56" s="673"/>
      <c r="OT56" s="673"/>
      <c r="OU56" s="673"/>
      <c r="OV56" s="673"/>
      <c r="OW56" s="673"/>
      <c r="OX56" s="673"/>
      <c r="OY56" s="673"/>
      <c r="OZ56" s="673"/>
      <c r="PA56" s="673"/>
      <c r="PB56" s="673"/>
      <c r="PC56" s="673"/>
      <c r="PD56" s="673"/>
      <c r="PE56" s="673"/>
      <c r="PF56" s="673"/>
      <c r="PG56" s="673"/>
      <c r="PH56" s="673"/>
      <c r="PI56" s="673"/>
      <c r="PJ56" s="673"/>
      <c r="PK56" s="673"/>
      <c r="PL56" s="673"/>
      <c r="PM56" s="673"/>
      <c r="PN56" s="673"/>
      <c r="PO56" s="673"/>
      <c r="PP56" s="673"/>
      <c r="PQ56" s="673"/>
      <c r="PR56" s="673"/>
      <c r="PS56" s="673"/>
      <c r="PT56" s="673"/>
      <c r="PU56" s="673"/>
      <c r="PV56" s="673"/>
      <c r="PW56" s="673"/>
      <c r="PX56" s="673"/>
      <c r="PY56" s="673"/>
      <c r="PZ56" s="673"/>
      <c r="QA56" s="673"/>
      <c r="QB56" s="673"/>
      <c r="QC56" s="673"/>
      <c r="QD56" s="673"/>
      <c r="QE56" s="673"/>
      <c r="QF56" s="673"/>
      <c r="QG56" s="673"/>
      <c r="QH56" s="673"/>
      <c r="QI56" s="673"/>
      <c r="QJ56" s="673"/>
      <c r="QK56" s="673"/>
      <c r="QL56" s="673"/>
      <c r="QM56" s="673"/>
      <c r="QN56" s="673"/>
      <c r="QO56" s="673"/>
      <c r="QP56" s="673"/>
      <c r="QQ56" s="673"/>
      <c r="QR56" s="673"/>
      <c r="QS56" s="673"/>
      <c r="QT56" s="673"/>
      <c r="QU56" s="673"/>
      <c r="QV56" s="673"/>
      <c r="QW56" s="673"/>
      <c r="QX56" s="673"/>
      <c r="QY56" s="673"/>
      <c r="QZ56" s="673"/>
      <c r="RA56" s="673"/>
      <c r="RB56" s="673"/>
      <c r="RC56" s="673"/>
      <c r="RD56" s="673"/>
      <c r="RE56" s="673"/>
      <c r="RF56" s="673"/>
      <c r="RG56" s="673"/>
      <c r="RH56" s="673"/>
      <c r="RI56" s="673"/>
      <c r="RJ56" s="673"/>
      <c r="RK56" s="673"/>
      <c r="RL56" s="673"/>
      <c r="RM56" s="673"/>
      <c r="RN56" s="673"/>
      <c r="RO56" s="673"/>
      <c r="RP56" s="673"/>
      <c r="RQ56" s="673"/>
      <c r="RR56" s="673"/>
      <c r="RS56" s="673"/>
      <c r="RT56" s="673"/>
      <c r="RU56" s="673"/>
      <c r="RV56" s="673"/>
      <c r="RW56" s="673"/>
      <c r="RX56" s="673"/>
      <c r="RY56" s="673"/>
      <c r="RZ56" s="673"/>
      <c r="SA56" s="673"/>
      <c r="SB56" s="673"/>
      <c r="SC56" s="673"/>
      <c r="SD56" s="673"/>
      <c r="SE56" s="673"/>
      <c r="SF56" s="673"/>
      <c r="SG56" s="673"/>
      <c r="SH56" s="673"/>
      <c r="SI56" s="673"/>
      <c r="SJ56" s="673"/>
      <c r="SK56" s="673"/>
      <c r="SL56" s="673"/>
      <c r="SM56" s="673"/>
      <c r="SN56" s="673"/>
      <c r="SO56" s="673"/>
      <c r="SP56" s="673"/>
      <c r="SQ56" s="673"/>
      <c r="SR56" s="673"/>
      <c r="SS56" s="673"/>
      <c r="ST56" s="673"/>
      <c r="SU56" s="673"/>
      <c r="SV56" s="673"/>
      <c r="SW56" s="673"/>
      <c r="SX56" s="673"/>
      <c r="SY56" s="673"/>
      <c r="SZ56" s="673"/>
      <c r="TA56" s="673"/>
      <c r="TB56" s="673"/>
      <c r="TC56" s="673"/>
      <c r="TD56" s="673"/>
      <c r="TE56" s="673"/>
      <c r="TF56" s="673"/>
      <c r="TG56" s="673"/>
      <c r="TH56" s="673"/>
      <c r="TI56" s="673"/>
      <c r="TJ56" s="673"/>
      <c r="TK56" s="673"/>
      <c r="TL56" s="673"/>
      <c r="TM56" s="673"/>
      <c r="TN56" s="673"/>
      <c r="TO56" s="673"/>
      <c r="TP56" s="673"/>
      <c r="TQ56" s="673"/>
      <c r="TR56" s="673"/>
      <c r="TS56" s="673"/>
      <c r="TT56" s="673"/>
      <c r="TU56" s="673"/>
      <c r="TV56" s="673"/>
      <c r="TW56" s="673"/>
      <c r="TX56" s="673"/>
      <c r="TY56" s="673"/>
      <c r="TZ56" s="673"/>
      <c r="UA56" s="673"/>
      <c r="UB56" s="673"/>
      <c r="UC56" s="673"/>
      <c r="UD56" s="673"/>
      <c r="UE56" s="673"/>
      <c r="UF56" s="673"/>
      <c r="UG56" s="673"/>
      <c r="UH56" s="673"/>
      <c r="UI56" s="673"/>
      <c r="UJ56" s="673"/>
      <c r="UK56" s="673"/>
      <c r="UL56" s="673"/>
      <c r="UM56" s="673"/>
      <c r="UN56" s="673"/>
      <c r="UO56" s="673"/>
      <c r="UP56" s="673"/>
      <c r="UQ56" s="673"/>
      <c r="UR56" s="673"/>
      <c r="US56" s="673"/>
      <c r="UT56" s="673"/>
      <c r="UU56" s="673"/>
      <c r="UV56" s="673"/>
      <c r="UW56" s="673"/>
      <c r="UX56" s="673"/>
      <c r="UY56" s="673"/>
      <c r="UZ56" s="673"/>
      <c r="VA56" s="673"/>
      <c r="VB56" s="673"/>
      <c r="VC56" s="673"/>
      <c r="VD56" s="673"/>
      <c r="VE56" s="673"/>
      <c r="VF56" s="673"/>
      <c r="VG56" s="673"/>
      <c r="VH56" s="673"/>
      <c r="VI56" s="673"/>
      <c r="VJ56" s="673"/>
      <c r="VK56" s="673"/>
      <c r="VL56" s="673"/>
      <c r="VM56" s="673"/>
      <c r="VN56" s="673"/>
      <c r="VO56" s="673"/>
      <c r="VP56" s="673"/>
      <c r="VQ56" s="673"/>
      <c r="VR56" s="673"/>
      <c r="VS56" s="673"/>
      <c r="VT56" s="673"/>
      <c r="VU56" s="673"/>
      <c r="VV56" s="673"/>
      <c r="VW56" s="673"/>
      <c r="VX56" s="673"/>
      <c r="VY56" s="673"/>
      <c r="VZ56" s="673"/>
      <c r="WA56" s="673"/>
      <c r="WB56" s="673"/>
      <c r="WC56" s="673"/>
      <c r="WD56" s="673"/>
      <c r="WE56" s="673"/>
      <c r="WF56" s="673"/>
      <c r="WG56" s="673"/>
      <c r="WH56" s="673"/>
      <c r="WI56" s="673"/>
      <c r="WJ56" s="673"/>
      <c r="WK56" s="673"/>
      <c r="WL56" s="673"/>
      <c r="WM56" s="673"/>
      <c r="WN56" s="673"/>
      <c r="WO56" s="673"/>
      <c r="WP56" s="673"/>
      <c r="WQ56" s="673"/>
      <c r="WR56" s="673"/>
      <c r="WS56" s="673"/>
      <c r="WT56" s="673"/>
      <c r="WU56" s="673"/>
      <c r="WV56" s="673"/>
      <c r="WW56" s="673"/>
      <c r="WX56" s="673"/>
      <c r="WY56" s="673"/>
      <c r="WZ56" s="673"/>
      <c r="XA56" s="673"/>
      <c r="XB56" s="673"/>
      <c r="XC56" s="673"/>
      <c r="XD56" s="673"/>
      <c r="XE56" s="673"/>
      <c r="XF56" s="673"/>
      <c r="XG56" s="673"/>
      <c r="XH56" s="673"/>
      <c r="XI56" s="673"/>
      <c r="XJ56" s="673"/>
      <c r="XK56" s="673"/>
      <c r="XL56" s="673"/>
      <c r="XM56" s="673"/>
      <c r="XN56" s="673"/>
      <c r="XO56" s="673"/>
      <c r="XP56" s="673"/>
      <c r="XQ56" s="673"/>
      <c r="XR56" s="673"/>
      <c r="XS56" s="673"/>
      <c r="XT56" s="673"/>
      <c r="XU56" s="673"/>
      <c r="XV56" s="673"/>
      <c r="XW56" s="673"/>
      <c r="XX56" s="673"/>
      <c r="XY56" s="673"/>
      <c r="XZ56" s="673"/>
      <c r="YA56" s="673"/>
      <c r="YB56" s="673"/>
      <c r="YC56" s="673"/>
      <c r="YD56" s="673"/>
      <c r="YE56" s="673"/>
      <c r="YF56" s="673"/>
      <c r="YG56" s="673"/>
      <c r="YH56" s="673"/>
      <c r="YI56" s="673"/>
      <c r="YJ56" s="673"/>
      <c r="YK56" s="673"/>
      <c r="YL56" s="673"/>
      <c r="YM56" s="673"/>
      <c r="YN56" s="673"/>
      <c r="YO56" s="673"/>
      <c r="YP56" s="673"/>
      <c r="YQ56" s="673"/>
      <c r="YR56" s="673"/>
      <c r="YS56" s="673"/>
      <c r="YT56" s="673"/>
      <c r="YU56" s="673"/>
      <c r="YV56" s="673"/>
      <c r="YW56" s="673"/>
      <c r="YX56" s="673"/>
      <c r="YY56" s="673"/>
      <c r="YZ56" s="673"/>
      <c r="ZA56" s="673"/>
      <c r="ZB56" s="673"/>
      <c r="ZC56" s="673"/>
      <c r="ZD56" s="673"/>
      <c r="ZE56" s="673"/>
      <c r="ZF56" s="673"/>
      <c r="ZG56" s="673"/>
      <c r="ZH56" s="673"/>
      <c r="ZI56" s="673"/>
      <c r="ZJ56" s="673"/>
      <c r="ZK56" s="673"/>
      <c r="ZL56" s="673"/>
      <c r="ZM56" s="673"/>
      <c r="ZN56" s="673"/>
      <c r="ZO56" s="673"/>
      <c r="ZP56" s="673"/>
      <c r="ZQ56" s="673"/>
      <c r="ZR56" s="673"/>
      <c r="ZS56" s="673"/>
      <c r="ZT56" s="673"/>
      <c r="ZU56" s="673"/>
      <c r="ZV56" s="673"/>
      <c r="ZW56" s="673"/>
      <c r="ZX56" s="673"/>
      <c r="ZY56" s="673"/>
      <c r="ZZ56" s="673"/>
      <c r="AAA56" s="673"/>
      <c r="AAB56" s="673"/>
      <c r="AAC56" s="673"/>
      <c r="AAD56" s="673"/>
      <c r="AAE56" s="673"/>
      <c r="AAF56" s="673"/>
      <c r="AAG56" s="673"/>
      <c r="AAH56" s="673"/>
      <c r="AAI56" s="673"/>
      <c r="AAJ56" s="673"/>
      <c r="AAK56" s="673"/>
      <c r="AAL56" s="673"/>
      <c r="AAM56" s="673"/>
      <c r="AAN56" s="673"/>
      <c r="AAO56" s="673"/>
      <c r="AAP56" s="673"/>
      <c r="AAQ56" s="673"/>
      <c r="AAR56" s="673"/>
      <c r="AAS56" s="673"/>
      <c r="AAT56" s="673"/>
      <c r="AAU56" s="673"/>
      <c r="AAV56" s="673"/>
      <c r="AAW56" s="673"/>
      <c r="AAX56" s="673"/>
      <c r="AAY56" s="673"/>
      <c r="AAZ56" s="673"/>
      <c r="ABA56" s="673"/>
      <c r="ABB56" s="673"/>
      <c r="ABC56" s="673"/>
      <c r="ABD56" s="673"/>
      <c r="ABE56" s="673"/>
      <c r="ABF56" s="673"/>
      <c r="ABG56" s="673"/>
      <c r="ABH56" s="673"/>
      <c r="ABI56" s="673"/>
      <c r="ABJ56" s="673"/>
      <c r="ABK56" s="673"/>
      <c r="ABL56" s="673"/>
      <c r="ABM56" s="673"/>
      <c r="ABN56" s="673"/>
      <c r="ABO56" s="673"/>
      <c r="ABP56" s="673"/>
      <c r="ABQ56" s="673"/>
      <c r="ABR56" s="673"/>
      <c r="ABS56" s="673"/>
      <c r="ABT56" s="673"/>
      <c r="ABU56" s="673"/>
      <c r="ABV56" s="673"/>
      <c r="ABW56" s="673"/>
      <c r="ABX56" s="673"/>
      <c r="ABY56" s="673"/>
      <c r="ABZ56" s="673"/>
      <c r="ACA56" s="673"/>
      <c r="ACB56" s="673"/>
      <c r="ACC56" s="673"/>
      <c r="ACD56" s="673"/>
      <c r="ACE56" s="673"/>
      <c r="ACF56" s="673"/>
      <c r="ACG56" s="673"/>
      <c r="ACH56" s="673"/>
      <c r="ACI56" s="673"/>
      <c r="ACJ56" s="673"/>
      <c r="ACK56" s="673"/>
      <c r="ACL56" s="673"/>
      <c r="ACM56" s="673"/>
      <c r="ACN56" s="673"/>
      <c r="ACO56" s="673"/>
      <c r="ACP56" s="673"/>
      <c r="ACQ56" s="673"/>
      <c r="ACR56" s="673"/>
      <c r="ACS56" s="673"/>
      <c r="ACT56" s="673"/>
      <c r="ACU56" s="673"/>
      <c r="ACV56" s="673"/>
      <c r="ACW56" s="673"/>
      <c r="ACX56" s="673"/>
      <c r="ACY56" s="673"/>
      <c r="ACZ56" s="673"/>
      <c r="ADA56" s="673"/>
      <c r="ADB56" s="673"/>
      <c r="ADC56" s="673"/>
      <c r="ADD56" s="673"/>
      <c r="ADE56" s="673"/>
      <c r="ADF56" s="673"/>
      <c r="ADG56" s="673"/>
      <c r="ADH56" s="673"/>
      <c r="ADI56" s="673"/>
      <c r="ADJ56" s="673"/>
      <c r="ADK56" s="673"/>
      <c r="ADL56" s="673"/>
      <c r="ADM56" s="673"/>
      <c r="ADN56" s="673"/>
      <c r="ADO56" s="673"/>
      <c r="ADP56" s="673"/>
      <c r="ADQ56" s="673"/>
      <c r="ADR56" s="673"/>
      <c r="ADS56" s="673"/>
      <c r="ADT56" s="673"/>
      <c r="ADU56" s="673"/>
      <c r="ADV56" s="673"/>
      <c r="ADW56" s="673"/>
      <c r="ADX56" s="673"/>
      <c r="ADY56" s="673"/>
      <c r="ADZ56" s="673"/>
      <c r="AEA56" s="673"/>
      <c r="AEB56" s="673"/>
      <c r="AEC56" s="673"/>
      <c r="AED56" s="673"/>
      <c r="AEE56" s="673"/>
      <c r="AEF56" s="673"/>
      <c r="AEG56" s="673"/>
      <c r="AEH56" s="673"/>
      <c r="AEI56" s="673"/>
      <c r="AEJ56" s="673"/>
      <c r="AEK56" s="673"/>
      <c r="AEL56" s="673"/>
      <c r="AEM56" s="673"/>
      <c r="AEN56" s="673"/>
      <c r="AEO56" s="673"/>
      <c r="AEP56" s="673"/>
      <c r="AEQ56" s="673"/>
      <c r="AER56" s="673"/>
      <c r="AES56" s="673"/>
      <c r="AET56" s="673"/>
      <c r="AEU56" s="673"/>
      <c r="AEV56" s="673"/>
      <c r="AEW56" s="673"/>
      <c r="AEX56" s="673"/>
      <c r="AEY56" s="673"/>
      <c r="AEZ56" s="673"/>
      <c r="AFA56" s="673"/>
      <c r="AFB56" s="673"/>
      <c r="AFC56" s="673"/>
      <c r="AFD56" s="673"/>
      <c r="AFE56" s="673"/>
      <c r="AFF56" s="673"/>
      <c r="AFG56" s="673"/>
      <c r="AFH56" s="673"/>
      <c r="AFI56" s="673"/>
      <c r="AFJ56" s="673"/>
      <c r="AFK56" s="673"/>
      <c r="AFL56" s="673"/>
      <c r="AFM56" s="673"/>
      <c r="AFN56" s="673"/>
      <c r="AFO56" s="673"/>
      <c r="AFP56" s="673"/>
      <c r="AFQ56" s="673"/>
      <c r="AFR56" s="673"/>
      <c r="AFS56" s="673"/>
      <c r="AFT56" s="673"/>
      <c r="AFU56" s="673"/>
      <c r="AFV56" s="673"/>
      <c r="AFW56" s="673"/>
      <c r="AFX56" s="673"/>
      <c r="AFY56" s="673"/>
      <c r="AFZ56" s="673"/>
      <c r="AGA56" s="673"/>
      <c r="AGB56" s="673"/>
      <c r="AGC56" s="673"/>
      <c r="AGD56" s="673"/>
      <c r="AGE56" s="673"/>
      <c r="AGF56" s="673"/>
      <c r="AGG56" s="673"/>
      <c r="AGH56" s="673"/>
      <c r="AGI56" s="673"/>
      <c r="AGJ56" s="673"/>
      <c r="AGK56" s="673"/>
      <c r="AGL56" s="673"/>
      <c r="AGM56" s="673"/>
      <c r="AGN56" s="673"/>
      <c r="AGO56" s="673"/>
      <c r="AGP56" s="673"/>
      <c r="AGQ56" s="673"/>
      <c r="AGR56" s="673"/>
      <c r="AGS56" s="673"/>
      <c r="AGT56" s="673"/>
      <c r="AGU56" s="673"/>
      <c r="AGV56" s="673"/>
      <c r="AGW56" s="673"/>
      <c r="AGX56" s="673"/>
      <c r="AGY56" s="673"/>
      <c r="AGZ56" s="673"/>
      <c r="AHA56" s="673"/>
      <c r="AHB56" s="673"/>
      <c r="AHC56" s="673"/>
      <c r="AHD56" s="673"/>
      <c r="AHE56" s="673"/>
      <c r="AHF56" s="673"/>
      <c r="AHG56" s="673"/>
      <c r="AHH56" s="673"/>
      <c r="AHI56" s="673"/>
      <c r="AHJ56" s="673"/>
      <c r="AHK56" s="673"/>
      <c r="AHL56" s="673"/>
      <c r="AHM56" s="673"/>
      <c r="AHN56" s="673"/>
      <c r="AHO56" s="673"/>
      <c r="AHP56" s="673"/>
      <c r="AHQ56" s="673"/>
      <c r="AHR56" s="673"/>
      <c r="AHS56" s="673"/>
      <c r="AHT56" s="673"/>
      <c r="AHU56" s="673"/>
      <c r="AHV56" s="673"/>
      <c r="AHW56" s="673"/>
      <c r="AHX56" s="673"/>
      <c r="AHY56" s="673"/>
      <c r="AHZ56" s="673"/>
      <c r="AIA56" s="673"/>
      <c r="AIB56" s="673"/>
      <c r="AIC56" s="673"/>
      <c r="AID56" s="673"/>
      <c r="AIE56" s="673"/>
      <c r="AIF56" s="673"/>
      <c r="AIG56" s="673"/>
      <c r="AIH56" s="673"/>
      <c r="AII56" s="673"/>
      <c r="AIJ56" s="673"/>
      <c r="AIK56" s="673"/>
      <c r="AIL56" s="673"/>
      <c r="AIM56" s="673"/>
      <c r="AIN56" s="673"/>
      <c r="AIO56" s="673"/>
      <c r="AIP56" s="673"/>
      <c r="AIQ56" s="673"/>
      <c r="AIR56" s="673"/>
      <c r="AIS56" s="673"/>
      <c r="AIT56" s="673"/>
      <c r="AIU56" s="673"/>
      <c r="AIV56" s="673"/>
      <c r="AIW56" s="673"/>
      <c r="AIX56" s="673"/>
      <c r="AIY56" s="673"/>
      <c r="AIZ56" s="673"/>
      <c r="AJA56" s="673"/>
      <c r="AJB56" s="673"/>
      <c r="AJC56" s="673"/>
      <c r="AJD56" s="673"/>
      <c r="AJE56" s="673"/>
      <c r="AJF56" s="673"/>
      <c r="AJG56" s="673"/>
      <c r="AJH56" s="673"/>
      <c r="AJI56" s="673"/>
      <c r="AJJ56" s="673"/>
      <c r="AJK56" s="673"/>
      <c r="AJL56" s="673"/>
      <c r="AJM56" s="673"/>
      <c r="AJN56" s="673"/>
      <c r="AJO56" s="673"/>
      <c r="AJP56" s="673"/>
      <c r="AJQ56" s="673"/>
      <c r="AJR56" s="673"/>
      <c r="AJS56" s="673"/>
      <c r="AJT56" s="673"/>
      <c r="AJU56" s="673"/>
      <c r="AJV56" s="673"/>
      <c r="AJW56" s="673"/>
      <c r="AJX56" s="673"/>
      <c r="AJY56" s="673"/>
      <c r="AJZ56" s="673"/>
      <c r="AKA56" s="673"/>
      <c r="AKB56" s="673"/>
      <c r="AKC56" s="673"/>
      <c r="AKD56" s="673"/>
      <c r="AKE56" s="673"/>
      <c r="AKF56" s="673"/>
      <c r="AKG56" s="673"/>
      <c r="AKH56" s="673"/>
      <c r="AKI56" s="673"/>
      <c r="AKJ56" s="673"/>
      <c r="AKK56" s="673"/>
      <c r="AKL56" s="673"/>
      <c r="AKM56" s="673"/>
      <c r="AKN56" s="673"/>
      <c r="AKO56" s="673"/>
      <c r="AKP56" s="673"/>
      <c r="AKQ56" s="673"/>
      <c r="AKR56" s="673"/>
      <c r="AKS56" s="673"/>
      <c r="AKT56" s="673"/>
      <c r="AKU56" s="673"/>
      <c r="AKV56" s="673"/>
      <c r="AKW56" s="673"/>
      <c r="AKX56" s="673"/>
      <c r="AKY56" s="673"/>
      <c r="AKZ56" s="673"/>
      <c r="ALA56" s="673"/>
      <c r="ALB56" s="673"/>
      <c r="ALC56" s="673"/>
      <c r="ALD56" s="673"/>
      <c r="ALE56" s="673"/>
      <c r="ALF56" s="673"/>
      <c r="ALG56" s="673"/>
      <c r="ALH56" s="673"/>
      <c r="ALI56" s="673"/>
      <c r="ALJ56" s="673"/>
      <c r="ALK56" s="673"/>
      <c r="ALL56" s="673"/>
      <c r="ALM56" s="673"/>
      <c r="ALN56" s="673"/>
      <c r="ALO56" s="673"/>
      <c r="ALP56" s="673"/>
      <c r="ALQ56" s="673"/>
      <c r="ALR56" s="673"/>
      <c r="ALS56" s="673"/>
      <c r="ALT56" s="673"/>
      <c r="ALU56" s="673"/>
      <c r="ALV56" s="673"/>
      <c r="ALW56" s="673"/>
      <c r="ALX56" s="675"/>
      <c r="ALY56" s="675"/>
      <c r="ALZ56" s="675"/>
      <c r="AMA56" s="675"/>
      <c r="AMB56" s="675"/>
      <c r="AMC56" s="675"/>
      <c r="AMD56" s="675"/>
      <c r="AME56" s="675"/>
      <c r="AMF56" s="675"/>
      <c r="AMG56" s="675"/>
      <c r="AMH56" s="675"/>
      <c r="AMI56" s="675"/>
      <c r="AMJ56" s="675"/>
      <c r="AMK56" s="675"/>
    </row>
    <row r="58" spans="1:1025" x14ac:dyDescent="0.25">
      <c r="A58" s="8" t="s">
        <v>953</v>
      </c>
      <c r="D58" s="437" t="s">
        <v>2002</v>
      </c>
      <c r="E58" s="437" t="s">
        <v>2166</v>
      </c>
      <c r="F58" s="437" t="s">
        <v>2829</v>
      </c>
      <c r="G58" s="437" t="s">
        <v>2830</v>
      </c>
      <c r="H58" s="437" t="s">
        <v>2831</v>
      </c>
      <c r="I58" s="437" t="s">
        <v>2276</v>
      </c>
      <c r="J58" s="437" t="s">
        <v>2832</v>
      </c>
      <c r="K58" s="437" t="s">
        <v>2833</v>
      </c>
      <c r="L58" s="437" t="s">
        <v>2834</v>
      </c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MK58"/>
  <sheetViews>
    <sheetView zoomScale="148" zoomScaleNormal="148" workbookViewId="0">
      <selection sqref="A1:L58"/>
    </sheetView>
  </sheetViews>
  <sheetFormatPr defaultColWidth="8.7109375" defaultRowHeight="15" x14ac:dyDescent="0.25"/>
  <cols>
    <col min="1" max="1" width="8.5703125" style="8" customWidth="1"/>
    <col min="2" max="2" width="9.140625" style="8" customWidth="1"/>
    <col min="3" max="3" width="15.42578125" style="8" customWidth="1"/>
    <col min="4" max="12" width="9.140625" style="437" customWidth="1"/>
    <col min="13" max="15" width="3" style="8" bestFit="1" customWidth="1"/>
    <col min="16" max="1012" width="9.140625" style="8" customWidth="1"/>
    <col min="1013" max="1025" width="9.140625" style="1" customWidth="1"/>
  </cols>
  <sheetData>
    <row r="1" spans="1:12" ht="11.45" customHeight="1" x14ac:dyDescent="0.25">
      <c r="A1" s="8" t="s">
        <v>874</v>
      </c>
    </row>
    <row r="2" spans="1:12" ht="11.45" customHeight="1" x14ac:dyDescent="0.25">
      <c r="A2" s="8" t="s">
        <v>2631</v>
      </c>
    </row>
    <row r="4" spans="1:12" ht="11.45" customHeight="1" x14ac:dyDescent="0.25">
      <c r="A4" s="8" t="s">
        <v>875</v>
      </c>
      <c r="C4" s="8" t="s">
        <v>876</v>
      </c>
    </row>
    <row r="6" spans="1:12" ht="11.45" customHeight="1" x14ac:dyDescent="0.25">
      <c r="D6" s="437" t="s">
        <v>877</v>
      </c>
      <c r="E6" s="437" t="s">
        <v>878</v>
      </c>
      <c r="F6" s="437" t="s">
        <v>879</v>
      </c>
      <c r="G6" s="437" t="s">
        <v>880</v>
      </c>
      <c r="H6" s="437" t="s">
        <v>930</v>
      </c>
      <c r="I6" s="437" t="s">
        <v>931</v>
      </c>
      <c r="J6" s="437" t="s">
        <v>932</v>
      </c>
      <c r="K6" s="437" t="s">
        <v>883</v>
      </c>
      <c r="L6" s="437" t="s">
        <v>884</v>
      </c>
    </row>
    <row r="7" spans="1:12" ht="11.45" customHeight="1" x14ac:dyDescent="0.25">
      <c r="A7" s="8" t="s">
        <v>885</v>
      </c>
    </row>
    <row r="8" spans="1:12" ht="11.45" customHeight="1" x14ac:dyDescent="0.25">
      <c r="A8" s="8">
        <v>1500</v>
      </c>
      <c r="B8" s="8" t="s">
        <v>886</v>
      </c>
      <c r="D8" s="437" t="s">
        <v>1715</v>
      </c>
      <c r="E8" s="437" t="s">
        <v>2632</v>
      </c>
      <c r="F8" s="437" t="s">
        <v>2633</v>
      </c>
      <c r="G8" s="437" t="s">
        <v>2634</v>
      </c>
      <c r="H8" s="437" t="s">
        <v>2835</v>
      </c>
      <c r="I8" s="437" t="s">
        <v>2836</v>
      </c>
      <c r="J8" s="437" t="s">
        <v>2837</v>
      </c>
      <c r="K8" s="437" t="s">
        <v>2637</v>
      </c>
      <c r="L8" s="437" t="s">
        <v>2838</v>
      </c>
    </row>
    <row r="9" spans="1:12" ht="11.45" customHeight="1" x14ac:dyDescent="0.25">
      <c r="A9" s="8">
        <v>1501</v>
      </c>
      <c r="B9" s="8" t="s">
        <v>887</v>
      </c>
      <c r="D9" s="437" t="s">
        <v>1724</v>
      </c>
      <c r="E9" s="437" t="s">
        <v>2639</v>
      </c>
      <c r="F9" s="437" t="s">
        <v>2640</v>
      </c>
      <c r="G9" s="437" t="s">
        <v>2641</v>
      </c>
      <c r="H9" s="437" t="s">
        <v>1724</v>
      </c>
      <c r="I9" s="437" t="s">
        <v>1724</v>
      </c>
      <c r="J9" s="437" t="s">
        <v>1724</v>
      </c>
      <c r="K9" s="437" t="s">
        <v>2642</v>
      </c>
      <c r="L9" s="437" t="s">
        <v>2643</v>
      </c>
    </row>
    <row r="10" spans="1:12" ht="11.45" customHeight="1" x14ac:dyDescent="0.25">
      <c r="A10" s="8">
        <v>1540</v>
      </c>
      <c r="B10" s="8" t="s">
        <v>888</v>
      </c>
      <c r="D10" s="437" t="s">
        <v>1730</v>
      </c>
      <c r="E10" s="437" t="s">
        <v>2327</v>
      </c>
      <c r="F10" s="437" t="s">
        <v>2644</v>
      </c>
      <c r="G10" s="437" t="s">
        <v>2645</v>
      </c>
      <c r="H10" s="437" t="s">
        <v>2839</v>
      </c>
      <c r="I10" s="437" t="s">
        <v>2018</v>
      </c>
      <c r="J10" s="437" t="s">
        <v>2840</v>
      </c>
      <c r="K10" s="437" t="s">
        <v>2647</v>
      </c>
      <c r="L10" s="437" t="s">
        <v>2841</v>
      </c>
    </row>
    <row r="11" spans="1:12" ht="11.45" customHeight="1" x14ac:dyDescent="0.25">
      <c r="A11" s="8">
        <v>1543</v>
      </c>
      <c r="B11" s="8" t="s">
        <v>889</v>
      </c>
      <c r="D11" s="437" t="s">
        <v>1738</v>
      </c>
      <c r="E11" s="437" t="s">
        <v>2330</v>
      </c>
      <c r="F11" s="437" t="s">
        <v>1739</v>
      </c>
      <c r="G11" s="437" t="s">
        <v>2649</v>
      </c>
      <c r="H11" s="437" t="s">
        <v>2842</v>
      </c>
      <c r="I11" s="437" t="s">
        <v>2019</v>
      </c>
      <c r="J11" s="437" t="s">
        <v>2843</v>
      </c>
      <c r="K11" s="437" t="s">
        <v>2652</v>
      </c>
      <c r="L11" s="437" t="s">
        <v>2844</v>
      </c>
    </row>
    <row r="12" spans="1:12" ht="11.45" customHeight="1" x14ac:dyDescent="0.25">
      <c r="A12" s="8">
        <v>1550</v>
      </c>
      <c r="B12" s="8" t="s">
        <v>890</v>
      </c>
      <c r="D12" s="437" t="s">
        <v>1746</v>
      </c>
      <c r="E12" s="437" t="s">
        <v>2338</v>
      </c>
      <c r="F12" s="437" t="s">
        <v>2654</v>
      </c>
      <c r="G12" s="437" t="s">
        <v>2655</v>
      </c>
      <c r="H12" s="437" t="s">
        <v>2845</v>
      </c>
      <c r="I12" s="437" t="s">
        <v>2846</v>
      </c>
      <c r="J12" s="437" t="s">
        <v>2847</v>
      </c>
      <c r="K12" s="437" t="s">
        <v>2659</v>
      </c>
      <c r="L12" s="437" t="s">
        <v>2848</v>
      </c>
    </row>
    <row r="13" spans="1:12" ht="11.45" customHeight="1" x14ac:dyDescent="0.25">
      <c r="A13" s="8">
        <v>1551</v>
      </c>
      <c r="B13" s="8" t="s">
        <v>891</v>
      </c>
      <c r="D13" s="437" t="s">
        <v>1754</v>
      </c>
      <c r="E13" s="437" t="s">
        <v>2339</v>
      </c>
      <c r="F13" s="437" t="s">
        <v>1724</v>
      </c>
      <c r="G13" s="437" t="s">
        <v>2661</v>
      </c>
      <c r="H13" s="437" t="s">
        <v>1724</v>
      </c>
      <c r="I13" s="437" t="s">
        <v>1724</v>
      </c>
      <c r="J13" s="437" t="s">
        <v>1724</v>
      </c>
      <c r="K13" s="437" t="s">
        <v>1724</v>
      </c>
      <c r="L13" s="437" t="s">
        <v>2661</v>
      </c>
    </row>
    <row r="14" spans="1:12" ht="11.45" customHeight="1" x14ac:dyDescent="0.25">
      <c r="A14" s="8">
        <v>1552</v>
      </c>
      <c r="B14" s="8" t="s">
        <v>892</v>
      </c>
      <c r="D14" s="437" t="s">
        <v>1756</v>
      </c>
      <c r="E14" s="437" t="s">
        <v>2340</v>
      </c>
      <c r="F14" s="437" t="s">
        <v>2662</v>
      </c>
      <c r="G14" s="437" t="s">
        <v>2663</v>
      </c>
      <c r="H14" s="437" t="s">
        <v>2849</v>
      </c>
      <c r="I14" s="437" t="s">
        <v>1724</v>
      </c>
      <c r="J14" s="437" t="s">
        <v>2849</v>
      </c>
      <c r="K14" s="437" t="s">
        <v>2665</v>
      </c>
      <c r="L14" s="437" t="s">
        <v>2850</v>
      </c>
    </row>
    <row r="15" spans="1:12" ht="11.45" customHeight="1" x14ac:dyDescent="0.25">
      <c r="A15" s="8">
        <v>1553</v>
      </c>
      <c r="B15" s="8" t="s">
        <v>893</v>
      </c>
      <c r="D15" s="437" t="s">
        <v>1762</v>
      </c>
      <c r="E15" s="437" t="s">
        <v>2341</v>
      </c>
      <c r="F15" s="437" t="s">
        <v>1763</v>
      </c>
      <c r="G15" s="437" t="s">
        <v>2667</v>
      </c>
      <c r="H15" s="437" t="s">
        <v>1765</v>
      </c>
      <c r="I15" s="437" t="s">
        <v>1766</v>
      </c>
      <c r="J15" s="437" t="s">
        <v>1767</v>
      </c>
      <c r="K15" s="437" t="s">
        <v>1768</v>
      </c>
      <c r="L15" s="437" t="s">
        <v>2851</v>
      </c>
    </row>
    <row r="16" spans="1:12" ht="11.45" customHeight="1" x14ac:dyDescent="0.25">
      <c r="A16" s="8">
        <v>1569</v>
      </c>
      <c r="B16" s="8" t="s">
        <v>894</v>
      </c>
      <c r="D16" s="437" t="s">
        <v>1770</v>
      </c>
      <c r="E16" s="437" t="s">
        <v>2342</v>
      </c>
      <c r="F16" s="437" t="s">
        <v>2669</v>
      </c>
      <c r="G16" s="437" t="s">
        <v>2670</v>
      </c>
      <c r="H16" s="437" t="s">
        <v>2852</v>
      </c>
      <c r="I16" s="437" t="s">
        <v>2020</v>
      </c>
      <c r="J16" s="437" t="s">
        <v>2853</v>
      </c>
      <c r="K16" s="437" t="s">
        <v>2672</v>
      </c>
      <c r="L16" s="437" t="s">
        <v>2854</v>
      </c>
    </row>
    <row r="17" spans="1:16" ht="11.45" customHeight="1" x14ac:dyDescent="0.25">
      <c r="A17" s="8">
        <v>1570</v>
      </c>
      <c r="B17" s="8" t="s">
        <v>895</v>
      </c>
      <c r="D17" s="437" t="s">
        <v>1778</v>
      </c>
      <c r="E17" s="437" t="s">
        <v>2674</v>
      </c>
      <c r="F17" s="437" t="s">
        <v>2675</v>
      </c>
      <c r="G17" s="437" t="s">
        <v>2676</v>
      </c>
      <c r="H17" s="437" t="s">
        <v>2677</v>
      </c>
      <c r="I17" s="437" t="s">
        <v>2855</v>
      </c>
      <c r="J17" s="437" t="s">
        <v>2856</v>
      </c>
      <c r="K17" s="437" t="s">
        <v>2680</v>
      </c>
      <c r="L17" s="437" t="s">
        <v>2857</v>
      </c>
    </row>
    <row r="18" spans="1:16" ht="11.45" customHeight="1" x14ac:dyDescent="0.25">
      <c r="A18" s="8">
        <v>1571</v>
      </c>
      <c r="B18" s="8" t="s">
        <v>896</v>
      </c>
      <c r="D18" s="437" t="s">
        <v>1785</v>
      </c>
      <c r="E18" s="437" t="s">
        <v>2682</v>
      </c>
      <c r="F18" s="437" t="s">
        <v>2683</v>
      </c>
      <c r="G18" s="437" t="s">
        <v>2684</v>
      </c>
      <c r="H18" s="437" t="s">
        <v>2858</v>
      </c>
      <c r="I18" s="437" t="s">
        <v>2021</v>
      </c>
      <c r="J18" s="437" t="s">
        <v>2859</v>
      </c>
      <c r="K18" s="437" t="s">
        <v>2687</v>
      </c>
      <c r="L18" s="437" t="s">
        <v>2860</v>
      </c>
    </row>
    <row r="19" spans="1:16" ht="11.45" customHeight="1" x14ac:dyDescent="0.25">
      <c r="A19" s="8">
        <v>1599</v>
      </c>
      <c r="B19" s="8" t="s">
        <v>897</v>
      </c>
      <c r="D19" s="437" t="s">
        <v>1794</v>
      </c>
      <c r="E19" s="437" t="s">
        <v>2346</v>
      </c>
      <c r="F19" s="437" t="s">
        <v>1724</v>
      </c>
      <c r="G19" s="437" t="s">
        <v>2689</v>
      </c>
      <c r="H19" s="437" t="s">
        <v>1724</v>
      </c>
      <c r="I19" s="437" t="s">
        <v>1724</v>
      </c>
      <c r="J19" s="437" t="s">
        <v>1724</v>
      </c>
      <c r="K19" s="437" t="s">
        <v>1724</v>
      </c>
      <c r="L19" s="437" t="s">
        <v>2689</v>
      </c>
    </row>
    <row r="20" spans="1:16" ht="11.45" customHeight="1" x14ac:dyDescent="0.25">
      <c r="A20" s="8">
        <v>1600</v>
      </c>
      <c r="B20" s="8" t="s">
        <v>898</v>
      </c>
      <c r="D20" s="437" t="s">
        <v>2690</v>
      </c>
      <c r="E20" s="437" t="s">
        <v>2691</v>
      </c>
      <c r="F20" s="437" t="s">
        <v>2692</v>
      </c>
      <c r="G20" s="437" t="s">
        <v>2693</v>
      </c>
      <c r="H20" s="437" t="s">
        <v>2861</v>
      </c>
      <c r="I20" s="437" t="s">
        <v>2022</v>
      </c>
      <c r="J20" s="437" t="s">
        <v>2862</v>
      </c>
      <c r="K20" s="437" t="s">
        <v>2696</v>
      </c>
      <c r="L20" s="437" t="s">
        <v>2863</v>
      </c>
    </row>
    <row r="21" spans="1:16" ht="11.45" customHeight="1" x14ac:dyDescent="0.25">
      <c r="A21" s="8">
        <v>1601</v>
      </c>
      <c r="B21" s="8" t="s">
        <v>899</v>
      </c>
      <c r="D21" s="437" t="s">
        <v>1805</v>
      </c>
      <c r="E21" s="437" t="s">
        <v>2698</v>
      </c>
      <c r="F21" s="437" t="s">
        <v>1724</v>
      </c>
      <c r="G21" s="437" t="s">
        <v>2699</v>
      </c>
      <c r="H21" s="437" t="s">
        <v>1724</v>
      </c>
      <c r="I21" s="437" t="s">
        <v>2864</v>
      </c>
      <c r="J21" s="437" t="s">
        <v>2864</v>
      </c>
      <c r="K21" s="437" t="s">
        <v>1724</v>
      </c>
      <c r="L21" s="437" t="s">
        <v>2865</v>
      </c>
    </row>
    <row r="22" spans="1:16" ht="11.45" customHeight="1" x14ac:dyDescent="0.25">
      <c r="A22" s="8">
        <v>1602</v>
      </c>
      <c r="B22" s="8" t="s">
        <v>900</v>
      </c>
      <c r="D22" s="437" t="s">
        <v>1809</v>
      </c>
      <c r="E22" s="437" t="s">
        <v>2702</v>
      </c>
      <c r="F22" s="437" t="s">
        <v>1724</v>
      </c>
      <c r="G22" s="437" t="s">
        <v>2703</v>
      </c>
      <c r="H22" s="437" t="s">
        <v>1724</v>
      </c>
      <c r="I22" s="437" t="s">
        <v>1724</v>
      </c>
      <c r="J22" s="437" t="s">
        <v>1724</v>
      </c>
      <c r="K22" s="437" t="s">
        <v>1724</v>
      </c>
      <c r="L22" s="437" t="s">
        <v>2703</v>
      </c>
    </row>
    <row r="23" spans="1:16" ht="11.45" customHeight="1" x14ac:dyDescent="0.25">
      <c r="A23" s="460">
        <v>1603</v>
      </c>
      <c r="B23" s="460" t="s">
        <v>901</v>
      </c>
      <c r="C23" s="460"/>
      <c r="D23" s="461" t="s">
        <v>1814</v>
      </c>
      <c r="E23" s="461" t="s">
        <v>2704</v>
      </c>
      <c r="F23" s="461" t="s">
        <v>1724</v>
      </c>
      <c r="G23" s="461" t="s">
        <v>2705</v>
      </c>
      <c r="H23" s="461" t="s">
        <v>1724</v>
      </c>
      <c r="I23" s="461" t="s">
        <v>1724</v>
      </c>
      <c r="J23" s="461" t="s">
        <v>1724</v>
      </c>
      <c r="K23" s="461" t="s">
        <v>1724</v>
      </c>
      <c r="L23" s="461" t="s">
        <v>2705</v>
      </c>
      <c r="M23" s="460"/>
      <c r="N23" s="460"/>
      <c r="P23" s="462"/>
    </row>
    <row r="24" spans="1:16" ht="11.45" customHeight="1" x14ac:dyDescent="0.25">
      <c r="A24" s="460">
        <v>1604</v>
      </c>
      <c r="B24" s="460" t="s">
        <v>902</v>
      </c>
      <c r="C24" s="460"/>
      <c r="D24" s="461" t="s">
        <v>2706</v>
      </c>
      <c r="E24" s="461" t="s">
        <v>2707</v>
      </c>
      <c r="F24" s="461" t="s">
        <v>2708</v>
      </c>
      <c r="G24" s="461" t="s">
        <v>2709</v>
      </c>
      <c r="H24" s="461" t="s">
        <v>2866</v>
      </c>
      <c r="I24" s="461" t="s">
        <v>1822</v>
      </c>
      <c r="J24" s="461" t="s">
        <v>2867</v>
      </c>
      <c r="K24" s="461" t="s">
        <v>2711</v>
      </c>
      <c r="L24" s="461" t="s">
        <v>2868</v>
      </c>
      <c r="M24" s="460"/>
      <c r="N24" s="460"/>
      <c r="P24" s="437"/>
    </row>
    <row r="25" spans="1:16" ht="11.45" customHeight="1" x14ac:dyDescent="0.25">
      <c r="A25" s="8">
        <v>1605</v>
      </c>
      <c r="B25" s="8" t="s">
        <v>903</v>
      </c>
      <c r="D25" s="437" t="s">
        <v>1825</v>
      </c>
      <c r="E25" s="437" t="s">
        <v>2713</v>
      </c>
      <c r="F25" s="437" t="s">
        <v>2714</v>
      </c>
      <c r="G25" s="437" t="s">
        <v>2715</v>
      </c>
      <c r="H25" s="437" t="s">
        <v>2716</v>
      </c>
      <c r="I25" s="437" t="s">
        <v>1724</v>
      </c>
      <c r="J25" s="437" t="s">
        <v>2716</v>
      </c>
      <c r="K25" s="437" t="s">
        <v>2717</v>
      </c>
      <c r="L25" s="437" t="s">
        <v>2718</v>
      </c>
    </row>
    <row r="26" spans="1:16" ht="11.45" customHeight="1" x14ac:dyDescent="0.25">
      <c r="A26" s="8">
        <v>1621</v>
      </c>
      <c r="B26" s="8" t="s">
        <v>904</v>
      </c>
      <c r="D26" s="437" t="s">
        <v>1832</v>
      </c>
      <c r="E26" s="437" t="s">
        <v>2719</v>
      </c>
      <c r="F26" s="437" t="s">
        <v>2720</v>
      </c>
      <c r="G26" s="437" t="s">
        <v>2721</v>
      </c>
      <c r="H26" s="437" t="s">
        <v>2869</v>
      </c>
      <c r="I26" s="437" t="s">
        <v>2023</v>
      </c>
      <c r="J26" s="437" t="s">
        <v>2870</v>
      </c>
      <c r="K26" s="437" t="s">
        <v>2724</v>
      </c>
      <c r="L26" s="437" t="s">
        <v>2871</v>
      </c>
    </row>
    <row r="27" spans="1:16" ht="11.45" customHeight="1" x14ac:dyDescent="0.25">
      <c r="A27" s="8">
        <v>1632</v>
      </c>
      <c r="B27" s="8" t="s">
        <v>905</v>
      </c>
      <c r="D27" s="437" t="s">
        <v>1841</v>
      </c>
      <c r="E27" s="437" t="s">
        <v>2726</v>
      </c>
      <c r="F27" s="437" t="s">
        <v>1724</v>
      </c>
      <c r="G27" s="437" t="s">
        <v>2727</v>
      </c>
      <c r="H27" s="437" t="s">
        <v>1724</v>
      </c>
      <c r="I27" s="437" t="s">
        <v>1724</v>
      </c>
      <c r="J27" s="437" t="s">
        <v>1724</v>
      </c>
      <c r="K27" s="437" t="s">
        <v>1724</v>
      </c>
      <c r="L27" s="437" t="s">
        <v>2727</v>
      </c>
    </row>
    <row r="28" spans="1:16" ht="11.45" customHeight="1" x14ac:dyDescent="0.25">
      <c r="A28" s="8">
        <v>1659</v>
      </c>
      <c r="B28" s="8" t="s">
        <v>906</v>
      </c>
      <c r="D28" s="437" t="s">
        <v>1844</v>
      </c>
      <c r="E28" s="437" t="s">
        <v>2436</v>
      </c>
      <c r="F28" s="437" t="s">
        <v>2728</v>
      </c>
      <c r="G28" s="437" t="s">
        <v>2729</v>
      </c>
      <c r="H28" s="437" t="s">
        <v>2872</v>
      </c>
      <c r="I28" s="437" t="s">
        <v>2024</v>
      </c>
      <c r="J28" s="437" t="s">
        <v>2873</v>
      </c>
      <c r="K28" s="437" t="s">
        <v>2731</v>
      </c>
      <c r="L28" s="437" t="s">
        <v>2874</v>
      </c>
    </row>
    <row r="29" spans="1:16" ht="11.45" customHeight="1" x14ac:dyDescent="0.25">
      <c r="A29" s="8">
        <v>1660</v>
      </c>
      <c r="B29" s="8" t="s">
        <v>907</v>
      </c>
      <c r="D29" s="437" t="s">
        <v>1852</v>
      </c>
      <c r="E29" s="437" t="s">
        <v>2733</v>
      </c>
      <c r="F29" s="437" t="s">
        <v>2734</v>
      </c>
      <c r="G29" s="437" t="s">
        <v>2735</v>
      </c>
      <c r="H29" s="437" t="s">
        <v>2875</v>
      </c>
      <c r="I29" s="437" t="s">
        <v>2025</v>
      </c>
      <c r="J29" s="437" t="s">
        <v>2876</v>
      </c>
      <c r="K29" s="437" t="s">
        <v>2738</v>
      </c>
      <c r="L29" s="437" t="s">
        <v>2877</v>
      </c>
    </row>
    <row r="30" spans="1:16" ht="11.45" customHeight="1" x14ac:dyDescent="0.25">
      <c r="A30" s="8">
        <v>1661</v>
      </c>
      <c r="B30" s="8" t="s">
        <v>908</v>
      </c>
      <c r="D30" s="437" t="s">
        <v>1861</v>
      </c>
      <c r="E30" s="437" t="s">
        <v>2740</v>
      </c>
      <c r="F30" s="437" t="s">
        <v>1724</v>
      </c>
      <c r="G30" s="437" t="s">
        <v>2741</v>
      </c>
      <c r="H30" s="437" t="s">
        <v>1724</v>
      </c>
      <c r="I30" s="437" t="s">
        <v>1724</v>
      </c>
      <c r="J30" s="437" t="s">
        <v>1724</v>
      </c>
      <c r="K30" s="437" t="s">
        <v>1724</v>
      </c>
      <c r="L30" s="437" t="s">
        <v>2741</v>
      </c>
    </row>
    <row r="31" spans="1:16" ht="11.45" customHeight="1" x14ac:dyDescent="0.25">
      <c r="A31" s="8">
        <v>1665</v>
      </c>
      <c r="B31" s="8" t="s">
        <v>909</v>
      </c>
      <c r="D31" s="437" t="s">
        <v>1866</v>
      </c>
      <c r="E31" s="437" t="s">
        <v>2742</v>
      </c>
      <c r="F31" s="437" t="s">
        <v>1724</v>
      </c>
      <c r="G31" s="437" t="s">
        <v>2743</v>
      </c>
      <c r="H31" s="437" t="s">
        <v>1724</v>
      </c>
      <c r="I31" s="437" t="s">
        <v>1724</v>
      </c>
      <c r="J31" s="437" t="s">
        <v>1724</v>
      </c>
      <c r="K31" s="437" t="s">
        <v>1724</v>
      </c>
      <c r="L31" s="437" t="s">
        <v>2743</v>
      </c>
    </row>
    <row r="32" spans="1:16" ht="11.45" customHeight="1" x14ac:dyDescent="0.25">
      <c r="A32" s="8">
        <v>1669</v>
      </c>
      <c r="B32" s="8" t="s">
        <v>910</v>
      </c>
      <c r="D32" s="437" t="s">
        <v>1869</v>
      </c>
      <c r="E32" s="437" t="s">
        <v>1724</v>
      </c>
      <c r="F32" s="437" t="s">
        <v>1724</v>
      </c>
      <c r="G32" s="437" t="s">
        <v>1869</v>
      </c>
      <c r="H32" s="437" t="s">
        <v>1724</v>
      </c>
      <c r="I32" s="437" t="s">
        <v>1724</v>
      </c>
      <c r="J32" s="437" t="s">
        <v>1724</v>
      </c>
      <c r="K32" s="437" t="s">
        <v>1724</v>
      </c>
      <c r="L32" s="437" t="s">
        <v>1869</v>
      </c>
    </row>
    <row r="33" spans="1:12" x14ac:dyDescent="0.25">
      <c r="A33" s="8">
        <v>1700</v>
      </c>
      <c r="B33" s="8" t="s">
        <v>911</v>
      </c>
      <c r="D33" s="437" t="s">
        <v>1870</v>
      </c>
      <c r="E33" s="437" t="s">
        <v>2744</v>
      </c>
      <c r="F33" s="437" t="s">
        <v>2745</v>
      </c>
      <c r="G33" s="437" t="s">
        <v>2746</v>
      </c>
      <c r="H33" s="437" t="s">
        <v>1724</v>
      </c>
      <c r="I33" s="437" t="s">
        <v>1724</v>
      </c>
      <c r="J33" s="437" t="s">
        <v>1724</v>
      </c>
      <c r="K33" s="437" t="s">
        <v>2747</v>
      </c>
      <c r="L33" s="437" t="s">
        <v>2748</v>
      </c>
    </row>
    <row r="34" spans="1:12" x14ac:dyDescent="0.25">
      <c r="A34" s="8">
        <v>1701</v>
      </c>
      <c r="B34" s="8" t="s">
        <v>912</v>
      </c>
      <c r="D34" s="437" t="s">
        <v>1876</v>
      </c>
      <c r="E34" s="437" t="s">
        <v>2749</v>
      </c>
      <c r="F34" s="437" t="s">
        <v>1878</v>
      </c>
      <c r="G34" s="437" t="s">
        <v>2750</v>
      </c>
      <c r="H34" s="437" t="s">
        <v>1724</v>
      </c>
      <c r="I34" s="437" t="s">
        <v>2016</v>
      </c>
      <c r="J34" s="437" t="s">
        <v>2016</v>
      </c>
      <c r="K34" s="437" t="s">
        <v>1881</v>
      </c>
      <c r="L34" s="437" t="s">
        <v>2751</v>
      </c>
    </row>
    <row r="35" spans="1:12" x14ac:dyDescent="0.25">
      <c r="A35" s="8">
        <v>1706</v>
      </c>
      <c r="B35" s="8" t="s">
        <v>913</v>
      </c>
      <c r="D35" s="437" t="s">
        <v>1883</v>
      </c>
      <c r="E35" s="437" t="s">
        <v>2752</v>
      </c>
      <c r="F35" s="437" t="s">
        <v>2753</v>
      </c>
      <c r="G35" s="437" t="s">
        <v>2754</v>
      </c>
      <c r="H35" s="437" t="s">
        <v>2878</v>
      </c>
      <c r="I35" s="437" t="s">
        <v>2026</v>
      </c>
      <c r="J35" s="437" t="s">
        <v>2879</v>
      </c>
      <c r="K35" s="437" t="s">
        <v>2756</v>
      </c>
      <c r="L35" s="437" t="s">
        <v>2880</v>
      </c>
    </row>
    <row r="36" spans="1:12" x14ac:dyDescent="0.25">
      <c r="A36" s="8">
        <v>1708</v>
      </c>
      <c r="B36" s="8" t="s">
        <v>914</v>
      </c>
      <c r="D36" s="437" t="s">
        <v>1892</v>
      </c>
      <c r="E36" s="437" t="s">
        <v>2758</v>
      </c>
      <c r="F36" s="437" t="s">
        <v>2759</v>
      </c>
      <c r="G36" s="437" t="s">
        <v>2760</v>
      </c>
      <c r="H36" s="437" t="s">
        <v>2881</v>
      </c>
      <c r="I36" s="437" t="s">
        <v>1724</v>
      </c>
      <c r="J36" s="437" t="s">
        <v>2881</v>
      </c>
      <c r="K36" s="437" t="s">
        <v>2761</v>
      </c>
      <c r="L36" s="437" t="s">
        <v>2882</v>
      </c>
    </row>
    <row r="37" spans="1:12" x14ac:dyDescent="0.25">
      <c r="A37" s="8">
        <v>1711</v>
      </c>
      <c r="B37" s="8" t="s">
        <v>942</v>
      </c>
      <c r="D37" s="437" t="s">
        <v>1899</v>
      </c>
      <c r="E37" s="437" t="s">
        <v>2763</v>
      </c>
      <c r="F37" s="437" t="s">
        <v>1724</v>
      </c>
      <c r="G37" s="437" t="s">
        <v>2764</v>
      </c>
      <c r="H37" s="437" t="s">
        <v>1724</v>
      </c>
      <c r="I37" s="437" t="s">
        <v>2027</v>
      </c>
      <c r="J37" s="437" t="s">
        <v>2027</v>
      </c>
      <c r="K37" s="437" t="s">
        <v>1903</v>
      </c>
      <c r="L37" s="437" t="s">
        <v>2883</v>
      </c>
    </row>
    <row r="38" spans="1:12" x14ac:dyDescent="0.25">
      <c r="A38" s="8">
        <v>1715</v>
      </c>
      <c r="B38" s="8" t="s">
        <v>915</v>
      </c>
      <c r="D38" s="437" t="s">
        <v>1905</v>
      </c>
      <c r="E38" s="437" t="s">
        <v>2766</v>
      </c>
      <c r="F38" s="437" t="s">
        <v>1724</v>
      </c>
      <c r="G38" s="437" t="s">
        <v>2767</v>
      </c>
      <c r="H38" s="437" t="s">
        <v>1724</v>
      </c>
      <c r="I38" s="437" t="s">
        <v>1724</v>
      </c>
      <c r="J38" s="437" t="s">
        <v>1724</v>
      </c>
      <c r="K38" s="437" t="s">
        <v>1724</v>
      </c>
      <c r="L38" s="437" t="s">
        <v>2767</v>
      </c>
    </row>
    <row r="39" spans="1:12" x14ac:dyDescent="0.25">
      <c r="A39" s="8">
        <v>1716</v>
      </c>
      <c r="B39" s="8" t="s">
        <v>916</v>
      </c>
      <c r="D39" s="437" t="s">
        <v>1908</v>
      </c>
      <c r="E39" s="437" t="s">
        <v>2768</v>
      </c>
      <c r="F39" s="437" t="s">
        <v>1724</v>
      </c>
      <c r="G39" s="437" t="s">
        <v>2769</v>
      </c>
      <c r="H39" s="437" t="s">
        <v>1724</v>
      </c>
      <c r="I39" s="437" t="s">
        <v>1724</v>
      </c>
      <c r="J39" s="437" t="s">
        <v>1724</v>
      </c>
      <c r="K39" s="437" t="s">
        <v>1724</v>
      </c>
      <c r="L39" s="437" t="s">
        <v>2769</v>
      </c>
    </row>
    <row r="40" spans="1:12" x14ac:dyDescent="0.25">
      <c r="A40" s="8">
        <v>1719</v>
      </c>
      <c r="B40" s="8" t="s">
        <v>959</v>
      </c>
      <c r="D40" s="437" t="s">
        <v>1913</v>
      </c>
      <c r="E40" s="437" t="s">
        <v>2770</v>
      </c>
      <c r="F40" s="437" t="s">
        <v>1724</v>
      </c>
      <c r="G40" s="437" t="s">
        <v>2771</v>
      </c>
      <c r="H40" s="437" t="s">
        <v>1724</v>
      </c>
      <c r="I40" s="437" t="s">
        <v>1724</v>
      </c>
      <c r="J40" s="437" t="s">
        <v>1724</v>
      </c>
      <c r="K40" s="437" t="s">
        <v>1724</v>
      </c>
      <c r="L40" s="437" t="s">
        <v>2771</v>
      </c>
    </row>
    <row r="41" spans="1:12" x14ac:dyDescent="0.25">
      <c r="A41" s="8">
        <v>1720</v>
      </c>
      <c r="B41" s="8" t="s">
        <v>952</v>
      </c>
      <c r="D41" s="437" t="s">
        <v>1916</v>
      </c>
      <c r="E41" s="437" t="s">
        <v>2772</v>
      </c>
      <c r="F41" s="437" t="s">
        <v>2773</v>
      </c>
      <c r="G41" s="437" t="s">
        <v>2774</v>
      </c>
      <c r="H41" s="437" t="s">
        <v>2884</v>
      </c>
      <c r="I41" s="437" t="s">
        <v>1921</v>
      </c>
      <c r="J41" s="437" t="s">
        <v>2885</v>
      </c>
      <c r="K41" s="437" t="s">
        <v>2776</v>
      </c>
      <c r="L41" s="437" t="s">
        <v>2886</v>
      </c>
    </row>
    <row r="42" spans="1:12" x14ac:dyDescent="0.25">
      <c r="A42" s="8">
        <v>1749</v>
      </c>
      <c r="B42" s="8" t="s">
        <v>917</v>
      </c>
      <c r="D42" s="437" t="s">
        <v>1925</v>
      </c>
      <c r="E42" s="437" t="s">
        <v>2778</v>
      </c>
      <c r="F42" s="437" t="s">
        <v>2779</v>
      </c>
      <c r="G42" s="437" t="s">
        <v>2780</v>
      </c>
      <c r="H42" s="437" t="s">
        <v>2887</v>
      </c>
      <c r="I42" s="437" t="s">
        <v>2028</v>
      </c>
      <c r="J42" s="437" t="s">
        <v>2888</v>
      </c>
      <c r="K42" s="437" t="s">
        <v>2782</v>
      </c>
      <c r="L42" s="437" t="s">
        <v>2889</v>
      </c>
    </row>
    <row r="43" spans="1:12" x14ac:dyDescent="0.25">
      <c r="A43" s="8">
        <v>1750</v>
      </c>
      <c r="B43" s="8" t="s">
        <v>918</v>
      </c>
      <c r="D43" s="437" t="s">
        <v>1934</v>
      </c>
      <c r="E43" s="437" t="s">
        <v>2784</v>
      </c>
      <c r="F43" s="437" t="s">
        <v>2785</v>
      </c>
      <c r="G43" s="437" t="s">
        <v>2786</v>
      </c>
      <c r="H43" s="437" t="s">
        <v>1724</v>
      </c>
      <c r="I43" s="437" t="s">
        <v>1724</v>
      </c>
      <c r="J43" s="437" t="s">
        <v>1724</v>
      </c>
      <c r="K43" s="437" t="s">
        <v>2785</v>
      </c>
      <c r="L43" s="437" t="s">
        <v>2787</v>
      </c>
    </row>
    <row r="44" spans="1:12" x14ac:dyDescent="0.25">
      <c r="A44" s="8">
        <v>1751</v>
      </c>
      <c r="B44" s="8" t="s">
        <v>919</v>
      </c>
      <c r="D44" s="437" t="s">
        <v>1724</v>
      </c>
      <c r="E44" s="437" t="s">
        <v>1724</v>
      </c>
      <c r="F44" s="437" t="s">
        <v>1724</v>
      </c>
      <c r="G44" s="437" t="s">
        <v>1724</v>
      </c>
      <c r="H44" s="437" t="s">
        <v>2890</v>
      </c>
      <c r="I44" s="437" t="s">
        <v>1941</v>
      </c>
      <c r="J44" s="437" t="s">
        <v>2891</v>
      </c>
      <c r="K44" s="437" t="s">
        <v>1724</v>
      </c>
      <c r="L44" s="437" t="s">
        <v>2892</v>
      </c>
    </row>
    <row r="45" spans="1:12" x14ac:dyDescent="0.25">
      <c r="A45" s="8">
        <v>1752</v>
      </c>
      <c r="B45" s="8" t="s">
        <v>920</v>
      </c>
      <c r="D45" s="437" t="s">
        <v>1944</v>
      </c>
      <c r="E45" s="437" t="s">
        <v>2790</v>
      </c>
      <c r="F45" s="437" t="s">
        <v>2791</v>
      </c>
      <c r="G45" s="437" t="s">
        <v>2792</v>
      </c>
      <c r="H45" s="437" t="s">
        <v>1948</v>
      </c>
      <c r="I45" s="437" t="s">
        <v>1724</v>
      </c>
      <c r="J45" s="437" t="s">
        <v>1948</v>
      </c>
      <c r="K45" s="437" t="s">
        <v>2791</v>
      </c>
      <c r="L45" s="437" t="s">
        <v>2793</v>
      </c>
    </row>
    <row r="46" spans="1:12" x14ac:dyDescent="0.25">
      <c r="A46" s="8">
        <v>1753</v>
      </c>
      <c r="B46" s="8" t="s">
        <v>921</v>
      </c>
      <c r="D46" s="437" t="s">
        <v>1952</v>
      </c>
      <c r="E46" s="437" t="s">
        <v>2794</v>
      </c>
      <c r="F46" s="437" t="s">
        <v>1954</v>
      </c>
      <c r="G46" s="437" t="s">
        <v>2795</v>
      </c>
      <c r="H46" s="437" t="s">
        <v>2017</v>
      </c>
      <c r="I46" s="437" t="s">
        <v>2029</v>
      </c>
      <c r="J46" s="437" t="s">
        <v>2030</v>
      </c>
      <c r="K46" s="437" t="s">
        <v>1959</v>
      </c>
      <c r="L46" s="437" t="s">
        <v>2893</v>
      </c>
    </row>
    <row r="47" spans="1:12" x14ac:dyDescent="0.25">
      <c r="A47" s="8">
        <v>1754</v>
      </c>
      <c r="B47" s="8" t="s">
        <v>922</v>
      </c>
      <c r="D47" s="437" t="s">
        <v>1724</v>
      </c>
      <c r="E47" s="437" t="s">
        <v>1724</v>
      </c>
      <c r="F47" s="437" t="s">
        <v>2797</v>
      </c>
      <c r="G47" s="437" t="s">
        <v>2797</v>
      </c>
      <c r="H47" s="437" t="s">
        <v>1724</v>
      </c>
      <c r="I47" s="437" t="s">
        <v>1724</v>
      </c>
      <c r="J47" s="437" t="s">
        <v>1724</v>
      </c>
      <c r="K47" s="437" t="s">
        <v>1962</v>
      </c>
      <c r="L47" s="437" t="s">
        <v>2798</v>
      </c>
    </row>
    <row r="48" spans="1:12" x14ac:dyDescent="0.25">
      <c r="A48" s="8">
        <v>1755</v>
      </c>
      <c r="B48" s="8" t="s">
        <v>1447</v>
      </c>
      <c r="D48" s="437" t="s">
        <v>1964</v>
      </c>
      <c r="E48" s="437" t="s">
        <v>1724</v>
      </c>
      <c r="F48" s="437" t="s">
        <v>1724</v>
      </c>
      <c r="G48" s="437" t="s">
        <v>1964</v>
      </c>
      <c r="H48" s="437" t="s">
        <v>1724</v>
      </c>
      <c r="I48" s="437" t="s">
        <v>1724</v>
      </c>
      <c r="J48" s="437" t="s">
        <v>1724</v>
      </c>
      <c r="K48" s="437" t="s">
        <v>1724</v>
      </c>
      <c r="L48" s="437" t="s">
        <v>1964</v>
      </c>
    </row>
    <row r="49" spans="1:15" ht="11.45" customHeight="1" x14ac:dyDescent="0.25">
      <c r="A49" s="8">
        <v>1759</v>
      </c>
      <c r="B49" s="8" t="s">
        <v>923</v>
      </c>
      <c r="D49" s="437" t="s">
        <v>1965</v>
      </c>
      <c r="E49" s="437" t="s">
        <v>2799</v>
      </c>
      <c r="F49" s="437" t="s">
        <v>2800</v>
      </c>
      <c r="G49" s="437" t="s">
        <v>2801</v>
      </c>
      <c r="H49" s="437" t="s">
        <v>2802</v>
      </c>
      <c r="I49" s="437" t="s">
        <v>2031</v>
      </c>
      <c r="J49" s="437" t="s">
        <v>2894</v>
      </c>
      <c r="K49" s="437" t="s">
        <v>2803</v>
      </c>
      <c r="L49" s="437" t="s">
        <v>2895</v>
      </c>
      <c r="O49" s="460"/>
    </row>
    <row r="50" spans="1:15" ht="11.45" customHeight="1" x14ac:dyDescent="0.25">
      <c r="A50" s="8">
        <v>1800</v>
      </c>
      <c r="B50" s="8" t="s">
        <v>924</v>
      </c>
      <c r="D50" s="437" t="s">
        <v>1974</v>
      </c>
      <c r="E50" s="437" t="s">
        <v>2295</v>
      </c>
      <c r="F50" s="437" t="s">
        <v>2805</v>
      </c>
      <c r="G50" s="437" t="s">
        <v>2806</v>
      </c>
      <c r="H50" s="437" t="s">
        <v>2896</v>
      </c>
      <c r="I50" s="437" t="s">
        <v>2032</v>
      </c>
      <c r="J50" s="437" t="s">
        <v>2897</v>
      </c>
      <c r="K50" s="437" t="s">
        <v>2808</v>
      </c>
      <c r="L50" s="437" t="s">
        <v>2898</v>
      </c>
    </row>
    <row r="51" spans="1:15" ht="11.45" customHeight="1" x14ac:dyDescent="0.25">
      <c r="A51" s="8">
        <v>1802</v>
      </c>
      <c r="B51" s="8" t="s">
        <v>925</v>
      </c>
      <c r="D51" s="437" t="s">
        <v>1982</v>
      </c>
      <c r="E51" s="437" t="s">
        <v>2810</v>
      </c>
      <c r="F51" s="437" t="s">
        <v>2811</v>
      </c>
      <c r="G51" s="437" t="s">
        <v>2812</v>
      </c>
      <c r="H51" s="437" t="s">
        <v>2899</v>
      </c>
      <c r="I51" s="437" t="s">
        <v>1987</v>
      </c>
      <c r="J51" s="437" t="s">
        <v>2900</v>
      </c>
      <c r="K51" s="437" t="s">
        <v>2813</v>
      </c>
      <c r="L51" s="437" t="s">
        <v>2901</v>
      </c>
    </row>
    <row r="52" spans="1:15" ht="11.45" customHeight="1" x14ac:dyDescent="0.25">
      <c r="A52" s="8">
        <v>1869</v>
      </c>
      <c r="B52" s="8" t="s">
        <v>926</v>
      </c>
      <c r="D52" s="437" t="s">
        <v>1991</v>
      </c>
      <c r="E52" s="437" t="s">
        <v>1724</v>
      </c>
      <c r="F52" s="437" t="s">
        <v>2815</v>
      </c>
      <c r="G52" s="437" t="s">
        <v>2816</v>
      </c>
      <c r="H52" s="437" t="s">
        <v>1724</v>
      </c>
      <c r="I52" s="437" t="s">
        <v>1724</v>
      </c>
      <c r="J52" s="437" t="s">
        <v>1724</v>
      </c>
      <c r="K52" s="437" t="s">
        <v>2817</v>
      </c>
      <c r="L52" s="437" t="s">
        <v>2818</v>
      </c>
    </row>
    <row r="53" spans="1:15" ht="11.45" customHeight="1" x14ac:dyDescent="0.25">
      <c r="A53" s="189">
        <v>2570</v>
      </c>
      <c r="B53" s="185" t="s">
        <v>895</v>
      </c>
      <c r="C53" s="185"/>
      <c r="D53" s="475" t="s">
        <v>1724</v>
      </c>
      <c r="E53" s="475" t="s">
        <v>1724</v>
      </c>
      <c r="F53" s="475" t="s">
        <v>1724</v>
      </c>
      <c r="G53" s="475" t="s">
        <v>1724</v>
      </c>
      <c r="H53" s="475" t="s">
        <v>2819</v>
      </c>
      <c r="I53" s="475" t="s">
        <v>1724</v>
      </c>
      <c r="J53" s="475" t="s">
        <v>2819</v>
      </c>
      <c r="K53" s="475" t="s">
        <v>1724</v>
      </c>
      <c r="L53" s="476" t="s">
        <v>2820</v>
      </c>
    </row>
    <row r="54" spans="1:15" x14ac:dyDescent="0.25">
      <c r="A54" s="8">
        <v>2700</v>
      </c>
      <c r="B54" s="8" t="s">
        <v>911</v>
      </c>
      <c r="D54" s="437" t="s">
        <v>1724</v>
      </c>
      <c r="E54" s="437" t="s">
        <v>1724</v>
      </c>
      <c r="F54" s="437" t="s">
        <v>1724</v>
      </c>
      <c r="G54" s="437" t="s">
        <v>1724</v>
      </c>
      <c r="H54" s="437" t="s">
        <v>2902</v>
      </c>
      <c r="I54" s="437" t="s">
        <v>1724</v>
      </c>
      <c r="J54" s="437" t="s">
        <v>2902</v>
      </c>
      <c r="K54" s="437" t="s">
        <v>1724</v>
      </c>
      <c r="L54" s="437" t="s">
        <v>2903</v>
      </c>
    </row>
    <row r="55" spans="1:15" x14ac:dyDescent="0.25">
      <c r="A55" s="8">
        <v>2706</v>
      </c>
      <c r="B55" s="8" t="s">
        <v>913</v>
      </c>
      <c r="D55" s="437" t="s">
        <v>1724</v>
      </c>
      <c r="E55" s="437" t="s">
        <v>1724</v>
      </c>
      <c r="F55" s="437" t="s">
        <v>2823</v>
      </c>
      <c r="G55" s="437" t="s">
        <v>2823</v>
      </c>
      <c r="H55" s="437" t="s">
        <v>2904</v>
      </c>
      <c r="I55" s="437" t="s">
        <v>1724</v>
      </c>
      <c r="J55" s="437" t="s">
        <v>2904</v>
      </c>
      <c r="K55" s="437" t="s">
        <v>2825</v>
      </c>
      <c r="L55" s="437" t="s">
        <v>2905</v>
      </c>
    </row>
    <row r="56" spans="1:15" x14ac:dyDescent="0.25">
      <c r="A56" s="8">
        <v>2759</v>
      </c>
      <c r="B56" s="8" t="s">
        <v>923</v>
      </c>
      <c r="D56" s="437" t="s">
        <v>1724</v>
      </c>
      <c r="E56" s="437" t="s">
        <v>1724</v>
      </c>
      <c r="F56" s="437" t="s">
        <v>1724</v>
      </c>
      <c r="G56" s="437" t="s">
        <v>1724</v>
      </c>
      <c r="H56" s="437" t="s">
        <v>2906</v>
      </c>
      <c r="I56" s="437" t="s">
        <v>1724</v>
      </c>
      <c r="J56" s="437" t="s">
        <v>2906</v>
      </c>
      <c r="K56" s="437" t="s">
        <v>1724</v>
      </c>
      <c r="L56" s="437" t="s">
        <v>2907</v>
      </c>
    </row>
    <row r="58" spans="1:15" x14ac:dyDescent="0.25">
      <c r="A58" s="8" t="s">
        <v>953</v>
      </c>
      <c r="D58" s="437" t="s">
        <v>2002</v>
      </c>
      <c r="E58" s="437" t="s">
        <v>2166</v>
      </c>
      <c r="F58" s="437" t="s">
        <v>2829</v>
      </c>
      <c r="G58" s="437" t="s">
        <v>2830</v>
      </c>
      <c r="H58" s="437" t="s">
        <v>2908</v>
      </c>
      <c r="I58" s="437" t="s">
        <v>2909</v>
      </c>
      <c r="J58" s="437" t="s">
        <v>2910</v>
      </c>
      <c r="K58" s="437" t="s">
        <v>2833</v>
      </c>
      <c r="L58" s="437" t="s">
        <v>2911</v>
      </c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1"/>
  <sheetViews>
    <sheetView zoomScaleNormal="100" workbookViewId="0">
      <selection sqref="A1:B1"/>
    </sheetView>
  </sheetViews>
  <sheetFormatPr defaultRowHeight="15" x14ac:dyDescent="0.25"/>
  <cols>
    <col min="1" max="1" width="36.7109375" style="478" customWidth="1"/>
    <col min="2" max="2" width="8.140625" style="478" customWidth="1"/>
    <col min="3" max="3" width="2.140625" style="478" customWidth="1"/>
    <col min="4" max="5" width="10.28515625" style="478" customWidth="1"/>
    <col min="6" max="6" width="5" style="478" customWidth="1"/>
    <col min="7" max="7" width="2.140625" style="478" customWidth="1"/>
    <col min="8" max="8" width="1" style="478" customWidth="1"/>
    <col min="9" max="9" width="2" style="478" customWidth="1"/>
    <col min="10" max="10" width="5.140625" style="478" customWidth="1"/>
    <col min="11" max="11" width="5" style="478" customWidth="1"/>
    <col min="12" max="12" width="1" style="478" customWidth="1"/>
    <col min="13" max="13" width="8.140625" style="478" customWidth="1"/>
    <col min="14" max="14" width="1" style="478" customWidth="1"/>
    <col min="15" max="15" width="10.28515625" style="478" customWidth="1"/>
    <col min="16" max="16" width="10.140625" style="478" customWidth="1"/>
    <col min="17" max="17" width="10.28515625" style="478" customWidth="1"/>
    <col min="18" max="18" width="1" style="478" customWidth="1"/>
    <col min="19" max="19" width="11.28515625" style="478" customWidth="1"/>
    <col min="20" max="20" width="0.5703125" style="478" customWidth="1"/>
    <col min="21" max="16384" width="9.140625" style="478"/>
  </cols>
  <sheetData>
    <row r="1" spans="1:19" ht="11.65" customHeight="1" x14ac:dyDescent="0.25">
      <c r="A1" s="769" t="s">
        <v>134</v>
      </c>
      <c r="B1" s="769"/>
      <c r="S1" s="712" t="s">
        <v>135</v>
      </c>
    </row>
    <row r="2" spans="1:19" ht="10.9" customHeight="1" x14ac:dyDescent="0.25">
      <c r="A2" s="769" t="s">
        <v>1</v>
      </c>
      <c r="B2" s="769"/>
    </row>
    <row r="3" spans="1:19" ht="11.65" customHeight="1" x14ac:dyDescent="0.25">
      <c r="A3" s="791" t="s">
        <v>136</v>
      </c>
      <c r="B3" s="791"/>
    </row>
    <row r="4" spans="1:19" ht="11.65" customHeight="1" x14ac:dyDescent="0.25">
      <c r="A4" s="769" t="s">
        <v>137</v>
      </c>
      <c r="B4" s="769"/>
    </row>
    <row r="5" spans="1:19" ht="11.65" customHeight="1" x14ac:dyDescent="0.25">
      <c r="A5" s="769" t="s">
        <v>2036</v>
      </c>
      <c r="B5" s="769"/>
    </row>
    <row r="6" spans="1:19" ht="5.85" customHeight="1" x14ac:dyDescent="0.25"/>
    <row r="7" spans="1:19" ht="10.9" customHeight="1" x14ac:dyDescent="0.25">
      <c r="A7" s="770" t="s">
        <v>138</v>
      </c>
      <c r="B7" s="770"/>
      <c r="C7" s="770"/>
      <c r="D7" s="770"/>
      <c r="E7" s="770"/>
      <c r="F7" s="770"/>
      <c r="G7" s="770"/>
      <c r="H7" s="479"/>
      <c r="I7" s="479"/>
      <c r="J7" s="479"/>
      <c r="K7" s="479"/>
      <c r="L7" s="479"/>
      <c r="M7" s="479"/>
      <c r="N7" s="479"/>
      <c r="O7" s="479"/>
      <c r="Q7" s="795" t="s">
        <v>107</v>
      </c>
      <c r="R7" s="795"/>
      <c r="S7" s="795"/>
    </row>
    <row r="8" spans="1:19" ht="11.65" customHeight="1" x14ac:dyDescent="0.25">
      <c r="A8" s="756" t="s">
        <v>11</v>
      </c>
      <c r="B8" s="758" t="s">
        <v>139</v>
      </c>
      <c r="C8" s="759"/>
      <c r="D8" s="758" t="s">
        <v>140</v>
      </c>
      <c r="E8" s="763" t="s">
        <v>141</v>
      </c>
      <c r="F8" s="764"/>
      <c r="G8" s="764"/>
      <c r="H8" s="764"/>
      <c r="I8" s="764"/>
      <c r="J8" s="764"/>
      <c r="K8" s="764"/>
      <c r="L8" s="764"/>
      <c r="M8" s="764"/>
      <c r="N8" s="765"/>
      <c r="O8" s="758" t="s">
        <v>142</v>
      </c>
      <c r="P8" s="483"/>
    </row>
    <row r="9" spans="1:19" ht="17.45" customHeight="1" x14ac:dyDescent="0.25">
      <c r="A9" s="757"/>
      <c r="B9" s="760"/>
      <c r="C9" s="761"/>
      <c r="D9" s="762"/>
      <c r="E9" s="713" t="s">
        <v>143</v>
      </c>
      <c r="F9" s="758" t="s">
        <v>144</v>
      </c>
      <c r="G9" s="783"/>
      <c r="H9" s="784"/>
      <c r="I9" s="758" t="s">
        <v>145</v>
      </c>
      <c r="J9" s="783"/>
      <c r="K9" s="783"/>
      <c r="L9" s="784"/>
      <c r="M9" s="758" t="s">
        <v>146</v>
      </c>
      <c r="N9" s="784"/>
      <c r="O9" s="762"/>
      <c r="P9" s="483"/>
    </row>
    <row r="10" spans="1:19" ht="10.9" customHeight="1" x14ac:dyDescent="0.25">
      <c r="A10" s="714" t="s">
        <v>147</v>
      </c>
      <c r="B10" s="785" t="s">
        <v>1462</v>
      </c>
      <c r="C10" s="786"/>
      <c r="D10" s="715" t="s">
        <v>1462</v>
      </c>
      <c r="E10" s="715" t="s">
        <v>2041</v>
      </c>
      <c r="F10" s="785" t="s">
        <v>2042</v>
      </c>
      <c r="G10" s="787"/>
      <c r="H10" s="786"/>
      <c r="I10" s="785" t="s">
        <v>2043</v>
      </c>
      <c r="J10" s="787"/>
      <c r="K10" s="787"/>
      <c r="L10" s="786"/>
      <c r="M10" s="785" t="s">
        <v>2044</v>
      </c>
      <c r="N10" s="786"/>
      <c r="O10" s="715" t="s">
        <v>2045</v>
      </c>
      <c r="P10" s="483"/>
    </row>
    <row r="11" spans="1:19" ht="11.65" customHeight="1" x14ac:dyDescent="0.25">
      <c r="A11" s="716" t="s">
        <v>148</v>
      </c>
      <c r="B11" s="772" t="s">
        <v>1463</v>
      </c>
      <c r="C11" s="774"/>
      <c r="D11" s="717" t="s">
        <v>1463</v>
      </c>
      <c r="E11" s="717" t="s">
        <v>2046</v>
      </c>
      <c r="F11" s="772" t="s">
        <v>2047</v>
      </c>
      <c r="G11" s="773"/>
      <c r="H11" s="774"/>
      <c r="I11" s="772" t="s">
        <v>2048</v>
      </c>
      <c r="J11" s="773"/>
      <c r="K11" s="773"/>
      <c r="L11" s="774"/>
      <c r="M11" s="772" t="s">
        <v>2049</v>
      </c>
      <c r="N11" s="774"/>
      <c r="O11" s="717" t="s">
        <v>2050</v>
      </c>
      <c r="P11" s="483"/>
    </row>
    <row r="12" spans="1:19" ht="11.65" customHeight="1" x14ac:dyDescent="0.25">
      <c r="A12" s="716" t="s">
        <v>149</v>
      </c>
      <c r="B12" s="772" t="s">
        <v>1464</v>
      </c>
      <c r="C12" s="774"/>
      <c r="D12" s="717" t="s">
        <v>1464</v>
      </c>
      <c r="E12" s="717" t="s">
        <v>2051</v>
      </c>
      <c r="F12" s="772" t="s">
        <v>2052</v>
      </c>
      <c r="G12" s="773"/>
      <c r="H12" s="774"/>
      <c r="I12" s="772" t="s">
        <v>2053</v>
      </c>
      <c r="J12" s="773"/>
      <c r="K12" s="773"/>
      <c r="L12" s="774"/>
      <c r="M12" s="772" t="s">
        <v>2054</v>
      </c>
      <c r="N12" s="774"/>
      <c r="O12" s="717" t="s">
        <v>2055</v>
      </c>
      <c r="P12" s="483"/>
    </row>
    <row r="13" spans="1:19" ht="11.65" customHeight="1" x14ac:dyDescent="0.25">
      <c r="A13" s="716" t="s">
        <v>150</v>
      </c>
      <c r="B13" s="772" t="s">
        <v>1465</v>
      </c>
      <c r="C13" s="774"/>
      <c r="D13" s="717" t="s">
        <v>1465</v>
      </c>
      <c r="E13" s="717" t="s">
        <v>2056</v>
      </c>
      <c r="F13" s="772" t="s">
        <v>2057</v>
      </c>
      <c r="G13" s="773"/>
      <c r="H13" s="774"/>
      <c r="I13" s="772" t="s">
        <v>2058</v>
      </c>
      <c r="J13" s="773"/>
      <c r="K13" s="773"/>
      <c r="L13" s="774"/>
      <c r="M13" s="772" t="s">
        <v>2059</v>
      </c>
      <c r="N13" s="774"/>
      <c r="O13" s="717" t="s">
        <v>2060</v>
      </c>
      <c r="P13" s="483"/>
    </row>
    <row r="14" spans="1:19" ht="10.9" customHeight="1" x14ac:dyDescent="0.25">
      <c r="A14" s="716" t="s">
        <v>151</v>
      </c>
      <c r="B14" s="772" t="s">
        <v>1466</v>
      </c>
      <c r="C14" s="774"/>
      <c r="D14" s="717" t="s">
        <v>1466</v>
      </c>
      <c r="E14" s="717" t="s">
        <v>2061</v>
      </c>
      <c r="F14" s="772" t="s">
        <v>2062</v>
      </c>
      <c r="G14" s="773"/>
      <c r="H14" s="774"/>
      <c r="I14" s="772" t="s">
        <v>2063</v>
      </c>
      <c r="J14" s="773"/>
      <c r="K14" s="773"/>
      <c r="L14" s="774"/>
      <c r="M14" s="772" t="s">
        <v>2064</v>
      </c>
      <c r="N14" s="774"/>
      <c r="O14" s="717" t="s">
        <v>2065</v>
      </c>
      <c r="P14" s="483"/>
    </row>
    <row r="15" spans="1:19" ht="11.65" customHeight="1" x14ac:dyDescent="0.25">
      <c r="A15" s="716" t="s">
        <v>152</v>
      </c>
      <c r="B15" s="772" t="s">
        <v>159</v>
      </c>
      <c r="C15" s="774"/>
      <c r="D15" s="717" t="s">
        <v>159</v>
      </c>
      <c r="E15" s="717" t="s">
        <v>2066</v>
      </c>
      <c r="F15" s="772" t="s">
        <v>159</v>
      </c>
      <c r="G15" s="773"/>
      <c r="H15" s="774"/>
      <c r="I15" s="772" t="s">
        <v>2067</v>
      </c>
      <c r="J15" s="773"/>
      <c r="K15" s="773"/>
      <c r="L15" s="774"/>
      <c r="M15" s="772" t="s">
        <v>159</v>
      </c>
      <c r="N15" s="774"/>
      <c r="O15" s="717" t="s">
        <v>2068</v>
      </c>
      <c r="P15" s="483"/>
    </row>
    <row r="16" spans="1:19" ht="11.65" customHeight="1" x14ac:dyDescent="0.25">
      <c r="A16" s="716" t="s">
        <v>153</v>
      </c>
      <c r="B16" s="772" t="s">
        <v>1467</v>
      </c>
      <c r="C16" s="774"/>
      <c r="D16" s="717" t="s">
        <v>1467</v>
      </c>
      <c r="E16" s="717" t="s">
        <v>2069</v>
      </c>
      <c r="F16" s="772" t="s">
        <v>2070</v>
      </c>
      <c r="G16" s="773"/>
      <c r="H16" s="774"/>
      <c r="I16" s="772" t="s">
        <v>2071</v>
      </c>
      <c r="J16" s="773"/>
      <c r="K16" s="773"/>
      <c r="L16" s="774"/>
      <c r="M16" s="772" t="s">
        <v>2072</v>
      </c>
      <c r="N16" s="774"/>
      <c r="O16" s="717" t="s">
        <v>2073</v>
      </c>
      <c r="P16" s="483"/>
    </row>
    <row r="17" spans="1:16" ht="11.65" customHeight="1" x14ac:dyDescent="0.25">
      <c r="A17" s="716" t="s">
        <v>154</v>
      </c>
      <c r="B17" s="772" t="s">
        <v>1468</v>
      </c>
      <c r="C17" s="774"/>
      <c r="D17" s="717" t="s">
        <v>1468</v>
      </c>
      <c r="E17" s="717" t="s">
        <v>2074</v>
      </c>
      <c r="F17" s="772" t="s">
        <v>2075</v>
      </c>
      <c r="G17" s="773"/>
      <c r="H17" s="774"/>
      <c r="I17" s="772" t="s">
        <v>2076</v>
      </c>
      <c r="J17" s="773"/>
      <c r="K17" s="773"/>
      <c r="L17" s="774"/>
      <c r="M17" s="772" t="s">
        <v>2077</v>
      </c>
      <c r="N17" s="774"/>
      <c r="O17" s="717" t="s">
        <v>2078</v>
      </c>
      <c r="P17" s="483"/>
    </row>
    <row r="18" spans="1:16" ht="10.9" customHeight="1" x14ac:dyDescent="0.25">
      <c r="A18" s="716" t="s">
        <v>155</v>
      </c>
      <c r="B18" s="772" t="s">
        <v>1469</v>
      </c>
      <c r="C18" s="774"/>
      <c r="D18" s="717" t="s">
        <v>1469</v>
      </c>
      <c r="E18" s="717" t="s">
        <v>2079</v>
      </c>
      <c r="F18" s="772" t="s">
        <v>2080</v>
      </c>
      <c r="G18" s="773"/>
      <c r="H18" s="774"/>
      <c r="I18" s="772" t="s">
        <v>2081</v>
      </c>
      <c r="J18" s="773"/>
      <c r="K18" s="773"/>
      <c r="L18" s="774"/>
      <c r="M18" s="772" t="s">
        <v>2082</v>
      </c>
      <c r="N18" s="774"/>
      <c r="O18" s="717" t="s">
        <v>2083</v>
      </c>
      <c r="P18" s="483"/>
    </row>
    <row r="19" spans="1:16" ht="11.65" customHeight="1" x14ac:dyDescent="0.25">
      <c r="A19" s="716" t="s">
        <v>156</v>
      </c>
      <c r="B19" s="772" t="s">
        <v>1470</v>
      </c>
      <c r="C19" s="774"/>
      <c r="D19" s="717" t="s">
        <v>1470</v>
      </c>
      <c r="E19" s="717" t="s">
        <v>2084</v>
      </c>
      <c r="F19" s="772" t="s">
        <v>2085</v>
      </c>
      <c r="G19" s="773"/>
      <c r="H19" s="774"/>
      <c r="I19" s="772" t="s">
        <v>2086</v>
      </c>
      <c r="J19" s="773"/>
      <c r="K19" s="773"/>
      <c r="L19" s="774"/>
      <c r="M19" s="772" t="s">
        <v>2087</v>
      </c>
      <c r="N19" s="774"/>
      <c r="O19" s="717" t="s">
        <v>2088</v>
      </c>
      <c r="P19" s="483"/>
    </row>
    <row r="20" spans="1:16" ht="11.65" customHeight="1" x14ac:dyDescent="0.25">
      <c r="A20" s="716" t="s">
        <v>157</v>
      </c>
      <c r="B20" s="772" t="s">
        <v>159</v>
      </c>
      <c r="C20" s="774"/>
      <c r="D20" s="717" t="s">
        <v>159</v>
      </c>
      <c r="E20" s="717" t="s">
        <v>159</v>
      </c>
      <c r="F20" s="772" t="s">
        <v>159</v>
      </c>
      <c r="G20" s="773"/>
      <c r="H20" s="774"/>
      <c r="I20" s="772" t="s">
        <v>1668</v>
      </c>
      <c r="J20" s="773"/>
      <c r="K20" s="773"/>
      <c r="L20" s="774"/>
      <c r="M20" s="772" t="s">
        <v>159</v>
      </c>
      <c r="N20" s="774"/>
      <c r="O20" s="717" t="s">
        <v>1669</v>
      </c>
      <c r="P20" s="483"/>
    </row>
    <row r="21" spans="1:16" ht="11.65" customHeight="1" x14ac:dyDescent="0.25">
      <c r="A21" s="716" t="s">
        <v>158</v>
      </c>
      <c r="B21" s="772" t="s">
        <v>1470</v>
      </c>
      <c r="C21" s="774"/>
      <c r="D21" s="717" t="s">
        <v>1470</v>
      </c>
      <c r="E21" s="717" t="s">
        <v>2084</v>
      </c>
      <c r="F21" s="772" t="s">
        <v>2085</v>
      </c>
      <c r="G21" s="773"/>
      <c r="H21" s="774"/>
      <c r="I21" s="772" t="s">
        <v>2089</v>
      </c>
      <c r="J21" s="773"/>
      <c r="K21" s="773"/>
      <c r="L21" s="774"/>
      <c r="M21" s="772" t="s">
        <v>2090</v>
      </c>
      <c r="N21" s="774"/>
      <c r="O21" s="717" t="s">
        <v>2091</v>
      </c>
      <c r="P21" s="483"/>
    </row>
    <row r="22" spans="1:16" ht="10.9" customHeight="1" x14ac:dyDescent="0.25">
      <c r="A22" s="716" t="s">
        <v>160</v>
      </c>
      <c r="B22" s="772" t="s">
        <v>1471</v>
      </c>
      <c r="C22" s="774"/>
      <c r="D22" s="717" t="s">
        <v>1471</v>
      </c>
      <c r="E22" s="717" t="s">
        <v>2092</v>
      </c>
      <c r="F22" s="772" t="s">
        <v>2093</v>
      </c>
      <c r="G22" s="773"/>
      <c r="H22" s="774"/>
      <c r="I22" s="772" t="s">
        <v>2094</v>
      </c>
      <c r="J22" s="773"/>
      <c r="K22" s="773"/>
      <c r="L22" s="774"/>
      <c r="M22" s="772" t="s">
        <v>2095</v>
      </c>
      <c r="N22" s="774"/>
      <c r="O22" s="717" t="s">
        <v>2096</v>
      </c>
      <c r="P22" s="483"/>
    </row>
    <row r="23" spans="1:16" ht="11.65" customHeight="1" x14ac:dyDescent="0.25">
      <c r="A23" s="716" t="s">
        <v>161</v>
      </c>
      <c r="B23" s="772" t="s">
        <v>1472</v>
      </c>
      <c r="C23" s="774"/>
      <c r="D23" s="717" t="s">
        <v>1472</v>
      </c>
      <c r="E23" s="717" t="s">
        <v>2097</v>
      </c>
      <c r="F23" s="772" t="s">
        <v>2098</v>
      </c>
      <c r="G23" s="773"/>
      <c r="H23" s="774"/>
      <c r="I23" s="772" t="s">
        <v>2099</v>
      </c>
      <c r="J23" s="773"/>
      <c r="K23" s="773"/>
      <c r="L23" s="774"/>
      <c r="M23" s="772" t="s">
        <v>2100</v>
      </c>
      <c r="N23" s="774"/>
      <c r="O23" s="717" t="s">
        <v>2101</v>
      </c>
      <c r="P23" s="483"/>
    </row>
    <row r="24" spans="1:16" ht="11.65" customHeight="1" x14ac:dyDescent="0.25">
      <c r="A24" s="716" t="s">
        <v>162</v>
      </c>
      <c r="B24" s="772" t="s">
        <v>1473</v>
      </c>
      <c r="C24" s="774"/>
      <c r="D24" s="717" t="s">
        <v>1473</v>
      </c>
      <c r="E24" s="717" t="s">
        <v>2102</v>
      </c>
      <c r="F24" s="772" t="s">
        <v>2103</v>
      </c>
      <c r="G24" s="773"/>
      <c r="H24" s="774"/>
      <c r="I24" s="772" t="s">
        <v>2104</v>
      </c>
      <c r="J24" s="773"/>
      <c r="K24" s="773"/>
      <c r="L24" s="774"/>
      <c r="M24" s="772" t="s">
        <v>2105</v>
      </c>
      <c r="N24" s="774"/>
      <c r="O24" s="717" t="s">
        <v>2106</v>
      </c>
      <c r="P24" s="483"/>
    </row>
    <row r="25" spans="1:16" ht="11.65" customHeight="1" x14ac:dyDescent="0.25">
      <c r="A25" s="716" t="s">
        <v>163</v>
      </c>
      <c r="B25" s="772" t="s">
        <v>1474</v>
      </c>
      <c r="C25" s="774"/>
      <c r="D25" s="717" t="s">
        <v>1474</v>
      </c>
      <c r="E25" s="717" t="s">
        <v>2107</v>
      </c>
      <c r="F25" s="772" t="s">
        <v>2108</v>
      </c>
      <c r="G25" s="773"/>
      <c r="H25" s="774"/>
      <c r="I25" s="772" t="s">
        <v>2109</v>
      </c>
      <c r="J25" s="773"/>
      <c r="K25" s="773"/>
      <c r="L25" s="774"/>
      <c r="M25" s="772" t="s">
        <v>2110</v>
      </c>
      <c r="N25" s="774"/>
      <c r="O25" s="717" t="s">
        <v>2111</v>
      </c>
      <c r="P25" s="483"/>
    </row>
    <row r="26" spans="1:16" ht="10.9" customHeight="1" x14ac:dyDescent="0.25">
      <c r="A26" s="716" t="s">
        <v>164</v>
      </c>
      <c r="B26" s="772" t="s">
        <v>1475</v>
      </c>
      <c r="C26" s="774"/>
      <c r="D26" s="717" t="s">
        <v>1475</v>
      </c>
      <c r="E26" s="717" t="s">
        <v>2112</v>
      </c>
      <c r="F26" s="772" t="s">
        <v>2113</v>
      </c>
      <c r="G26" s="773"/>
      <c r="H26" s="774"/>
      <c r="I26" s="772" t="s">
        <v>2114</v>
      </c>
      <c r="J26" s="773"/>
      <c r="K26" s="773"/>
      <c r="L26" s="774"/>
      <c r="M26" s="772" t="s">
        <v>2115</v>
      </c>
      <c r="N26" s="774"/>
      <c r="O26" s="717" t="s">
        <v>2116</v>
      </c>
      <c r="P26" s="483"/>
    </row>
    <row r="27" spans="1:16" ht="11.65" customHeight="1" x14ac:dyDescent="0.25">
      <c r="A27" s="716" t="s">
        <v>165</v>
      </c>
      <c r="B27" s="772" t="s">
        <v>1476</v>
      </c>
      <c r="C27" s="774"/>
      <c r="D27" s="717" t="s">
        <v>1476</v>
      </c>
      <c r="E27" s="717" t="s">
        <v>2117</v>
      </c>
      <c r="F27" s="772" t="s">
        <v>2118</v>
      </c>
      <c r="G27" s="773"/>
      <c r="H27" s="774"/>
      <c r="I27" s="772" t="s">
        <v>2119</v>
      </c>
      <c r="J27" s="773"/>
      <c r="K27" s="773"/>
      <c r="L27" s="774"/>
      <c r="M27" s="772" t="s">
        <v>2120</v>
      </c>
      <c r="N27" s="774"/>
      <c r="O27" s="717" t="s">
        <v>2121</v>
      </c>
      <c r="P27" s="483"/>
    </row>
    <row r="28" spans="1:16" ht="11.65" customHeight="1" x14ac:dyDescent="0.25">
      <c r="A28" s="716" t="s">
        <v>166</v>
      </c>
      <c r="B28" s="772" t="s">
        <v>1477</v>
      </c>
      <c r="C28" s="774"/>
      <c r="D28" s="717" t="s">
        <v>1477</v>
      </c>
      <c r="E28" s="717" t="s">
        <v>2122</v>
      </c>
      <c r="F28" s="772" t="s">
        <v>2123</v>
      </c>
      <c r="G28" s="773"/>
      <c r="H28" s="774"/>
      <c r="I28" s="772" t="s">
        <v>2124</v>
      </c>
      <c r="J28" s="773"/>
      <c r="K28" s="773"/>
      <c r="L28" s="774"/>
      <c r="M28" s="772" t="s">
        <v>2125</v>
      </c>
      <c r="N28" s="774"/>
      <c r="O28" s="717" t="s">
        <v>2126</v>
      </c>
      <c r="P28" s="483"/>
    </row>
    <row r="29" spans="1:16" ht="11.65" customHeight="1" x14ac:dyDescent="0.25">
      <c r="A29" s="716" t="s">
        <v>1305</v>
      </c>
      <c r="B29" s="772" t="s">
        <v>159</v>
      </c>
      <c r="C29" s="774"/>
      <c r="D29" s="717" t="s">
        <v>159</v>
      </c>
      <c r="E29" s="717" t="s">
        <v>159</v>
      </c>
      <c r="F29" s="772" t="s">
        <v>159</v>
      </c>
      <c r="G29" s="773"/>
      <c r="H29" s="774"/>
      <c r="I29" s="772" t="s">
        <v>1478</v>
      </c>
      <c r="J29" s="773"/>
      <c r="K29" s="773"/>
      <c r="L29" s="774"/>
      <c r="M29" s="772" t="s">
        <v>159</v>
      </c>
      <c r="N29" s="774"/>
      <c r="O29" s="717" t="s">
        <v>1479</v>
      </c>
      <c r="P29" s="483"/>
    </row>
    <row r="30" spans="1:16" ht="10.9" customHeight="1" x14ac:dyDescent="0.25">
      <c r="A30" s="716" t="s">
        <v>1480</v>
      </c>
      <c r="B30" s="772" t="s">
        <v>1481</v>
      </c>
      <c r="C30" s="774"/>
      <c r="D30" s="717" t="s">
        <v>1481</v>
      </c>
      <c r="E30" s="717" t="s">
        <v>159</v>
      </c>
      <c r="F30" s="772" t="s">
        <v>159</v>
      </c>
      <c r="G30" s="773"/>
      <c r="H30" s="774"/>
      <c r="I30" s="772" t="s">
        <v>159</v>
      </c>
      <c r="J30" s="773"/>
      <c r="K30" s="773"/>
      <c r="L30" s="774"/>
      <c r="M30" s="772" t="s">
        <v>159</v>
      </c>
      <c r="N30" s="774"/>
      <c r="O30" s="717" t="s">
        <v>1481</v>
      </c>
      <c r="P30" s="483"/>
    </row>
    <row r="31" spans="1:16" ht="11.65" customHeight="1" x14ac:dyDescent="0.25">
      <c r="A31" s="716" t="s">
        <v>167</v>
      </c>
      <c r="B31" s="772" t="s">
        <v>1482</v>
      </c>
      <c r="C31" s="774"/>
      <c r="D31" s="717" t="s">
        <v>1482</v>
      </c>
      <c r="E31" s="717" t="s">
        <v>2127</v>
      </c>
      <c r="F31" s="772" t="s">
        <v>2128</v>
      </c>
      <c r="G31" s="773"/>
      <c r="H31" s="774"/>
      <c r="I31" s="772" t="s">
        <v>2129</v>
      </c>
      <c r="J31" s="773"/>
      <c r="K31" s="773"/>
      <c r="L31" s="774"/>
      <c r="M31" s="772" t="s">
        <v>2130</v>
      </c>
      <c r="N31" s="774"/>
      <c r="O31" s="717" t="s">
        <v>2131</v>
      </c>
      <c r="P31" s="483"/>
    </row>
    <row r="32" spans="1:16" ht="11.65" customHeight="1" x14ac:dyDescent="0.25">
      <c r="A32" s="716" t="s">
        <v>168</v>
      </c>
      <c r="B32" s="772" t="s">
        <v>1483</v>
      </c>
      <c r="C32" s="774"/>
      <c r="D32" s="717" t="s">
        <v>1483</v>
      </c>
      <c r="E32" s="717" t="s">
        <v>2132</v>
      </c>
      <c r="F32" s="772" t="s">
        <v>2133</v>
      </c>
      <c r="G32" s="773"/>
      <c r="H32" s="774"/>
      <c r="I32" s="772" t="s">
        <v>2134</v>
      </c>
      <c r="J32" s="773"/>
      <c r="K32" s="773"/>
      <c r="L32" s="774"/>
      <c r="M32" s="772" t="s">
        <v>2135</v>
      </c>
      <c r="N32" s="774"/>
      <c r="O32" s="717" t="s">
        <v>2136</v>
      </c>
      <c r="P32" s="483"/>
    </row>
    <row r="33" spans="1:19" ht="11.65" customHeight="1" x14ac:dyDescent="0.25">
      <c r="A33" s="716" t="s">
        <v>169</v>
      </c>
      <c r="B33" s="772" t="s">
        <v>1484</v>
      </c>
      <c r="C33" s="774"/>
      <c r="D33" s="717" t="s">
        <v>1484</v>
      </c>
      <c r="E33" s="717" t="s">
        <v>2137</v>
      </c>
      <c r="F33" s="772" t="s">
        <v>2138</v>
      </c>
      <c r="G33" s="773"/>
      <c r="H33" s="774"/>
      <c r="I33" s="772" t="s">
        <v>2139</v>
      </c>
      <c r="J33" s="773"/>
      <c r="K33" s="773"/>
      <c r="L33" s="774"/>
      <c r="M33" s="772" t="s">
        <v>2140</v>
      </c>
      <c r="N33" s="774"/>
      <c r="O33" s="717" t="s">
        <v>2141</v>
      </c>
      <c r="P33" s="483"/>
    </row>
    <row r="34" spans="1:19" ht="10.9" customHeight="1" x14ac:dyDescent="0.25">
      <c r="A34" s="716" t="s">
        <v>170</v>
      </c>
      <c r="B34" s="772" t="s">
        <v>1485</v>
      </c>
      <c r="C34" s="774"/>
      <c r="D34" s="717" t="s">
        <v>1485</v>
      </c>
      <c r="E34" s="717" t="s">
        <v>2142</v>
      </c>
      <c r="F34" s="772" t="s">
        <v>2143</v>
      </c>
      <c r="G34" s="773"/>
      <c r="H34" s="774"/>
      <c r="I34" s="772" t="s">
        <v>2144</v>
      </c>
      <c r="J34" s="773"/>
      <c r="K34" s="773"/>
      <c r="L34" s="774"/>
      <c r="M34" s="772" t="s">
        <v>2145</v>
      </c>
      <c r="N34" s="774"/>
      <c r="O34" s="717" t="s">
        <v>2146</v>
      </c>
      <c r="P34" s="483"/>
    </row>
    <row r="35" spans="1:19" ht="11.65" customHeight="1" x14ac:dyDescent="0.25">
      <c r="A35" s="716" t="s">
        <v>171</v>
      </c>
      <c r="B35" s="772" t="s">
        <v>1486</v>
      </c>
      <c r="C35" s="774"/>
      <c r="D35" s="717" t="s">
        <v>1486</v>
      </c>
      <c r="E35" s="717" t="s">
        <v>159</v>
      </c>
      <c r="F35" s="772" t="s">
        <v>159</v>
      </c>
      <c r="G35" s="773"/>
      <c r="H35" s="774"/>
      <c r="I35" s="772" t="s">
        <v>159</v>
      </c>
      <c r="J35" s="773"/>
      <c r="K35" s="773"/>
      <c r="L35" s="774"/>
      <c r="M35" s="772" t="s">
        <v>159</v>
      </c>
      <c r="N35" s="774"/>
      <c r="O35" s="717" t="s">
        <v>1486</v>
      </c>
      <c r="P35" s="483"/>
    </row>
    <row r="36" spans="1:19" ht="11.65" customHeight="1" x14ac:dyDescent="0.25">
      <c r="A36" s="716" t="s">
        <v>172</v>
      </c>
      <c r="B36" s="772" t="s">
        <v>1487</v>
      </c>
      <c r="C36" s="774"/>
      <c r="D36" s="717" t="s">
        <v>1487</v>
      </c>
      <c r="E36" s="717" t="s">
        <v>159</v>
      </c>
      <c r="F36" s="772" t="s">
        <v>159</v>
      </c>
      <c r="G36" s="773"/>
      <c r="H36" s="774"/>
      <c r="I36" s="772" t="s">
        <v>159</v>
      </c>
      <c r="J36" s="773"/>
      <c r="K36" s="773"/>
      <c r="L36" s="774"/>
      <c r="M36" s="772" t="s">
        <v>159</v>
      </c>
      <c r="N36" s="774"/>
      <c r="O36" s="717" t="s">
        <v>1487</v>
      </c>
      <c r="P36" s="483"/>
    </row>
    <row r="37" spans="1:19" ht="11.65" customHeight="1" x14ac:dyDescent="0.25">
      <c r="A37" s="716" t="s">
        <v>173</v>
      </c>
      <c r="B37" s="772" t="s">
        <v>1488</v>
      </c>
      <c r="C37" s="774"/>
      <c r="D37" s="717" t="s">
        <v>1488</v>
      </c>
      <c r="E37" s="717" t="s">
        <v>2147</v>
      </c>
      <c r="F37" s="772" t="s">
        <v>2148</v>
      </c>
      <c r="G37" s="773"/>
      <c r="H37" s="774"/>
      <c r="I37" s="772" t="s">
        <v>2149</v>
      </c>
      <c r="J37" s="773"/>
      <c r="K37" s="773"/>
      <c r="L37" s="774"/>
      <c r="M37" s="772" t="s">
        <v>2150</v>
      </c>
      <c r="N37" s="774"/>
      <c r="O37" s="717" t="s">
        <v>2151</v>
      </c>
      <c r="P37" s="483"/>
    </row>
    <row r="38" spans="1:19" ht="10.9" customHeight="1" x14ac:dyDescent="0.25">
      <c r="A38" s="716" t="s">
        <v>174</v>
      </c>
      <c r="B38" s="772" t="s">
        <v>1489</v>
      </c>
      <c r="C38" s="774"/>
      <c r="D38" s="717" t="s">
        <v>1489</v>
      </c>
      <c r="E38" s="717" t="s">
        <v>2152</v>
      </c>
      <c r="F38" s="772" t="s">
        <v>2153</v>
      </c>
      <c r="G38" s="773"/>
      <c r="H38" s="774"/>
      <c r="I38" s="772" t="s">
        <v>2154</v>
      </c>
      <c r="J38" s="773"/>
      <c r="K38" s="773"/>
      <c r="L38" s="774"/>
      <c r="M38" s="772" t="s">
        <v>2155</v>
      </c>
      <c r="N38" s="774"/>
      <c r="O38" s="717" t="s">
        <v>2156</v>
      </c>
      <c r="P38" s="483"/>
    </row>
    <row r="39" spans="1:19" ht="11.65" customHeight="1" x14ac:dyDescent="0.25">
      <c r="A39" s="716" t="s">
        <v>124</v>
      </c>
      <c r="B39" s="772" t="s">
        <v>1489</v>
      </c>
      <c r="C39" s="774"/>
      <c r="D39" s="717" t="s">
        <v>1489</v>
      </c>
      <c r="E39" s="717" t="s">
        <v>159</v>
      </c>
      <c r="F39" s="772" t="s">
        <v>159</v>
      </c>
      <c r="G39" s="773"/>
      <c r="H39" s="774"/>
      <c r="I39" s="772" t="s">
        <v>159</v>
      </c>
      <c r="J39" s="773"/>
      <c r="K39" s="773"/>
      <c r="L39" s="774"/>
      <c r="M39" s="772" t="s">
        <v>159</v>
      </c>
      <c r="N39" s="774"/>
      <c r="O39" s="717" t="s">
        <v>1489</v>
      </c>
      <c r="P39" s="483"/>
    </row>
    <row r="40" spans="1:19" ht="11.65" customHeight="1" x14ac:dyDescent="0.25">
      <c r="A40" s="716" t="s">
        <v>175</v>
      </c>
      <c r="B40" s="772" t="s">
        <v>1489</v>
      </c>
      <c r="C40" s="774"/>
      <c r="D40" s="717" t="s">
        <v>1489</v>
      </c>
      <c r="E40" s="717" t="s">
        <v>159</v>
      </c>
      <c r="F40" s="772" t="s">
        <v>159</v>
      </c>
      <c r="G40" s="773"/>
      <c r="H40" s="774"/>
      <c r="I40" s="772" t="s">
        <v>159</v>
      </c>
      <c r="J40" s="773"/>
      <c r="K40" s="773"/>
      <c r="L40" s="774"/>
      <c r="M40" s="772" t="s">
        <v>159</v>
      </c>
      <c r="N40" s="774"/>
      <c r="O40" s="717" t="s">
        <v>1489</v>
      </c>
      <c r="P40" s="483"/>
    </row>
    <row r="41" spans="1:19" ht="11.65" customHeight="1" x14ac:dyDescent="0.25">
      <c r="A41" s="716" t="s">
        <v>2157</v>
      </c>
      <c r="B41" s="772" t="s">
        <v>159</v>
      </c>
      <c r="C41" s="774"/>
      <c r="D41" s="717" t="s">
        <v>159</v>
      </c>
      <c r="E41" s="717" t="s">
        <v>2152</v>
      </c>
      <c r="F41" s="772" t="s">
        <v>159</v>
      </c>
      <c r="G41" s="773"/>
      <c r="H41" s="774"/>
      <c r="I41" s="772" t="s">
        <v>2152</v>
      </c>
      <c r="J41" s="773"/>
      <c r="K41" s="773"/>
      <c r="L41" s="774"/>
      <c r="M41" s="772" t="s">
        <v>159</v>
      </c>
      <c r="N41" s="774"/>
      <c r="O41" s="717" t="s">
        <v>2158</v>
      </c>
      <c r="P41" s="483"/>
    </row>
    <row r="42" spans="1:19" ht="10.9" customHeight="1" x14ac:dyDescent="0.25">
      <c r="A42" s="716" t="s">
        <v>1671</v>
      </c>
      <c r="B42" s="772" t="s">
        <v>159</v>
      </c>
      <c r="C42" s="774"/>
      <c r="D42" s="717" t="s">
        <v>159</v>
      </c>
      <c r="E42" s="717" t="s">
        <v>159</v>
      </c>
      <c r="F42" s="772" t="s">
        <v>159</v>
      </c>
      <c r="G42" s="773"/>
      <c r="H42" s="774"/>
      <c r="I42" s="772" t="s">
        <v>1670</v>
      </c>
      <c r="J42" s="773"/>
      <c r="K42" s="773"/>
      <c r="L42" s="774"/>
      <c r="M42" s="772" t="s">
        <v>159</v>
      </c>
      <c r="N42" s="774"/>
      <c r="O42" s="717" t="s">
        <v>1672</v>
      </c>
      <c r="P42" s="483"/>
    </row>
    <row r="43" spans="1:19" ht="11.65" customHeight="1" x14ac:dyDescent="0.25">
      <c r="A43" s="716" t="s">
        <v>165</v>
      </c>
      <c r="B43" s="772" t="s">
        <v>159</v>
      </c>
      <c r="C43" s="774"/>
      <c r="D43" s="717" t="s">
        <v>159</v>
      </c>
      <c r="E43" s="717" t="s">
        <v>159</v>
      </c>
      <c r="F43" s="772" t="s">
        <v>159</v>
      </c>
      <c r="G43" s="773"/>
      <c r="H43" s="774"/>
      <c r="I43" s="772" t="s">
        <v>1670</v>
      </c>
      <c r="J43" s="773"/>
      <c r="K43" s="773"/>
      <c r="L43" s="774"/>
      <c r="M43" s="772" t="s">
        <v>159</v>
      </c>
      <c r="N43" s="774"/>
      <c r="O43" s="717" t="s">
        <v>1672</v>
      </c>
      <c r="P43" s="483"/>
    </row>
    <row r="44" spans="1:19" ht="11.65" customHeight="1" x14ac:dyDescent="0.25">
      <c r="A44" s="716" t="s">
        <v>176</v>
      </c>
      <c r="B44" s="772" t="s">
        <v>1490</v>
      </c>
      <c r="C44" s="774"/>
      <c r="D44" s="717" t="s">
        <v>1490</v>
      </c>
      <c r="E44" s="717" t="s">
        <v>2159</v>
      </c>
      <c r="F44" s="772" t="s">
        <v>2160</v>
      </c>
      <c r="G44" s="773"/>
      <c r="H44" s="774"/>
      <c r="I44" s="772" t="s">
        <v>2161</v>
      </c>
      <c r="J44" s="773"/>
      <c r="K44" s="773"/>
      <c r="L44" s="774"/>
      <c r="M44" s="772" t="s">
        <v>2162</v>
      </c>
      <c r="N44" s="774"/>
      <c r="O44" s="717" t="s">
        <v>2163</v>
      </c>
      <c r="P44" s="483"/>
    </row>
    <row r="45" spans="1:19" ht="11.65" customHeight="1" x14ac:dyDescent="0.25">
      <c r="A45" s="716" t="s">
        <v>178</v>
      </c>
      <c r="B45" s="772" t="s">
        <v>1491</v>
      </c>
      <c r="C45" s="774"/>
      <c r="D45" s="717" t="s">
        <v>1491</v>
      </c>
      <c r="E45" s="717" t="s">
        <v>2164</v>
      </c>
      <c r="F45" s="772" t="s">
        <v>2165</v>
      </c>
      <c r="G45" s="773"/>
      <c r="H45" s="774"/>
      <c r="I45" s="772" t="s">
        <v>2166</v>
      </c>
      <c r="J45" s="773"/>
      <c r="K45" s="773"/>
      <c r="L45" s="774"/>
      <c r="M45" s="772" t="s">
        <v>2167</v>
      </c>
      <c r="N45" s="774"/>
      <c r="O45" s="717" t="s">
        <v>2168</v>
      </c>
      <c r="P45" s="483"/>
    </row>
    <row r="46" spans="1:19" ht="10.9" customHeight="1" x14ac:dyDescent="0.25">
      <c r="A46" s="716" t="s">
        <v>179</v>
      </c>
      <c r="B46" s="772" t="s">
        <v>1491</v>
      </c>
      <c r="C46" s="774"/>
      <c r="D46" s="717" t="s">
        <v>1491</v>
      </c>
      <c r="E46" s="717" t="s">
        <v>2164</v>
      </c>
      <c r="F46" s="772" t="s">
        <v>2165</v>
      </c>
      <c r="G46" s="773"/>
      <c r="H46" s="774"/>
      <c r="I46" s="772" t="s">
        <v>2166</v>
      </c>
      <c r="J46" s="773"/>
      <c r="K46" s="773"/>
      <c r="L46" s="774"/>
      <c r="M46" s="772" t="s">
        <v>2167</v>
      </c>
      <c r="N46" s="774"/>
      <c r="O46" s="717" t="s">
        <v>2168</v>
      </c>
      <c r="P46" s="483"/>
    </row>
    <row r="47" spans="1:19" ht="11.65" customHeight="1" x14ac:dyDescent="0.25">
      <c r="A47" s="768" t="s">
        <v>2169</v>
      </c>
      <c r="B47" s="768"/>
      <c r="C47" s="768"/>
      <c r="D47" s="768"/>
      <c r="E47" s="768"/>
      <c r="F47" s="768"/>
      <c r="G47" s="768"/>
      <c r="H47" s="768"/>
      <c r="I47" s="768"/>
      <c r="J47" s="768"/>
      <c r="K47" s="768"/>
      <c r="L47" s="768"/>
      <c r="M47" s="768"/>
      <c r="N47" s="768"/>
      <c r="O47" s="768"/>
      <c r="P47" s="768"/>
      <c r="Q47" s="768"/>
      <c r="R47" s="768"/>
      <c r="S47" s="768"/>
    </row>
    <row r="48" spans="1:19" ht="5.85" customHeight="1" x14ac:dyDescent="0.25"/>
    <row r="49" spans="1:20" ht="11.65" customHeight="1" x14ac:dyDescent="0.25">
      <c r="A49" s="769" t="s">
        <v>134</v>
      </c>
      <c r="B49" s="769"/>
      <c r="S49" s="712" t="s">
        <v>177</v>
      </c>
    </row>
    <row r="50" spans="1:20" ht="11.65" customHeight="1" x14ac:dyDescent="0.25">
      <c r="A50" s="769" t="s">
        <v>1</v>
      </c>
      <c r="B50" s="769"/>
    </row>
    <row r="51" spans="1:20" ht="10.9" customHeight="1" x14ac:dyDescent="0.25">
      <c r="A51" s="791" t="s">
        <v>136</v>
      </c>
      <c r="B51" s="791"/>
    </row>
    <row r="52" spans="1:20" ht="11.65" customHeight="1" x14ac:dyDescent="0.25">
      <c r="A52" s="769" t="s">
        <v>137</v>
      </c>
      <c r="B52" s="769"/>
    </row>
    <row r="53" spans="1:20" ht="11.65" customHeight="1" x14ac:dyDescent="0.25">
      <c r="A53" s="769" t="s">
        <v>2036</v>
      </c>
      <c r="B53" s="769"/>
    </row>
    <row r="54" spans="1:20" ht="5.85" customHeight="1" x14ac:dyDescent="0.25"/>
    <row r="55" spans="1:20" ht="10.9" customHeight="1" x14ac:dyDescent="0.25">
      <c r="A55" s="770" t="s">
        <v>138</v>
      </c>
      <c r="B55" s="770"/>
      <c r="C55" s="770"/>
      <c r="D55" s="770"/>
      <c r="E55" s="770"/>
      <c r="F55" s="770"/>
      <c r="G55" s="770"/>
      <c r="H55" s="479"/>
      <c r="I55" s="479"/>
      <c r="J55" s="479"/>
      <c r="K55" s="479"/>
      <c r="L55" s="479"/>
      <c r="M55" s="479"/>
      <c r="N55" s="479"/>
      <c r="O55" s="479"/>
      <c r="Q55" s="795" t="s">
        <v>107</v>
      </c>
      <c r="R55" s="795"/>
      <c r="S55" s="795"/>
    </row>
    <row r="56" spans="1:20" ht="11.65" customHeight="1" x14ac:dyDescent="0.25">
      <c r="A56" s="756" t="s">
        <v>11</v>
      </c>
      <c r="B56" s="758" t="s">
        <v>139</v>
      </c>
      <c r="C56" s="759"/>
      <c r="D56" s="758" t="s">
        <v>140</v>
      </c>
      <c r="E56" s="763" t="s">
        <v>141</v>
      </c>
      <c r="F56" s="764"/>
      <c r="G56" s="764"/>
      <c r="H56" s="764"/>
      <c r="I56" s="764"/>
      <c r="J56" s="764"/>
      <c r="K56" s="764"/>
      <c r="L56" s="764"/>
      <c r="M56" s="764"/>
      <c r="N56" s="765"/>
      <c r="O56" s="758" t="s">
        <v>142</v>
      </c>
      <c r="P56" s="483"/>
    </row>
    <row r="57" spans="1:20" ht="17.45" customHeight="1" x14ac:dyDescent="0.25">
      <c r="A57" s="757"/>
      <c r="B57" s="760"/>
      <c r="C57" s="761"/>
      <c r="D57" s="762"/>
      <c r="E57" s="713" t="s">
        <v>143</v>
      </c>
      <c r="F57" s="758" t="s">
        <v>144</v>
      </c>
      <c r="G57" s="783"/>
      <c r="H57" s="784"/>
      <c r="I57" s="758" t="s">
        <v>145</v>
      </c>
      <c r="J57" s="783"/>
      <c r="K57" s="783"/>
      <c r="L57" s="784"/>
      <c r="M57" s="758" t="s">
        <v>146</v>
      </c>
      <c r="N57" s="784"/>
      <c r="O57" s="762"/>
      <c r="P57" s="483"/>
    </row>
    <row r="58" spans="1:20" ht="11.65" customHeight="1" x14ac:dyDescent="0.25">
      <c r="A58" s="714" t="s">
        <v>180</v>
      </c>
      <c r="B58" s="785" t="s">
        <v>159</v>
      </c>
      <c r="C58" s="786"/>
      <c r="D58" s="715" t="s">
        <v>159</v>
      </c>
      <c r="E58" s="715" t="s">
        <v>159</v>
      </c>
      <c r="F58" s="785" t="s">
        <v>159</v>
      </c>
      <c r="G58" s="787"/>
      <c r="H58" s="786"/>
      <c r="I58" s="785" t="s">
        <v>159</v>
      </c>
      <c r="J58" s="787"/>
      <c r="K58" s="787"/>
      <c r="L58" s="786"/>
      <c r="M58" s="785" t="s">
        <v>159</v>
      </c>
      <c r="N58" s="786"/>
      <c r="O58" s="715" t="s">
        <v>159</v>
      </c>
      <c r="P58" s="483"/>
    </row>
    <row r="59" spans="1:20" ht="10.9" customHeight="1" x14ac:dyDescent="0.25">
      <c r="A59" s="716" t="s">
        <v>181</v>
      </c>
      <c r="B59" s="772" t="s">
        <v>1491</v>
      </c>
      <c r="C59" s="774"/>
      <c r="D59" s="717" t="s">
        <v>1491</v>
      </c>
      <c r="E59" s="717" t="s">
        <v>2164</v>
      </c>
      <c r="F59" s="772" t="s">
        <v>2165</v>
      </c>
      <c r="G59" s="773"/>
      <c r="H59" s="774"/>
      <c r="I59" s="772" t="s">
        <v>2166</v>
      </c>
      <c r="J59" s="773"/>
      <c r="K59" s="773"/>
      <c r="L59" s="774"/>
      <c r="M59" s="772" t="s">
        <v>2167</v>
      </c>
      <c r="N59" s="774"/>
      <c r="O59" s="717" t="s">
        <v>159</v>
      </c>
      <c r="P59" s="483"/>
    </row>
    <row r="60" spans="1:20" ht="11.65" customHeight="1" x14ac:dyDescent="0.25">
      <c r="A60" s="716" t="s">
        <v>182</v>
      </c>
      <c r="B60" s="772" t="s">
        <v>159</v>
      </c>
      <c r="C60" s="774"/>
      <c r="D60" s="717" t="s">
        <v>159</v>
      </c>
      <c r="E60" s="717" t="s">
        <v>159</v>
      </c>
      <c r="F60" s="772" t="s">
        <v>159</v>
      </c>
      <c r="G60" s="773"/>
      <c r="H60" s="774"/>
      <c r="I60" s="772" t="s">
        <v>2170</v>
      </c>
      <c r="J60" s="773"/>
      <c r="K60" s="773"/>
      <c r="L60" s="774"/>
      <c r="M60" s="772" t="s">
        <v>159</v>
      </c>
      <c r="N60" s="774"/>
      <c r="O60" s="717" t="s">
        <v>159</v>
      </c>
      <c r="P60" s="483"/>
    </row>
    <row r="61" spans="1:20" ht="11.65" customHeight="1" x14ac:dyDescent="0.25">
      <c r="A61" s="716" t="s">
        <v>183</v>
      </c>
      <c r="B61" s="772" t="s">
        <v>159</v>
      </c>
      <c r="C61" s="774"/>
      <c r="D61" s="717" t="s">
        <v>159</v>
      </c>
      <c r="E61" s="717" t="s">
        <v>159</v>
      </c>
      <c r="F61" s="772" t="s">
        <v>159</v>
      </c>
      <c r="G61" s="773"/>
      <c r="H61" s="774"/>
      <c r="I61" s="772" t="s">
        <v>159</v>
      </c>
      <c r="J61" s="773"/>
      <c r="K61" s="773"/>
      <c r="L61" s="774"/>
      <c r="M61" s="772" t="s">
        <v>159</v>
      </c>
      <c r="N61" s="774"/>
      <c r="O61" s="717" t="s">
        <v>159</v>
      </c>
      <c r="P61" s="483"/>
    </row>
    <row r="62" spans="1:20" ht="11.65" customHeight="1" x14ac:dyDescent="0.25">
      <c r="A62" s="718" t="s">
        <v>184</v>
      </c>
      <c r="B62" s="750" t="s">
        <v>159</v>
      </c>
      <c r="C62" s="751"/>
      <c r="D62" s="719" t="s">
        <v>159</v>
      </c>
      <c r="E62" s="719" t="s">
        <v>159</v>
      </c>
      <c r="F62" s="750" t="s">
        <v>159</v>
      </c>
      <c r="G62" s="752"/>
      <c r="H62" s="751"/>
      <c r="I62" s="750" t="s">
        <v>2170</v>
      </c>
      <c r="J62" s="752"/>
      <c r="K62" s="752"/>
      <c r="L62" s="751"/>
      <c r="M62" s="750" t="s">
        <v>159</v>
      </c>
      <c r="N62" s="751"/>
      <c r="O62" s="719" t="s">
        <v>159</v>
      </c>
      <c r="P62" s="483"/>
    </row>
    <row r="63" spans="1:20" ht="5.0999999999999996" customHeight="1" x14ac:dyDescent="0.25">
      <c r="A63" s="480"/>
      <c r="B63" s="480"/>
      <c r="C63" s="480"/>
      <c r="D63" s="480"/>
      <c r="E63" s="480"/>
      <c r="F63" s="480"/>
      <c r="G63" s="480"/>
      <c r="H63" s="480"/>
      <c r="I63" s="480"/>
      <c r="J63" s="480"/>
      <c r="K63" s="480"/>
      <c r="L63" s="480"/>
      <c r="M63" s="480"/>
      <c r="N63" s="480"/>
      <c r="O63" s="480"/>
      <c r="P63" s="479"/>
      <c r="Q63" s="479"/>
      <c r="R63" s="479"/>
      <c r="S63" s="479"/>
    </row>
    <row r="64" spans="1:20" ht="11.65" customHeight="1" x14ac:dyDescent="0.25">
      <c r="A64" s="756" t="s">
        <v>17</v>
      </c>
      <c r="B64" s="758" t="s">
        <v>185</v>
      </c>
      <c r="C64" s="759"/>
      <c r="D64" s="758" t="s">
        <v>186</v>
      </c>
      <c r="E64" s="763" t="s">
        <v>187</v>
      </c>
      <c r="F64" s="764"/>
      <c r="G64" s="764"/>
      <c r="H64" s="764"/>
      <c r="I64" s="765"/>
      <c r="J64" s="758" t="s">
        <v>188</v>
      </c>
      <c r="K64" s="759"/>
      <c r="L64" s="763" t="s">
        <v>189</v>
      </c>
      <c r="M64" s="764"/>
      <c r="N64" s="764"/>
      <c r="O64" s="765"/>
      <c r="P64" s="758" t="s">
        <v>190</v>
      </c>
      <c r="Q64" s="758" t="s">
        <v>191</v>
      </c>
      <c r="R64" s="758" t="s">
        <v>192</v>
      </c>
      <c r="S64" s="759"/>
      <c r="T64" s="483"/>
    </row>
    <row r="65" spans="1:20" ht="17.45" customHeight="1" x14ac:dyDescent="0.25">
      <c r="A65" s="757"/>
      <c r="B65" s="760"/>
      <c r="C65" s="761"/>
      <c r="D65" s="762"/>
      <c r="E65" s="713" t="s">
        <v>193</v>
      </c>
      <c r="F65" s="758" t="s">
        <v>194</v>
      </c>
      <c r="G65" s="783"/>
      <c r="H65" s="783"/>
      <c r="I65" s="784"/>
      <c r="J65" s="760"/>
      <c r="K65" s="761"/>
      <c r="L65" s="758" t="s">
        <v>193</v>
      </c>
      <c r="M65" s="783"/>
      <c r="N65" s="784"/>
      <c r="O65" s="713" t="s">
        <v>195</v>
      </c>
      <c r="P65" s="762"/>
      <c r="Q65" s="762"/>
      <c r="R65" s="760"/>
      <c r="S65" s="761"/>
      <c r="T65" s="483"/>
    </row>
    <row r="66" spans="1:20" ht="10.9" customHeight="1" x14ac:dyDescent="0.25">
      <c r="A66" s="714" t="s">
        <v>196</v>
      </c>
      <c r="B66" s="789">
        <v>188829452.5</v>
      </c>
      <c r="C66" s="790"/>
      <c r="D66" s="720">
        <v>200437176.21000001</v>
      </c>
      <c r="E66" s="720">
        <v>30273214.489999998</v>
      </c>
      <c r="F66" s="789">
        <v>97145363.819999993</v>
      </c>
      <c r="G66" s="793"/>
      <c r="H66" s="793"/>
      <c r="I66" s="790"/>
      <c r="J66" s="789">
        <v>103291812.39</v>
      </c>
      <c r="K66" s="790"/>
      <c r="L66" s="789">
        <v>29816505.510000002</v>
      </c>
      <c r="M66" s="793"/>
      <c r="N66" s="790"/>
      <c r="O66" s="720">
        <v>82060485.530000001</v>
      </c>
      <c r="P66" s="720">
        <v>118376690.68000001</v>
      </c>
      <c r="Q66" s="720">
        <v>78439303.599999994</v>
      </c>
      <c r="R66" s="789" t="s">
        <v>159</v>
      </c>
      <c r="S66" s="790"/>
      <c r="T66" s="721"/>
    </row>
    <row r="67" spans="1:20" ht="11.65" customHeight="1" x14ac:dyDescent="0.25">
      <c r="A67" s="716" t="s">
        <v>197</v>
      </c>
      <c r="B67" s="781">
        <v>178391011.84999999</v>
      </c>
      <c r="C67" s="782"/>
      <c r="D67" s="722">
        <v>180970177.44</v>
      </c>
      <c r="E67" s="722">
        <v>28849057.219999999</v>
      </c>
      <c r="F67" s="781">
        <v>92529754.030000001</v>
      </c>
      <c r="G67" s="792"/>
      <c r="H67" s="792"/>
      <c r="I67" s="782"/>
      <c r="J67" s="781">
        <v>88440423.409999996</v>
      </c>
      <c r="K67" s="782"/>
      <c r="L67" s="781">
        <v>28879839.91</v>
      </c>
      <c r="M67" s="792"/>
      <c r="N67" s="782"/>
      <c r="O67" s="722">
        <v>79168495.430000007</v>
      </c>
      <c r="P67" s="722">
        <v>101801682.01000001</v>
      </c>
      <c r="Q67" s="722">
        <v>75645771.980000004</v>
      </c>
      <c r="R67" s="781" t="s">
        <v>159</v>
      </c>
      <c r="S67" s="782"/>
      <c r="T67" s="721"/>
    </row>
    <row r="68" spans="1:20" ht="11.65" customHeight="1" x14ac:dyDescent="0.25">
      <c r="A68" s="716" t="s">
        <v>198</v>
      </c>
      <c r="B68" s="781">
        <v>113283766.73999999</v>
      </c>
      <c r="C68" s="782"/>
      <c r="D68" s="722">
        <v>113734589.87</v>
      </c>
      <c r="E68" s="722">
        <v>19699814.719999999</v>
      </c>
      <c r="F68" s="781">
        <v>55796579.829999998</v>
      </c>
      <c r="G68" s="792"/>
      <c r="H68" s="792"/>
      <c r="I68" s="782"/>
      <c r="J68" s="781">
        <v>57938010.039999999</v>
      </c>
      <c r="K68" s="782"/>
      <c r="L68" s="781">
        <v>19683770.57</v>
      </c>
      <c r="M68" s="792"/>
      <c r="N68" s="782"/>
      <c r="O68" s="722">
        <v>55643672.890000001</v>
      </c>
      <c r="P68" s="722">
        <v>58090916.979999997</v>
      </c>
      <c r="Q68" s="722">
        <v>54551077.880000003</v>
      </c>
      <c r="R68" s="781" t="s">
        <v>159</v>
      </c>
      <c r="S68" s="782"/>
      <c r="T68" s="721"/>
    </row>
    <row r="69" spans="1:20" ht="11.65" customHeight="1" x14ac:dyDescent="0.25">
      <c r="A69" s="716" t="s">
        <v>199</v>
      </c>
      <c r="B69" s="781">
        <v>846015</v>
      </c>
      <c r="C69" s="782"/>
      <c r="D69" s="722">
        <v>846015</v>
      </c>
      <c r="E69" s="722" t="s">
        <v>159</v>
      </c>
      <c r="F69" s="781">
        <v>832000</v>
      </c>
      <c r="G69" s="792"/>
      <c r="H69" s="792"/>
      <c r="I69" s="782"/>
      <c r="J69" s="781">
        <v>14015</v>
      </c>
      <c r="K69" s="782"/>
      <c r="L69" s="781">
        <v>75939.64</v>
      </c>
      <c r="M69" s="792"/>
      <c r="N69" s="782"/>
      <c r="O69" s="722">
        <v>415502.48</v>
      </c>
      <c r="P69" s="722">
        <v>430512.52</v>
      </c>
      <c r="Q69" s="722">
        <v>415502.48</v>
      </c>
      <c r="R69" s="781" t="s">
        <v>159</v>
      </c>
      <c r="S69" s="782"/>
      <c r="T69" s="721"/>
    </row>
    <row r="70" spans="1:20" ht="10.9" customHeight="1" x14ac:dyDescent="0.25">
      <c r="A70" s="716" t="s">
        <v>200</v>
      </c>
      <c r="B70" s="781">
        <v>64261230.109999999</v>
      </c>
      <c r="C70" s="782"/>
      <c r="D70" s="722">
        <v>66389572.57</v>
      </c>
      <c r="E70" s="722">
        <v>9149242.5</v>
      </c>
      <c r="F70" s="781">
        <v>35901174.200000003</v>
      </c>
      <c r="G70" s="792"/>
      <c r="H70" s="792"/>
      <c r="I70" s="782"/>
      <c r="J70" s="781">
        <v>30488398.370000001</v>
      </c>
      <c r="K70" s="782"/>
      <c r="L70" s="781">
        <v>9120129.6999999993</v>
      </c>
      <c r="M70" s="792"/>
      <c r="N70" s="782"/>
      <c r="O70" s="722">
        <v>23109320.059999999</v>
      </c>
      <c r="P70" s="722">
        <v>43280252.509999998</v>
      </c>
      <c r="Q70" s="722">
        <v>20679191.620000001</v>
      </c>
      <c r="R70" s="781" t="s">
        <v>159</v>
      </c>
      <c r="S70" s="782"/>
      <c r="T70" s="721"/>
    </row>
    <row r="71" spans="1:20" ht="11.65" customHeight="1" x14ac:dyDescent="0.25">
      <c r="A71" s="716" t="s">
        <v>201</v>
      </c>
      <c r="B71" s="781">
        <v>5281746.91</v>
      </c>
      <c r="C71" s="782"/>
      <c r="D71" s="722">
        <v>15047005.029999999</v>
      </c>
      <c r="E71" s="722">
        <v>1424157.27</v>
      </c>
      <c r="F71" s="781">
        <v>4615609.79</v>
      </c>
      <c r="G71" s="792"/>
      <c r="H71" s="792"/>
      <c r="I71" s="782"/>
      <c r="J71" s="781">
        <v>10431395.24</v>
      </c>
      <c r="K71" s="782"/>
      <c r="L71" s="781">
        <v>936665.59999999998</v>
      </c>
      <c r="M71" s="792"/>
      <c r="N71" s="782"/>
      <c r="O71" s="722">
        <v>2891990.1</v>
      </c>
      <c r="P71" s="722">
        <v>12155014.93</v>
      </c>
      <c r="Q71" s="722">
        <v>2793531.62</v>
      </c>
      <c r="R71" s="781" t="s">
        <v>159</v>
      </c>
      <c r="S71" s="782"/>
      <c r="T71" s="721"/>
    </row>
    <row r="72" spans="1:20" ht="11.65" customHeight="1" x14ac:dyDescent="0.25">
      <c r="A72" s="716" t="s">
        <v>202</v>
      </c>
      <c r="B72" s="781">
        <v>4655604.91</v>
      </c>
      <c r="C72" s="782"/>
      <c r="D72" s="722">
        <v>14406663.029999999</v>
      </c>
      <c r="E72" s="722">
        <v>1420777.27</v>
      </c>
      <c r="F72" s="781">
        <v>3984032.23</v>
      </c>
      <c r="G72" s="792"/>
      <c r="H72" s="792"/>
      <c r="I72" s="782"/>
      <c r="J72" s="781">
        <v>10422630.800000001</v>
      </c>
      <c r="K72" s="782"/>
      <c r="L72" s="781">
        <v>884582.47</v>
      </c>
      <c r="M72" s="792"/>
      <c r="N72" s="782"/>
      <c r="O72" s="722">
        <v>2576291.35</v>
      </c>
      <c r="P72" s="722">
        <v>11830371.68</v>
      </c>
      <c r="Q72" s="722">
        <v>2477832.87</v>
      </c>
      <c r="R72" s="781" t="s">
        <v>159</v>
      </c>
      <c r="S72" s="782"/>
      <c r="T72" s="721"/>
    </row>
    <row r="73" spans="1:20" ht="11.65" customHeight="1" x14ac:dyDescent="0.25">
      <c r="A73" s="716" t="s">
        <v>203</v>
      </c>
      <c r="B73" s="781">
        <v>122</v>
      </c>
      <c r="C73" s="782"/>
      <c r="D73" s="722">
        <v>14322</v>
      </c>
      <c r="E73" s="722">
        <v>3380</v>
      </c>
      <c r="F73" s="781">
        <v>6580</v>
      </c>
      <c r="G73" s="792"/>
      <c r="H73" s="792"/>
      <c r="I73" s="782"/>
      <c r="J73" s="781">
        <v>7742</v>
      </c>
      <c r="K73" s="782"/>
      <c r="L73" s="781" t="s">
        <v>159</v>
      </c>
      <c r="M73" s="792"/>
      <c r="N73" s="782"/>
      <c r="O73" s="722">
        <v>3200</v>
      </c>
      <c r="P73" s="722">
        <v>11122</v>
      </c>
      <c r="Q73" s="722">
        <v>3200</v>
      </c>
      <c r="R73" s="781" t="s">
        <v>159</v>
      </c>
      <c r="S73" s="782"/>
      <c r="T73" s="721"/>
    </row>
    <row r="74" spans="1:20" ht="10.9" customHeight="1" x14ac:dyDescent="0.25">
      <c r="A74" s="716" t="s">
        <v>204</v>
      </c>
      <c r="B74" s="781">
        <v>626020</v>
      </c>
      <c r="C74" s="782"/>
      <c r="D74" s="722">
        <v>626020</v>
      </c>
      <c r="E74" s="722" t="s">
        <v>159</v>
      </c>
      <c r="F74" s="781">
        <v>624997.56000000006</v>
      </c>
      <c r="G74" s="792"/>
      <c r="H74" s="792"/>
      <c r="I74" s="782"/>
      <c r="J74" s="781">
        <v>1022.44</v>
      </c>
      <c r="K74" s="782"/>
      <c r="L74" s="781">
        <v>52083.13</v>
      </c>
      <c r="M74" s="792"/>
      <c r="N74" s="782"/>
      <c r="O74" s="722">
        <v>312498.75</v>
      </c>
      <c r="P74" s="722">
        <v>313521.25</v>
      </c>
      <c r="Q74" s="722">
        <v>312498.75</v>
      </c>
      <c r="R74" s="781" t="s">
        <v>159</v>
      </c>
      <c r="S74" s="782"/>
      <c r="T74" s="721"/>
    </row>
    <row r="75" spans="1:20" ht="11.65" customHeight="1" x14ac:dyDescent="0.25">
      <c r="A75" s="716" t="s">
        <v>205</v>
      </c>
      <c r="B75" s="781">
        <v>5156693.74</v>
      </c>
      <c r="C75" s="782"/>
      <c r="D75" s="722">
        <v>4419993.74</v>
      </c>
      <c r="E75" s="722" t="s">
        <v>159</v>
      </c>
      <c r="F75" s="781" t="s">
        <v>159</v>
      </c>
      <c r="G75" s="792"/>
      <c r="H75" s="792"/>
      <c r="I75" s="782"/>
      <c r="J75" s="781">
        <v>4419993.74</v>
      </c>
      <c r="K75" s="782"/>
      <c r="L75" s="781" t="s">
        <v>159</v>
      </c>
      <c r="M75" s="792"/>
      <c r="N75" s="782"/>
      <c r="O75" s="722" t="s">
        <v>159</v>
      </c>
      <c r="P75" s="722">
        <v>4419993.74</v>
      </c>
      <c r="Q75" s="722" t="s">
        <v>159</v>
      </c>
      <c r="R75" s="781" t="s">
        <v>159</v>
      </c>
      <c r="S75" s="782"/>
      <c r="T75" s="721"/>
    </row>
    <row r="76" spans="1:20" ht="11.65" customHeight="1" x14ac:dyDescent="0.25">
      <c r="A76" s="718" t="s">
        <v>206</v>
      </c>
      <c r="B76" s="776">
        <v>40210159.060000002</v>
      </c>
      <c r="C76" s="777"/>
      <c r="D76" s="723">
        <v>39815649.060000002</v>
      </c>
      <c r="E76" s="723">
        <v>5445894.9699999997</v>
      </c>
      <c r="F76" s="776">
        <v>15932753.949999999</v>
      </c>
      <c r="G76" s="794"/>
      <c r="H76" s="794"/>
      <c r="I76" s="777"/>
      <c r="J76" s="776">
        <v>23882895.109999999</v>
      </c>
      <c r="K76" s="777"/>
      <c r="L76" s="776">
        <v>5445894.9699999997</v>
      </c>
      <c r="M76" s="794"/>
      <c r="N76" s="777"/>
      <c r="O76" s="723">
        <v>15932753.949999999</v>
      </c>
      <c r="P76" s="723">
        <v>23882895.109999999</v>
      </c>
      <c r="Q76" s="723">
        <v>10652020.039999999</v>
      </c>
      <c r="R76" s="776" t="s">
        <v>159</v>
      </c>
      <c r="S76" s="777"/>
      <c r="T76" s="721"/>
    </row>
    <row r="77" spans="1:20" ht="11.65" customHeight="1" x14ac:dyDescent="0.25">
      <c r="A77" s="724" t="s">
        <v>207</v>
      </c>
      <c r="B77" s="753">
        <v>229039611.56</v>
      </c>
      <c r="C77" s="754"/>
      <c r="D77" s="725">
        <v>240252825.27000001</v>
      </c>
      <c r="E77" s="725">
        <v>35719109.460000001</v>
      </c>
      <c r="F77" s="753">
        <v>113078117.77</v>
      </c>
      <c r="G77" s="755"/>
      <c r="H77" s="755"/>
      <c r="I77" s="754"/>
      <c r="J77" s="753">
        <v>127174707.5</v>
      </c>
      <c r="K77" s="754"/>
      <c r="L77" s="753">
        <v>35262400.479999997</v>
      </c>
      <c r="M77" s="755"/>
      <c r="N77" s="754"/>
      <c r="O77" s="725">
        <v>97993239.480000004</v>
      </c>
      <c r="P77" s="725">
        <v>142259585.78999999</v>
      </c>
      <c r="Q77" s="725">
        <v>89091323.640000001</v>
      </c>
      <c r="R77" s="753" t="s">
        <v>159</v>
      </c>
      <c r="S77" s="754"/>
      <c r="T77" s="721"/>
    </row>
    <row r="78" spans="1:20" ht="10.9" customHeight="1" x14ac:dyDescent="0.25">
      <c r="A78" s="714" t="s">
        <v>208</v>
      </c>
      <c r="B78" s="789" t="s">
        <v>159</v>
      </c>
      <c r="C78" s="790"/>
      <c r="D78" s="720" t="s">
        <v>159</v>
      </c>
      <c r="E78" s="720" t="s">
        <v>159</v>
      </c>
      <c r="F78" s="789" t="s">
        <v>159</v>
      </c>
      <c r="G78" s="793"/>
      <c r="H78" s="793"/>
      <c r="I78" s="790"/>
      <c r="J78" s="789" t="s">
        <v>159</v>
      </c>
      <c r="K78" s="790"/>
      <c r="L78" s="789" t="s">
        <v>159</v>
      </c>
      <c r="M78" s="793"/>
      <c r="N78" s="790"/>
      <c r="O78" s="720" t="s">
        <v>159</v>
      </c>
      <c r="P78" s="720" t="s">
        <v>159</v>
      </c>
      <c r="Q78" s="720" t="s">
        <v>159</v>
      </c>
      <c r="R78" s="789" t="s">
        <v>159</v>
      </c>
      <c r="S78" s="790"/>
      <c r="T78" s="721"/>
    </row>
    <row r="79" spans="1:20" ht="11.65" customHeight="1" x14ac:dyDescent="0.25">
      <c r="A79" s="716" t="s">
        <v>209</v>
      </c>
      <c r="B79" s="781" t="s">
        <v>159</v>
      </c>
      <c r="C79" s="782"/>
      <c r="D79" s="722" t="s">
        <v>159</v>
      </c>
      <c r="E79" s="722" t="s">
        <v>159</v>
      </c>
      <c r="F79" s="781" t="s">
        <v>159</v>
      </c>
      <c r="G79" s="792"/>
      <c r="H79" s="792"/>
      <c r="I79" s="782"/>
      <c r="J79" s="781" t="s">
        <v>159</v>
      </c>
      <c r="K79" s="782"/>
      <c r="L79" s="781" t="s">
        <v>159</v>
      </c>
      <c r="M79" s="792"/>
      <c r="N79" s="782"/>
      <c r="O79" s="722" t="s">
        <v>159</v>
      </c>
      <c r="P79" s="722" t="s">
        <v>159</v>
      </c>
      <c r="Q79" s="722" t="s">
        <v>159</v>
      </c>
      <c r="R79" s="781" t="s">
        <v>159</v>
      </c>
      <c r="S79" s="782"/>
      <c r="T79" s="721"/>
    </row>
    <row r="80" spans="1:20" ht="11.65" customHeight="1" x14ac:dyDescent="0.25">
      <c r="A80" s="718" t="s">
        <v>210</v>
      </c>
      <c r="B80" s="776" t="s">
        <v>159</v>
      </c>
      <c r="C80" s="777"/>
      <c r="D80" s="723" t="s">
        <v>159</v>
      </c>
      <c r="E80" s="723" t="s">
        <v>159</v>
      </c>
      <c r="F80" s="776" t="s">
        <v>159</v>
      </c>
      <c r="G80" s="794"/>
      <c r="H80" s="794"/>
      <c r="I80" s="777"/>
      <c r="J80" s="776" t="s">
        <v>159</v>
      </c>
      <c r="K80" s="777"/>
      <c r="L80" s="776" t="s">
        <v>159</v>
      </c>
      <c r="M80" s="794"/>
      <c r="N80" s="777"/>
      <c r="O80" s="723" t="s">
        <v>159</v>
      </c>
      <c r="P80" s="723" t="s">
        <v>159</v>
      </c>
      <c r="Q80" s="723" t="s">
        <v>159</v>
      </c>
      <c r="R80" s="776" t="s">
        <v>159</v>
      </c>
      <c r="S80" s="777"/>
      <c r="T80" s="721"/>
    </row>
    <row r="81" spans="1:20" ht="11.65" customHeight="1" x14ac:dyDescent="0.25">
      <c r="A81" s="724" t="s">
        <v>211</v>
      </c>
      <c r="B81" s="753">
        <v>229039611.56</v>
      </c>
      <c r="C81" s="754"/>
      <c r="D81" s="725">
        <v>240252825.27000001</v>
      </c>
      <c r="E81" s="725">
        <v>35719109.460000001</v>
      </c>
      <c r="F81" s="753">
        <v>113078117.77</v>
      </c>
      <c r="G81" s="755"/>
      <c r="H81" s="755"/>
      <c r="I81" s="754"/>
      <c r="J81" s="753">
        <v>127174707.5</v>
      </c>
      <c r="K81" s="754"/>
      <c r="L81" s="753">
        <v>35262400.479999997</v>
      </c>
      <c r="M81" s="755"/>
      <c r="N81" s="754"/>
      <c r="O81" s="725">
        <v>97993239.480000004</v>
      </c>
      <c r="P81" s="725">
        <v>142259585.78999999</v>
      </c>
      <c r="Q81" s="725">
        <v>89091323.640000001</v>
      </c>
      <c r="R81" s="753" t="s">
        <v>159</v>
      </c>
      <c r="S81" s="754"/>
      <c r="T81" s="721"/>
    </row>
    <row r="82" spans="1:20" ht="10.9" customHeight="1" x14ac:dyDescent="0.25">
      <c r="A82" s="724" t="s">
        <v>212</v>
      </c>
      <c r="B82" s="753" t="s">
        <v>159</v>
      </c>
      <c r="C82" s="754"/>
      <c r="D82" s="725" t="s">
        <v>159</v>
      </c>
      <c r="E82" s="725" t="s">
        <v>159</v>
      </c>
      <c r="F82" s="753" t="s">
        <v>159</v>
      </c>
      <c r="G82" s="755"/>
      <c r="H82" s="755"/>
      <c r="I82" s="754"/>
      <c r="J82" s="753" t="s">
        <v>159</v>
      </c>
      <c r="K82" s="754"/>
      <c r="L82" s="753" t="s">
        <v>159</v>
      </c>
      <c r="M82" s="755"/>
      <c r="N82" s="754"/>
      <c r="O82" s="725">
        <v>7516123.9100000001</v>
      </c>
      <c r="P82" s="725" t="s">
        <v>159</v>
      </c>
      <c r="Q82" s="725">
        <v>16418039.75</v>
      </c>
      <c r="R82" s="753" t="s">
        <v>159</v>
      </c>
      <c r="S82" s="754"/>
      <c r="T82" s="721"/>
    </row>
    <row r="83" spans="1:20" ht="11.65" customHeight="1" x14ac:dyDescent="0.25">
      <c r="A83" s="726" t="s">
        <v>213</v>
      </c>
      <c r="B83" s="778">
        <v>229039611.56</v>
      </c>
      <c r="C83" s="779"/>
      <c r="D83" s="727">
        <v>240252825.27000001</v>
      </c>
      <c r="E83" s="727">
        <v>35719109.460000001</v>
      </c>
      <c r="F83" s="778">
        <v>113078117.77</v>
      </c>
      <c r="G83" s="780"/>
      <c r="H83" s="780"/>
      <c r="I83" s="779"/>
      <c r="J83" s="778" t="s">
        <v>159</v>
      </c>
      <c r="K83" s="779"/>
      <c r="L83" s="778">
        <v>35262400.479999997</v>
      </c>
      <c r="M83" s="780"/>
      <c r="N83" s="779"/>
      <c r="O83" s="727">
        <v>105509363.39</v>
      </c>
      <c r="P83" s="727">
        <v>142259585.78999999</v>
      </c>
      <c r="Q83" s="727">
        <v>105509363.39</v>
      </c>
      <c r="R83" s="778" t="s">
        <v>159</v>
      </c>
      <c r="S83" s="779"/>
      <c r="T83" s="721"/>
    </row>
    <row r="84" spans="1:20" ht="11.65" customHeight="1" x14ac:dyDescent="0.25">
      <c r="A84" s="728" t="s">
        <v>214</v>
      </c>
      <c r="B84" s="753">
        <v>9794355.9100000001</v>
      </c>
      <c r="C84" s="754"/>
      <c r="D84" s="725">
        <v>9794355.9100000001</v>
      </c>
      <c r="E84" s="725" t="s">
        <v>159</v>
      </c>
      <c r="F84" s="753" t="s">
        <v>159</v>
      </c>
      <c r="G84" s="755"/>
      <c r="H84" s="755"/>
      <c r="I84" s="754"/>
      <c r="J84" s="753">
        <v>9794355.9100000001</v>
      </c>
      <c r="K84" s="754"/>
      <c r="L84" s="753" t="s">
        <v>159</v>
      </c>
      <c r="M84" s="755"/>
      <c r="N84" s="754"/>
      <c r="O84" s="725" t="s">
        <v>159</v>
      </c>
      <c r="P84" s="725">
        <v>9794355.9100000001</v>
      </c>
      <c r="Q84" s="725" t="s">
        <v>159</v>
      </c>
      <c r="R84" s="753" t="s">
        <v>159</v>
      </c>
      <c r="S84" s="754"/>
      <c r="T84" s="721"/>
    </row>
    <row r="85" spans="1:20" ht="5.85" customHeight="1" x14ac:dyDescent="0.25">
      <c r="A85" s="480"/>
      <c r="B85" s="480"/>
      <c r="C85" s="480"/>
      <c r="D85" s="480"/>
      <c r="E85" s="480"/>
      <c r="F85" s="480"/>
      <c r="G85" s="480"/>
      <c r="H85" s="480"/>
      <c r="I85" s="480"/>
      <c r="J85" s="480"/>
      <c r="K85" s="480"/>
      <c r="L85" s="480"/>
      <c r="M85" s="480"/>
      <c r="N85" s="480"/>
      <c r="O85" s="482"/>
      <c r="P85" s="482"/>
      <c r="Q85" s="482"/>
      <c r="R85" s="482"/>
      <c r="S85" s="482"/>
    </row>
    <row r="86" spans="1:20" ht="11.65" customHeight="1" x14ac:dyDescent="0.25">
      <c r="A86" s="756" t="s">
        <v>215</v>
      </c>
      <c r="B86" s="758" t="s">
        <v>139</v>
      </c>
      <c r="C86" s="759"/>
      <c r="D86" s="758" t="s">
        <v>140</v>
      </c>
      <c r="E86" s="763" t="s">
        <v>141</v>
      </c>
      <c r="F86" s="764"/>
      <c r="G86" s="764"/>
      <c r="H86" s="764"/>
      <c r="I86" s="764"/>
      <c r="J86" s="764"/>
      <c r="K86" s="765"/>
      <c r="L86" s="758" t="s">
        <v>142</v>
      </c>
      <c r="M86" s="766"/>
      <c r="N86" s="759"/>
      <c r="O86" s="483"/>
    </row>
    <row r="87" spans="1:20" ht="16.7" customHeight="1" x14ac:dyDescent="0.25">
      <c r="A87" s="757"/>
      <c r="B87" s="760"/>
      <c r="C87" s="761"/>
      <c r="D87" s="762"/>
      <c r="E87" s="713" t="s">
        <v>143</v>
      </c>
      <c r="F87" s="713" t="s">
        <v>144</v>
      </c>
      <c r="G87" s="758" t="s">
        <v>145</v>
      </c>
      <c r="H87" s="783"/>
      <c r="I87" s="783"/>
      <c r="J87" s="784"/>
      <c r="K87" s="713" t="s">
        <v>146</v>
      </c>
      <c r="L87" s="760"/>
      <c r="M87" s="767"/>
      <c r="N87" s="761"/>
      <c r="O87" s="483"/>
    </row>
    <row r="88" spans="1:20" ht="11.65" customHeight="1" x14ac:dyDescent="0.25">
      <c r="A88" s="714" t="s">
        <v>176</v>
      </c>
      <c r="B88" s="785" t="s">
        <v>1490</v>
      </c>
      <c r="C88" s="786"/>
      <c r="D88" s="715" t="s">
        <v>1490</v>
      </c>
      <c r="E88" s="715" t="s">
        <v>2159</v>
      </c>
      <c r="F88" s="715" t="s">
        <v>2160</v>
      </c>
      <c r="G88" s="785" t="s">
        <v>2161</v>
      </c>
      <c r="H88" s="787"/>
      <c r="I88" s="787"/>
      <c r="J88" s="786"/>
      <c r="K88" s="715" t="s">
        <v>2162</v>
      </c>
      <c r="L88" s="785" t="s">
        <v>2163</v>
      </c>
      <c r="M88" s="787"/>
      <c r="N88" s="786"/>
      <c r="O88" s="483"/>
    </row>
    <row r="89" spans="1:20" ht="11.65" customHeight="1" x14ac:dyDescent="0.25">
      <c r="A89" s="716" t="s">
        <v>148</v>
      </c>
      <c r="B89" s="772" t="s">
        <v>1490</v>
      </c>
      <c r="C89" s="774"/>
      <c r="D89" s="717" t="s">
        <v>1490</v>
      </c>
      <c r="E89" s="717" t="s">
        <v>2159</v>
      </c>
      <c r="F89" s="717" t="s">
        <v>2160</v>
      </c>
      <c r="G89" s="772" t="s">
        <v>2161</v>
      </c>
      <c r="H89" s="773"/>
      <c r="I89" s="773"/>
      <c r="J89" s="774"/>
      <c r="K89" s="717" t="s">
        <v>2162</v>
      </c>
      <c r="L89" s="772" t="s">
        <v>2163</v>
      </c>
      <c r="M89" s="773"/>
      <c r="N89" s="774"/>
      <c r="O89" s="483"/>
    </row>
    <row r="90" spans="1:20" ht="10.9" customHeight="1" x14ac:dyDescent="0.25">
      <c r="A90" s="716" t="s">
        <v>153</v>
      </c>
      <c r="B90" s="772" t="s">
        <v>1492</v>
      </c>
      <c r="C90" s="774"/>
      <c r="D90" s="717" t="s">
        <v>1492</v>
      </c>
      <c r="E90" s="717" t="s">
        <v>2171</v>
      </c>
      <c r="F90" s="717" t="s">
        <v>2172</v>
      </c>
      <c r="G90" s="772" t="s">
        <v>2173</v>
      </c>
      <c r="H90" s="773"/>
      <c r="I90" s="773"/>
      <c r="J90" s="774"/>
      <c r="K90" s="717" t="s">
        <v>2174</v>
      </c>
      <c r="L90" s="772" t="s">
        <v>2175</v>
      </c>
      <c r="M90" s="773"/>
      <c r="N90" s="774"/>
      <c r="O90" s="483"/>
    </row>
    <row r="91" spans="1:20" ht="11.65" customHeight="1" x14ac:dyDescent="0.25">
      <c r="A91" s="716" t="s">
        <v>154</v>
      </c>
      <c r="B91" s="772" t="s">
        <v>1492</v>
      </c>
      <c r="C91" s="774"/>
      <c r="D91" s="717" t="s">
        <v>1492</v>
      </c>
      <c r="E91" s="717" t="s">
        <v>2171</v>
      </c>
      <c r="F91" s="717" t="s">
        <v>2172</v>
      </c>
      <c r="G91" s="772" t="s">
        <v>2173</v>
      </c>
      <c r="H91" s="773"/>
      <c r="I91" s="773"/>
      <c r="J91" s="774"/>
      <c r="K91" s="717" t="s">
        <v>2174</v>
      </c>
      <c r="L91" s="772" t="s">
        <v>2175</v>
      </c>
      <c r="M91" s="773"/>
      <c r="N91" s="774"/>
      <c r="O91" s="483"/>
    </row>
    <row r="92" spans="1:20" ht="11.65" customHeight="1" x14ac:dyDescent="0.25">
      <c r="A92" s="716" t="s">
        <v>168</v>
      </c>
      <c r="B92" s="772" t="s">
        <v>1493</v>
      </c>
      <c r="C92" s="774"/>
      <c r="D92" s="717" t="s">
        <v>1493</v>
      </c>
      <c r="E92" s="717" t="s">
        <v>2176</v>
      </c>
      <c r="F92" s="717" t="s">
        <v>2177</v>
      </c>
      <c r="G92" s="772" t="s">
        <v>2178</v>
      </c>
      <c r="H92" s="773"/>
      <c r="I92" s="773"/>
      <c r="J92" s="774"/>
      <c r="K92" s="717" t="s">
        <v>2179</v>
      </c>
      <c r="L92" s="772" t="s">
        <v>2180</v>
      </c>
      <c r="M92" s="773"/>
      <c r="N92" s="774"/>
      <c r="O92" s="483"/>
    </row>
    <row r="93" spans="1:20" ht="11.65" customHeight="1" x14ac:dyDescent="0.25">
      <c r="A93" s="718" t="s">
        <v>173</v>
      </c>
      <c r="B93" s="750" t="s">
        <v>1493</v>
      </c>
      <c r="C93" s="751"/>
      <c r="D93" s="719" t="s">
        <v>1493</v>
      </c>
      <c r="E93" s="719" t="s">
        <v>2176</v>
      </c>
      <c r="F93" s="719" t="s">
        <v>2177</v>
      </c>
      <c r="G93" s="750" t="s">
        <v>2178</v>
      </c>
      <c r="H93" s="752"/>
      <c r="I93" s="752"/>
      <c r="J93" s="751"/>
      <c r="K93" s="719" t="s">
        <v>2179</v>
      </c>
      <c r="L93" s="750" t="s">
        <v>2180</v>
      </c>
      <c r="M93" s="752"/>
      <c r="N93" s="751"/>
      <c r="O93" s="483"/>
    </row>
    <row r="94" spans="1:20" ht="10.9" customHeight="1" x14ac:dyDescent="0.25">
      <c r="A94" s="482"/>
      <c r="B94" s="482"/>
      <c r="C94" s="482"/>
      <c r="D94" s="482"/>
      <c r="E94" s="482"/>
      <c r="F94" s="482"/>
      <c r="G94" s="482"/>
      <c r="H94" s="482"/>
      <c r="I94" s="482"/>
      <c r="J94" s="482"/>
      <c r="K94" s="482"/>
      <c r="L94" s="482"/>
      <c r="M94" s="482"/>
      <c r="N94" s="482"/>
    </row>
    <row r="95" spans="1:20" ht="11.65" customHeight="1" x14ac:dyDescent="0.25">
      <c r="A95" s="768" t="s">
        <v>2169</v>
      </c>
      <c r="B95" s="768"/>
      <c r="C95" s="768"/>
      <c r="D95" s="768"/>
      <c r="E95" s="768"/>
      <c r="F95" s="768"/>
      <c r="G95" s="768"/>
      <c r="H95" s="768"/>
      <c r="I95" s="768"/>
      <c r="J95" s="768"/>
      <c r="K95" s="768"/>
      <c r="L95" s="768"/>
      <c r="M95" s="768"/>
      <c r="N95" s="768"/>
      <c r="O95" s="768"/>
      <c r="P95" s="768"/>
      <c r="Q95" s="768"/>
      <c r="R95" s="768"/>
      <c r="S95" s="768"/>
    </row>
    <row r="96" spans="1:20" ht="5.85" customHeight="1" x14ac:dyDescent="0.25"/>
    <row r="97" spans="1:20" ht="11.65" customHeight="1" x14ac:dyDescent="0.25">
      <c r="A97" s="769" t="s">
        <v>134</v>
      </c>
      <c r="B97" s="769"/>
      <c r="S97" s="712" t="s">
        <v>216</v>
      </c>
    </row>
    <row r="98" spans="1:20" ht="11.65" customHeight="1" x14ac:dyDescent="0.25">
      <c r="A98" s="769" t="s">
        <v>1</v>
      </c>
      <c r="B98" s="769"/>
    </row>
    <row r="99" spans="1:20" ht="10.9" customHeight="1" x14ac:dyDescent="0.25">
      <c r="A99" s="791" t="s">
        <v>136</v>
      </c>
      <c r="B99" s="791"/>
    </row>
    <row r="100" spans="1:20" ht="11.65" customHeight="1" x14ac:dyDescent="0.25">
      <c r="A100" s="769" t="s">
        <v>137</v>
      </c>
      <c r="B100" s="769"/>
    </row>
    <row r="101" spans="1:20" ht="11.65" customHeight="1" x14ac:dyDescent="0.25">
      <c r="A101" s="769" t="s">
        <v>2036</v>
      </c>
      <c r="B101" s="769"/>
    </row>
    <row r="102" spans="1:20" ht="5.85" customHeight="1" x14ac:dyDescent="0.25"/>
    <row r="103" spans="1:20" ht="10.9" customHeight="1" x14ac:dyDescent="0.25">
      <c r="A103" s="770" t="s">
        <v>138</v>
      </c>
      <c r="B103" s="770"/>
      <c r="C103" s="770"/>
      <c r="D103" s="770"/>
      <c r="E103" s="770"/>
      <c r="F103" s="770"/>
      <c r="G103" s="770"/>
      <c r="H103" s="479"/>
      <c r="I103" s="479"/>
      <c r="J103" s="479"/>
      <c r="K103" s="479"/>
      <c r="L103" s="479"/>
      <c r="M103" s="479"/>
      <c r="N103" s="479"/>
      <c r="O103" s="479"/>
      <c r="P103" s="479"/>
      <c r="Q103" s="771" t="s">
        <v>107</v>
      </c>
      <c r="R103" s="771"/>
      <c r="S103" s="771"/>
    </row>
    <row r="104" spans="1:20" ht="11.65" customHeight="1" x14ac:dyDescent="0.25">
      <c r="A104" s="756" t="s">
        <v>217</v>
      </c>
      <c r="B104" s="758" t="s">
        <v>185</v>
      </c>
      <c r="C104" s="759"/>
      <c r="D104" s="758" t="s">
        <v>186</v>
      </c>
      <c r="E104" s="763" t="s">
        <v>187</v>
      </c>
      <c r="F104" s="764"/>
      <c r="G104" s="764"/>
      <c r="H104" s="764"/>
      <c r="I104" s="765"/>
      <c r="J104" s="758" t="s">
        <v>188</v>
      </c>
      <c r="K104" s="759"/>
      <c r="L104" s="763" t="s">
        <v>189</v>
      </c>
      <c r="M104" s="764"/>
      <c r="N104" s="764"/>
      <c r="O104" s="765"/>
      <c r="P104" s="758" t="s">
        <v>190</v>
      </c>
      <c r="Q104" s="758" t="s">
        <v>191</v>
      </c>
      <c r="R104" s="758" t="s">
        <v>192</v>
      </c>
      <c r="S104" s="759"/>
      <c r="T104" s="483"/>
    </row>
    <row r="105" spans="1:20" ht="17.45" customHeight="1" x14ac:dyDescent="0.25">
      <c r="A105" s="757"/>
      <c r="B105" s="760"/>
      <c r="C105" s="761"/>
      <c r="D105" s="762"/>
      <c r="E105" s="713" t="s">
        <v>193</v>
      </c>
      <c r="F105" s="758" t="s">
        <v>194</v>
      </c>
      <c r="G105" s="783"/>
      <c r="H105" s="783"/>
      <c r="I105" s="784"/>
      <c r="J105" s="760"/>
      <c r="K105" s="761"/>
      <c r="L105" s="758" t="s">
        <v>193</v>
      </c>
      <c r="M105" s="783"/>
      <c r="N105" s="784"/>
      <c r="O105" s="713" t="s">
        <v>195</v>
      </c>
      <c r="P105" s="762"/>
      <c r="Q105" s="762"/>
      <c r="R105" s="760"/>
      <c r="S105" s="761"/>
      <c r="T105" s="483"/>
    </row>
    <row r="106" spans="1:20" ht="11.65" customHeight="1" x14ac:dyDescent="0.25">
      <c r="A106" s="714" t="s">
        <v>206</v>
      </c>
      <c r="B106" s="789">
        <v>40210159.060000002</v>
      </c>
      <c r="C106" s="790"/>
      <c r="D106" s="715" t="s">
        <v>2181</v>
      </c>
      <c r="E106" s="715" t="s">
        <v>2182</v>
      </c>
      <c r="F106" s="785" t="s">
        <v>2183</v>
      </c>
      <c r="G106" s="787"/>
      <c r="H106" s="787"/>
      <c r="I106" s="786"/>
      <c r="J106" s="785" t="s">
        <v>2184</v>
      </c>
      <c r="K106" s="786"/>
      <c r="L106" s="785" t="s">
        <v>2182</v>
      </c>
      <c r="M106" s="787"/>
      <c r="N106" s="786"/>
      <c r="O106" s="715" t="s">
        <v>2183</v>
      </c>
      <c r="P106" s="715" t="s">
        <v>2184</v>
      </c>
      <c r="Q106" s="715" t="s">
        <v>2185</v>
      </c>
      <c r="R106" s="785" t="s">
        <v>159</v>
      </c>
      <c r="S106" s="786"/>
      <c r="T106" s="721"/>
    </row>
    <row r="107" spans="1:20" ht="10.9" customHeight="1" x14ac:dyDescent="0.25">
      <c r="A107" s="716" t="s">
        <v>197</v>
      </c>
      <c r="B107" s="781">
        <v>40209661.049999997</v>
      </c>
      <c r="C107" s="782"/>
      <c r="D107" s="717" t="s">
        <v>2186</v>
      </c>
      <c r="E107" s="717" t="s">
        <v>2182</v>
      </c>
      <c r="F107" s="772" t="s">
        <v>2183</v>
      </c>
      <c r="G107" s="773"/>
      <c r="H107" s="773"/>
      <c r="I107" s="774"/>
      <c r="J107" s="772" t="s">
        <v>2187</v>
      </c>
      <c r="K107" s="774"/>
      <c r="L107" s="772" t="s">
        <v>2182</v>
      </c>
      <c r="M107" s="773"/>
      <c r="N107" s="774"/>
      <c r="O107" s="717" t="s">
        <v>2183</v>
      </c>
      <c r="P107" s="717" t="s">
        <v>2187</v>
      </c>
      <c r="Q107" s="717" t="s">
        <v>2185</v>
      </c>
      <c r="R107" s="772" t="s">
        <v>159</v>
      </c>
      <c r="S107" s="774"/>
      <c r="T107" s="721"/>
    </row>
    <row r="108" spans="1:20" ht="11.65" customHeight="1" x14ac:dyDescent="0.25">
      <c r="A108" s="716" t="s">
        <v>198</v>
      </c>
      <c r="B108" s="781">
        <v>26295913.079999998</v>
      </c>
      <c r="C108" s="782"/>
      <c r="D108" s="717" t="s">
        <v>2188</v>
      </c>
      <c r="E108" s="717" t="s">
        <v>2189</v>
      </c>
      <c r="F108" s="772" t="s">
        <v>2190</v>
      </c>
      <c r="G108" s="773"/>
      <c r="H108" s="773"/>
      <c r="I108" s="774"/>
      <c r="J108" s="772" t="s">
        <v>2191</v>
      </c>
      <c r="K108" s="774"/>
      <c r="L108" s="772" t="s">
        <v>2189</v>
      </c>
      <c r="M108" s="773"/>
      <c r="N108" s="774"/>
      <c r="O108" s="717" t="s">
        <v>2190</v>
      </c>
      <c r="P108" s="717" t="s">
        <v>2191</v>
      </c>
      <c r="Q108" s="717" t="s">
        <v>2192</v>
      </c>
      <c r="R108" s="772" t="s">
        <v>159</v>
      </c>
      <c r="S108" s="774"/>
      <c r="T108" s="721"/>
    </row>
    <row r="109" spans="1:20" ht="11.65" customHeight="1" x14ac:dyDescent="0.25">
      <c r="A109" s="716" t="s">
        <v>199</v>
      </c>
      <c r="B109" s="781">
        <v>1001</v>
      </c>
      <c r="C109" s="782"/>
      <c r="D109" s="717" t="s">
        <v>1494</v>
      </c>
      <c r="E109" s="717" t="s">
        <v>159</v>
      </c>
      <c r="F109" s="772" t="s">
        <v>159</v>
      </c>
      <c r="G109" s="773"/>
      <c r="H109" s="773"/>
      <c r="I109" s="774"/>
      <c r="J109" s="772" t="s">
        <v>1494</v>
      </c>
      <c r="K109" s="774"/>
      <c r="L109" s="772" t="s">
        <v>159</v>
      </c>
      <c r="M109" s="773"/>
      <c r="N109" s="774"/>
      <c r="O109" s="717" t="s">
        <v>159</v>
      </c>
      <c r="P109" s="717" t="s">
        <v>1494</v>
      </c>
      <c r="Q109" s="717" t="s">
        <v>159</v>
      </c>
      <c r="R109" s="772" t="s">
        <v>159</v>
      </c>
      <c r="S109" s="774"/>
      <c r="T109" s="721"/>
    </row>
    <row r="110" spans="1:20" ht="11.65" customHeight="1" x14ac:dyDescent="0.25">
      <c r="A110" s="716" t="s">
        <v>200</v>
      </c>
      <c r="B110" s="781">
        <v>13912746.970000001</v>
      </c>
      <c r="C110" s="782"/>
      <c r="D110" s="717" t="s">
        <v>2193</v>
      </c>
      <c r="E110" s="717" t="s">
        <v>2194</v>
      </c>
      <c r="F110" s="772" t="s">
        <v>2195</v>
      </c>
      <c r="G110" s="773"/>
      <c r="H110" s="773"/>
      <c r="I110" s="774"/>
      <c r="J110" s="772" t="s">
        <v>2196</v>
      </c>
      <c r="K110" s="774"/>
      <c r="L110" s="772" t="s">
        <v>2194</v>
      </c>
      <c r="M110" s="773"/>
      <c r="N110" s="774"/>
      <c r="O110" s="717" t="s">
        <v>2195</v>
      </c>
      <c r="P110" s="717" t="s">
        <v>2196</v>
      </c>
      <c r="Q110" s="717" t="s">
        <v>2197</v>
      </c>
      <c r="R110" s="772" t="s">
        <v>159</v>
      </c>
      <c r="S110" s="774"/>
      <c r="T110" s="721"/>
    </row>
    <row r="111" spans="1:20" ht="10.9" customHeight="1" x14ac:dyDescent="0.25">
      <c r="A111" s="716" t="s">
        <v>201</v>
      </c>
      <c r="B111" s="781">
        <v>498.01</v>
      </c>
      <c r="C111" s="782"/>
      <c r="D111" s="717" t="s">
        <v>1495</v>
      </c>
      <c r="E111" s="717" t="s">
        <v>159</v>
      </c>
      <c r="F111" s="772" t="s">
        <v>159</v>
      </c>
      <c r="G111" s="773"/>
      <c r="H111" s="773"/>
      <c r="I111" s="774"/>
      <c r="J111" s="772" t="s">
        <v>1495</v>
      </c>
      <c r="K111" s="774"/>
      <c r="L111" s="772" t="s">
        <v>159</v>
      </c>
      <c r="M111" s="773"/>
      <c r="N111" s="774"/>
      <c r="O111" s="717" t="s">
        <v>159</v>
      </c>
      <c r="P111" s="717" t="s">
        <v>1495</v>
      </c>
      <c r="Q111" s="717" t="s">
        <v>159</v>
      </c>
      <c r="R111" s="772" t="s">
        <v>159</v>
      </c>
      <c r="S111" s="774"/>
      <c r="T111" s="721"/>
    </row>
    <row r="112" spans="1:20" ht="11.65" customHeight="1" x14ac:dyDescent="0.25">
      <c r="A112" s="718" t="s">
        <v>204</v>
      </c>
      <c r="B112" s="776">
        <v>498.01</v>
      </c>
      <c r="C112" s="777"/>
      <c r="D112" s="719" t="s">
        <v>1495</v>
      </c>
      <c r="E112" s="719" t="s">
        <v>159</v>
      </c>
      <c r="F112" s="750" t="s">
        <v>159</v>
      </c>
      <c r="G112" s="752"/>
      <c r="H112" s="752"/>
      <c r="I112" s="751"/>
      <c r="J112" s="750" t="s">
        <v>1495</v>
      </c>
      <c r="K112" s="751"/>
      <c r="L112" s="750" t="s">
        <v>159</v>
      </c>
      <c r="M112" s="752"/>
      <c r="N112" s="751"/>
      <c r="O112" s="719" t="s">
        <v>159</v>
      </c>
      <c r="P112" s="719" t="s">
        <v>1495</v>
      </c>
      <c r="Q112" s="719" t="s">
        <v>159</v>
      </c>
      <c r="R112" s="750" t="s">
        <v>159</v>
      </c>
      <c r="S112" s="751"/>
      <c r="T112" s="721"/>
    </row>
    <row r="113" spans="1:19" ht="11.65" customHeight="1" x14ac:dyDescent="0.25">
      <c r="A113" s="775" t="s">
        <v>218</v>
      </c>
      <c r="B113" s="775"/>
      <c r="C113" s="775"/>
      <c r="D113" s="775"/>
      <c r="E113" s="775"/>
      <c r="F113" s="775"/>
      <c r="G113" s="775"/>
      <c r="H113" s="775"/>
      <c r="I113" s="775"/>
      <c r="J113" s="775"/>
      <c r="K113" s="775"/>
      <c r="L113" s="775"/>
      <c r="M113" s="775"/>
      <c r="N113" s="482"/>
      <c r="O113" s="482"/>
      <c r="P113" s="482"/>
      <c r="Q113" s="482"/>
      <c r="R113" s="482"/>
      <c r="S113" s="482"/>
    </row>
    <row r="114" spans="1:19" ht="5.85" customHeight="1" x14ac:dyDescent="0.25"/>
    <row r="115" spans="1:19" ht="13.5" customHeight="1" x14ac:dyDescent="0.25"/>
    <row r="116" spans="1:19" ht="24.75" customHeight="1" x14ac:dyDescent="0.25"/>
    <row r="117" spans="1:19" x14ac:dyDescent="0.25">
      <c r="A117" s="788" t="s">
        <v>1496</v>
      </c>
      <c r="B117" s="788"/>
      <c r="C117" s="788"/>
      <c r="D117" s="788"/>
      <c r="E117" s="788"/>
      <c r="F117" s="788"/>
      <c r="G117" s="788"/>
      <c r="H117" s="788"/>
      <c r="I117" s="788"/>
      <c r="J117" s="788"/>
      <c r="K117" s="788"/>
      <c r="L117" s="788"/>
      <c r="M117" s="788"/>
      <c r="N117" s="788"/>
      <c r="O117" s="788"/>
      <c r="P117" s="788"/>
      <c r="Q117" s="788"/>
      <c r="R117" s="788"/>
      <c r="S117" s="788"/>
    </row>
    <row r="120" spans="1:19" ht="11.65" customHeight="1" x14ac:dyDescent="0.25">
      <c r="A120" s="768" t="s">
        <v>2169</v>
      </c>
      <c r="B120" s="768"/>
      <c r="C120" s="768"/>
      <c r="D120" s="768"/>
      <c r="E120" s="768"/>
      <c r="F120" s="768"/>
      <c r="G120" s="768"/>
      <c r="H120" s="768"/>
      <c r="I120" s="768"/>
      <c r="J120" s="768"/>
      <c r="K120" s="768"/>
      <c r="L120" s="768"/>
      <c r="M120" s="768"/>
      <c r="N120" s="768"/>
      <c r="O120" s="768"/>
      <c r="P120" s="768"/>
      <c r="Q120" s="768"/>
      <c r="R120" s="768"/>
      <c r="S120" s="768"/>
    </row>
    <row r="121" spans="1:19" ht="5.85" customHeight="1" x14ac:dyDescent="0.25"/>
  </sheetData>
  <mergeCells count="386">
    <mergeCell ref="J71:K71"/>
    <mergeCell ref="L71:N71"/>
    <mergeCell ref="R71:S71"/>
    <mergeCell ref="B72:C72"/>
    <mergeCell ref="F72:I72"/>
    <mergeCell ref="J72:K72"/>
    <mergeCell ref="F69:I69"/>
    <mergeCell ref="A1:B1"/>
    <mergeCell ref="A2:B2"/>
    <mergeCell ref="A3:B3"/>
    <mergeCell ref="A4:B4"/>
    <mergeCell ref="A5:B5"/>
    <mergeCell ref="A7:G7"/>
    <mergeCell ref="B10:C10"/>
    <mergeCell ref="F10:H10"/>
    <mergeCell ref="I10:L10"/>
    <mergeCell ref="B13:C13"/>
    <mergeCell ref="F13:H13"/>
    <mergeCell ref="I13:L13"/>
    <mergeCell ref="Q7:S7"/>
    <mergeCell ref="A8:A9"/>
    <mergeCell ref="B8:C9"/>
    <mergeCell ref="D8:D9"/>
    <mergeCell ref="E8:N8"/>
    <mergeCell ref="O8:O9"/>
    <mergeCell ref="F9:H9"/>
    <mergeCell ref="I9:L9"/>
    <mergeCell ref="M9:N9"/>
    <mergeCell ref="M13:N13"/>
    <mergeCell ref="M10:N10"/>
    <mergeCell ref="B11:C11"/>
    <mergeCell ref="F11:H11"/>
    <mergeCell ref="I11:L11"/>
    <mergeCell ref="M11:N11"/>
    <mergeCell ref="B12:C12"/>
    <mergeCell ref="F12:H12"/>
    <mergeCell ref="I12:L12"/>
    <mergeCell ref="M12:N12"/>
    <mergeCell ref="B14:C14"/>
    <mergeCell ref="F14:H14"/>
    <mergeCell ref="I14:L14"/>
    <mergeCell ref="M14:N14"/>
    <mergeCell ref="B15:C15"/>
    <mergeCell ref="F15:H15"/>
    <mergeCell ref="I15:L15"/>
    <mergeCell ref="M15:N15"/>
    <mergeCell ref="B16:C16"/>
    <mergeCell ref="F16:H16"/>
    <mergeCell ref="I16:L16"/>
    <mergeCell ref="M16:N16"/>
    <mergeCell ref="B17:C17"/>
    <mergeCell ref="F17:H17"/>
    <mergeCell ref="I17:L17"/>
    <mergeCell ref="M17:N17"/>
    <mergeCell ref="B18:C18"/>
    <mergeCell ref="F18:H18"/>
    <mergeCell ref="I18:L18"/>
    <mergeCell ref="M18:N18"/>
    <mergeCell ref="B19:C19"/>
    <mergeCell ref="F19:H19"/>
    <mergeCell ref="I19:L19"/>
    <mergeCell ref="M19:N19"/>
    <mergeCell ref="B20:C20"/>
    <mergeCell ref="F20:H20"/>
    <mergeCell ref="I20:L20"/>
    <mergeCell ref="M20:N20"/>
    <mergeCell ref="B21:C21"/>
    <mergeCell ref="F21:H21"/>
    <mergeCell ref="I21:L21"/>
    <mergeCell ref="M21:N21"/>
    <mergeCell ref="B22:C22"/>
    <mergeCell ref="F22:H22"/>
    <mergeCell ref="I22:L22"/>
    <mergeCell ref="M22:N22"/>
    <mergeCell ref="B23:C23"/>
    <mergeCell ref="F23:H23"/>
    <mergeCell ref="I23:L23"/>
    <mergeCell ref="M23:N23"/>
    <mergeCell ref="B24:C24"/>
    <mergeCell ref="F24:H24"/>
    <mergeCell ref="I24:L24"/>
    <mergeCell ref="M24:N24"/>
    <mergeCell ref="B25:C25"/>
    <mergeCell ref="F25:H25"/>
    <mergeCell ref="I25:L25"/>
    <mergeCell ref="M25:N25"/>
    <mergeCell ref="B26:C26"/>
    <mergeCell ref="F26:H26"/>
    <mergeCell ref="I26:L26"/>
    <mergeCell ref="M26:N26"/>
    <mergeCell ref="B27:C27"/>
    <mergeCell ref="F27:H27"/>
    <mergeCell ref="I27:L27"/>
    <mergeCell ref="M27:N27"/>
    <mergeCell ref="B28:C28"/>
    <mergeCell ref="F28:H28"/>
    <mergeCell ref="I28:L28"/>
    <mergeCell ref="M28:N28"/>
    <mergeCell ref="B29:C29"/>
    <mergeCell ref="F29:H29"/>
    <mergeCell ref="I29:L29"/>
    <mergeCell ref="M29:N29"/>
    <mergeCell ref="B30:C30"/>
    <mergeCell ref="F30:H30"/>
    <mergeCell ref="I30:L30"/>
    <mergeCell ref="M30:N30"/>
    <mergeCell ref="B31:C31"/>
    <mergeCell ref="F31:H31"/>
    <mergeCell ref="I31:L31"/>
    <mergeCell ref="M31:N31"/>
    <mergeCell ref="B32:C32"/>
    <mergeCell ref="F32:H32"/>
    <mergeCell ref="I32:L32"/>
    <mergeCell ref="M32:N32"/>
    <mergeCell ref="B33:C33"/>
    <mergeCell ref="F33:H33"/>
    <mergeCell ref="I33:L33"/>
    <mergeCell ref="M33:N33"/>
    <mergeCell ref="B34:C34"/>
    <mergeCell ref="F34:H34"/>
    <mergeCell ref="I34:L34"/>
    <mergeCell ref="M34:N34"/>
    <mergeCell ref="B35:C35"/>
    <mergeCell ref="F35:H35"/>
    <mergeCell ref="I35:L35"/>
    <mergeCell ref="M35:N35"/>
    <mergeCell ref="B36:C36"/>
    <mergeCell ref="F36:H36"/>
    <mergeCell ref="I36:L36"/>
    <mergeCell ref="M36:N36"/>
    <mergeCell ref="B37:C37"/>
    <mergeCell ref="F37:H37"/>
    <mergeCell ref="I37:L37"/>
    <mergeCell ref="M37:N37"/>
    <mergeCell ref="B38:C38"/>
    <mergeCell ref="F38:H38"/>
    <mergeCell ref="I38:L38"/>
    <mergeCell ref="M38:N38"/>
    <mergeCell ref="B39:C39"/>
    <mergeCell ref="F39:H39"/>
    <mergeCell ref="I39:L39"/>
    <mergeCell ref="M39:N39"/>
    <mergeCell ref="B40:C40"/>
    <mergeCell ref="F40:H40"/>
    <mergeCell ref="I40:L40"/>
    <mergeCell ref="M40:N40"/>
    <mergeCell ref="B41:C41"/>
    <mergeCell ref="F41:H41"/>
    <mergeCell ref="I41:L41"/>
    <mergeCell ref="M41:N41"/>
    <mergeCell ref="B42:C42"/>
    <mergeCell ref="F42:H42"/>
    <mergeCell ref="I42:L42"/>
    <mergeCell ref="M42:N42"/>
    <mergeCell ref="B43:C43"/>
    <mergeCell ref="F43:H43"/>
    <mergeCell ref="I43:L43"/>
    <mergeCell ref="M43:N43"/>
    <mergeCell ref="B44:C44"/>
    <mergeCell ref="F44:H44"/>
    <mergeCell ref="I44:L44"/>
    <mergeCell ref="M44:N44"/>
    <mergeCell ref="B45:C45"/>
    <mergeCell ref="F45:H45"/>
    <mergeCell ref="I45:L45"/>
    <mergeCell ref="M45:N45"/>
    <mergeCell ref="B46:C46"/>
    <mergeCell ref="F46:H46"/>
    <mergeCell ref="I46:L46"/>
    <mergeCell ref="M46:N46"/>
    <mergeCell ref="A47:S47"/>
    <mergeCell ref="A49:B49"/>
    <mergeCell ref="A50:B50"/>
    <mergeCell ref="A51:B51"/>
    <mergeCell ref="A52:B52"/>
    <mergeCell ref="A53:B53"/>
    <mergeCell ref="A55:G55"/>
    <mergeCell ref="Q55:S55"/>
    <mergeCell ref="A56:A57"/>
    <mergeCell ref="B56:C57"/>
    <mergeCell ref="D56:D57"/>
    <mergeCell ref="E56:N56"/>
    <mergeCell ref="O56:O57"/>
    <mergeCell ref="F57:H57"/>
    <mergeCell ref="I57:L57"/>
    <mergeCell ref="M57:N57"/>
    <mergeCell ref="B58:C58"/>
    <mergeCell ref="F58:H58"/>
    <mergeCell ref="I58:L58"/>
    <mergeCell ref="M58:N58"/>
    <mergeCell ref="B59:C59"/>
    <mergeCell ref="F59:H59"/>
    <mergeCell ref="I59:L59"/>
    <mergeCell ref="M59:N59"/>
    <mergeCell ref="B60:C60"/>
    <mergeCell ref="F60:H60"/>
    <mergeCell ref="I60:L60"/>
    <mergeCell ref="M60:N60"/>
    <mergeCell ref="B61:C61"/>
    <mergeCell ref="F61:H61"/>
    <mergeCell ref="I61:L61"/>
    <mergeCell ref="M61:N61"/>
    <mergeCell ref="B77:C77"/>
    <mergeCell ref="F77:I77"/>
    <mergeCell ref="J75:K75"/>
    <mergeCell ref="L75:N75"/>
    <mergeCell ref="R75:S75"/>
    <mergeCell ref="B76:C76"/>
    <mergeCell ref="F76:I76"/>
    <mergeCell ref="J76:K76"/>
    <mergeCell ref="L76:N76"/>
    <mergeCell ref="R76:S76"/>
    <mergeCell ref="B75:C75"/>
    <mergeCell ref="F75:I75"/>
    <mergeCell ref="B73:C73"/>
    <mergeCell ref="F73:I73"/>
    <mergeCell ref="J73:K73"/>
    <mergeCell ref="R74:S74"/>
    <mergeCell ref="B66:C66"/>
    <mergeCell ref="F66:I66"/>
    <mergeCell ref="J66:K66"/>
    <mergeCell ref="L69:N69"/>
    <mergeCell ref="J79:K79"/>
    <mergeCell ref="L73:N73"/>
    <mergeCell ref="L79:N79"/>
    <mergeCell ref="R79:S79"/>
    <mergeCell ref="L80:N80"/>
    <mergeCell ref="R80:S80"/>
    <mergeCell ref="B82:C82"/>
    <mergeCell ref="F65:I65"/>
    <mergeCell ref="L65:N65"/>
    <mergeCell ref="B81:C81"/>
    <mergeCell ref="F81:I81"/>
    <mergeCell ref="J81:K81"/>
    <mergeCell ref="B70:C70"/>
    <mergeCell ref="F70:I70"/>
    <mergeCell ref="J70:K70"/>
    <mergeCell ref="L70:N70"/>
    <mergeCell ref="R70:S70"/>
    <mergeCell ref="B71:C71"/>
    <mergeCell ref="L72:N72"/>
    <mergeCell ref="R72:S72"/>
    <mergeCell ref="B69:C69"/>
    <mergeCell ref="J69:K69"/>
    <mergeCell ref="R69:S69"/>
    <mergeCell ref="F71:I71"/>
    <mergeCell ref="A97:B97"/>
    <mergeCell ref="A98:B98"/>
    <mergeCell ref="A99:B99"/>
    <mergeCell ref="J110:K110"/>
    <mergeCell ref="R110:S110"/>
    <mergeCell ref="B110:C110"/>
    <mergeCell ref="R66:S66"/>
    <mergeCell ref="B67:C67"/>
    <mergeCell ref="F67:I67"/>
    <mergeCell ref="J67:K67"/>
    <mergeCell ref="L67:N67"/>
    <mergeCell ref="R67:S67"/>
    <mergeCell ref="B68:C68"/>
    <mergeCell ref="F68:I68"/>
    <mergeCell ref="J68:K68"/>
    <mergeCell ref="L68:N68"/>
    <mergeCell ref="R68:S68"/>
    <mergeCell ref="L66:N66"/>
    <mergeCell ref="R81:S81"/>
    <mergeCell ref="L81:N81"/>
    <mergeCell ref="B80:C80"/>
    <mergeCell ref="F80:I80"/>
    <mergeCell ref="J80:K80"/>
    <mergeCell ref="R73:S73"/>
    <mergeCell ref="A117:S117"/>
    <mergeCell ref="F106:I106"/>
    <mergeCell ref="J106:K106"/>
    <mergeCell ref="R106:S106"/>
    <mergeCell ref="F107:I107"/>
    <mergeCell ref="J107:K107"/>
    <mergeCell ref="R107:S107"/>
    <mergeCell ref="F108:I108"/>
    <mergeCell ref="J108:K108"/>
    <mergeCell ref="R108:S108"/>
    <mergeCell ref="B107:C107"/>
    <mergeCell ref="L107:N107"/>
    <mergeCell ref="B108:C108"/>
    <mergeCell ref="L108:N108"/>
    <mergeCell ref="B109:C109"/>
    <mergeCell ref="L106:N106"/>
    <mergeCell ref="L109:N109"/>
    <mergeCell ref="B106:C106"/>
    <mergeCell ref="J111:K111"/>
    <mergeCell ref="L111:N111"/>
    <mergeCell ref="R111:S111"/>
    <mergeCell ref="L110:N110"/>
    <mergeCell ref="B111:C111"/>
    <mergeCell ref="F111:I111"/>
    <mergeCell ref="G87:J87"/>
    <mergeCell ref="B88:C88"/>
    <mergeCell ref="L88:N88"/>
    <mergeCell ref="G88:J88"/>
    <mergeCell ref="F82:I82"/>
    <mergeCell ref="J82:K82"/>
    <mergeCell ref="F105:I105"/>
    <mergeCell ref="L105:N105"/>
    <mergeCell ref="B89:C89"/>
    <mergeCell ref="G89:J89"/>
    <mergeCell ref="L89:N89"/>
    <mergeCell ref="B90:C90"/>
    <mergeCell ref="G90:J90"/>
    <mergeCell ref="L90:N90"/>
    <mergeCell ref="B91:C91"/>
    <mergeCell ref="G91:J91"/>
    <mergeCell ref="L91:N91"/>
    <mergeCell ref="B92:C92"/>
    <mergeCell ref="G92:J92"/>
    <mergeCell ref="L92:N92"/>
    <mergeCell ref="A95:S95"/>
    <mergeCell ref="P64:P65"/>
    <mergeCell ref="Q64:Q65"/>
    <mergeCell ref="R64:S65"/>
    <mergeCell ref="L82:N82"/>
    <mergeCell ref="R82:S82"/>
    <mergeCell ref="B83:C83"/>
    <mergeCell ref="F83:I83"/>
    <mergeCell ref="J83:K83"/>
    <mergeCell ref="L83:N83"/>
    <mergeCell ref="R83:S83"/>
    <mergeCell ref="B74:C74"/>
    <mergeCell ref="F74:I74"/>
    <mergeCell ref="J74:K74"/>
    <mergeCell ref="L74:N74"/>
    <mergeCell ref="J77:K77"/>
    <mergeCell ref="L77:N77"/>
    <mergeCell ref="R77:S77"/>
    <mergeCell ref="B78:C78"/>
    <mergeCell ref="F78:I78"/>
    <mergeCell ref="J78:K78"/>
    <mergeCell ref="L78:N78"/>
    <mergeCell ref="R78:S78"/>
    <mergeCell ref="B79:C79"/>
    <mergeCell ref="F79:I79"/>
    <mergeCell ref="A120:S120"/>
    <mergeCell ref="A100:B100"/>
    <mergeCell ref="A101:B101"/>
    <mergeCell ref="A103:G103"/>
    <mergeCell ref="Q103:S103"/>
    <mergeCell ref="A104:A105"/>
    <mergeCell ref="B104:C105"/>
    <mergeCell ref="D104:D105"/>
    <mergeCell ref="E104:I104"/>
    <mergeCell ref="J104:K105"/>
    <mergeCell ref="L104:O104"/>
    <mergeCell ref="P104:P105"/>
    <mergeCell ref="Q104:Q105"/>
    <mergeCell ref="R104:S105"/>
    <mergeCell ref="F109:I109"/>
    <mergeCell ref="J109:K109"/>
    <mergeCell ref="R109:S109"/>
    <mergeCell ref="F110:I110"/>
    <mergeCell ref="L112:N112"/>
    <mergeCell ref="R112:S112"/>
    <mergeCell ref="A113:M113"/>
    <mergeCell ref="B112:C112"/>
    <mergeCell ref="F112:I112"/>
    <mergeCell ref="J112:K112"/>
    <mergeCell ref="B62:C62"/>
    <mergeCell ref="F62:H62"/>
    <mergeCell ref="I62:L62"/>
    <mergeCell ref="M62:N62"/>
    <mergeCell ref="A64:A65"/>
    <mergeCell ref="B64:C65"/>
    <mergeCell ref="D64:D65"/>
    <mergeCell ref="E64:I64"/>
    <mergeCell ref="J64:K65"/>
    <mergeCell ref="L64:O64"/>
    <mergeCell ref="B93:C93"/>
    <mergeCell ref="G93:J93"/>
    <mergeCell ref="L93:N93"/>
    <mergeCell ref="B84:C84"/>
    <mergeCell ref="F84:I84"/>
    <mergeCell ref="J84:K84"/>
    <mergeCell ref="L84:N84"/>
    <mergeCell ref="R84:S84"/>
    <mergeCell ref="A86:A87"/>
    <mergeCell ref="B86:C87"/>
    <mergeCell ref="D86:D87"/>
    <mergeCell ref="E86:K86"/>
    <mergeCell ref="L86:N87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5"/>
  <sheetViews>
    <sheetView zoomScaleNormal="100" workbookViewId="0">
      <selection activeCell="F6" sqref="F6"/>
    </sheetView>
  </sheetViews>
  <sheetFormatPr defaultColWidth="11.5703125" defaultRowHeight="15" x14ac:dyDescent="0.25"/>
  <cols>
    <col min="1" max="1" width="5.140625" customWidth="1"/>
    <col min="2" max="2" width="15.85546875" customWidth="1"/>
    <col min="3" max="4" width="14.7109375" bestFit="1" customWidth="1"/>
    <col min="5" max="5" width="13.7109375" bestFit="1" customWidth="1"/>
    <col min="6" max="6" width="14.7109375" bestFit="1" customWidth="1"/>
    <col min="7" max="7" width="11.7109375" bestFit="1" customWidth="1"/>
    <col min="8" max="8" width="14.7109375" bestFit="1" customWidth="1"/>
    <col min="9" max="9" width="13.7109375" bestFit="1" customWidth="1"/>
    <col min="10" max="10" width="14.7109375" bestFit="1" customWidth="1"/>
    <col min="11" max="11" width="11.7109375" bestFit="1" customWidth="1"/>
    <col min="12" max="12" width="14.7109375" bestFit="1" customWidth="1"/>
    <col min="228" max="228" width="1.7109375" customWidth="1"/>
    <col min="229" max="229" width="28" customWidth="1"/>
    <col min="230" max="231" width="12" bestFit="1" customWidth="1"/>
    <col min="232" max="232" width="11.140625" bestFit="1" customWidth="1"/>
    <col min="233" max="233" width="11" customWidth="1"/>
    <col min="234" max="234" width="7.42578125" customWidth="1"/>
    <col min="235" max="235" width="12" bestFit="1" customWidth="1"/>
    <col min="236" max="236" width="11.140625" bestFit="1" customWidth="1"/>
    <col min="237" max="237" width="11" customWidth="1"/>
    <col min="238" max="238" width="7.85546875" customWidth="1"/>
    <col min="239" max="239" width="12" bestFit="1" customWidth="1"/>
    <col min="484" max="484" width="1.7109375" customWidth="1"/>
    <col min="485" max="485" width="28" customWidth="1"/>
    <col min="486" max="487" width="12" bestFit="1" customWidth="1"/>
    <col min="488" max="488" width="11.140625" bestFit="1" customWidth="1"/>
    <col min="489" max="489" width="11" customWidth="1"/>
    <col min="490" max="490" width="7.42578125" customWidth="1"/>
    <col min="491" max="491" width="12" bestFit="1" customWidth="1"/>
    <col min="492" max="492" width="11.140625" bestFit="1" customWidth="1"/>
    <col min="493" max="493" width="11" customWidth="1"/>
    <col min="494" max="494" width="7.85546875" customWidth="1"/>
    <col min="495" max="495" width="12" bestFit="1" customWidth="1"/>
    <col min="740" max="740" width="1.7109375" customWidth="1"/>
    <col min="741" max="741" width="28" customWidth="1"/>
    <col min="742" max="743" width="12" bestFit="1" customWidth="1"/>
    <col min="744" max="744" width="11.140625" bestFit="1" customWidth="1"/>
    <col min="745" max="745" width="11" customWidth="1"/>
    <col min="746" max="746" width="7.42578125" customWidth="1"/>
    <col min="747" max="747" width="12" bestFit="1" customWidth="1"/>
    <col min="748" max="748" width="11.140625" bestFit="1" customWidth="1"/>
    <col min="749" max="749" width="11" customWidth="1"/>
    <col min="750" max="750" width="7.85546875" customWidth="1"/>
    <col min="751" max="751" width="12" bestFit="1" customWidth="1"/>
    <col min="996" max="996" width="1.7109375" customWidth="1"/>
    <col min="997" max="997" width="28" customWidth="1"/>
    <col min="998" max="999" width="12" bestFit="1" customWidth="1"/>
    <col min="1000" max="1000" width="11.140625" bestFit="1" customWidth="1"/>
    <col min="1001" max="1001" width="11" customWidth="1"/>
    <col min="1002" max="1002" width="7.42578125" customWidth="1"/>
    <col min="1003" max="1003" width="12" bestFit="1" customWidth="1"/>
    <col min="1004" max="1004" width="11.140625" bestFit="1" customWidth="1"/>
    <col min="1005" max="1005" width="11" customWidth="1"/>
    <col min="1006" max="1006" width="7.85546875" customWidth="1"/>
    <col min="1007" max="1007" width="12" bestFit="1" customWidth="1"/>
    <col min="1252" max="1252" width="1.7109375" customWidth="1"/>
    <col min="1253" max="1253" width="28" customWidth="1"/>
    <col min="1254" max="1255" width="12" bestFit="1" customWidth="1"/>
    <col min="1256" max="1256" width="11.140625" bestFit="1" customWidth="1"/>
    <col min="1257" max="1257" width="11" customWidth="1"/>
    <col min="1258" max="1258" width="7.42578125" customWidth="1"/>
    <col min="1259" max="1259" width="12" bestFit="1" customWidth="1"/>
    <col min="1260" max="1260" width="11.140625" bestFit="1" customWidth="1"/>
    <col min="1261" max="1261" width="11" customWidth="1"/>
    <col min="1262" max="1262" width="7.85546875" customWidth="1"/>
    <col min="1263" max="1263" width="12" bestFit="1" customWidth="1"/>
    <col min="1508" max="1508" width="1.7109375" customWidth="1"/>
    <col min="1509" max="1509" width="28" customWidth="1"/>
    <col min="1510" max="1511" width="12" bestFit="1" customWidth="1"/>
    <col min="1512" max="1512" width="11.140625" bestFit="1" customWidth="1"/>
    <col min="1513" max="1513" width="11" customWidth="1"/>
    <col min="1514" max="1514" width="7.42578125" customWidth="1"/>
    <col min="1515" max="1515" width="12" bestFit="1" customWidth="1"/>
    <col min="1516" max="1516" width="11.140625" bestFit="1" customWidth="1"/>
    <col min="1517" max="1517" width="11" customWidth="1"/>
    <col min="1518" max="1518" width="7.85546875" customWidth="1"/>
    <col min="1519" max="1519" width="12" bestFit="1" customWidth="1"/>
    <col min="1764" max="1764" width="1.7109375" customWidth="1"/>
    <col min="1765" max="1765" width="28" customWidth="1"/>
    <col min="1766" max="1767" width="12" bestFit="1" customWidth="1"/>
    <col min="1768" max="1768" width="11.140625" bestFit="1" customWidth="1"/>
    <col min="1769" max="1769" width="11" customWidth="1"/>
    <col min="1770" max="1770" width="7.42578125" customWidth="1"/>
    <col min="1771" max="1771" width="12" bestFit="1" customWidth="1"/>
    <col min="1772" max="1772" width="11.140625" bestFit="1" customWidth="1"/>
    <col min="1773" max="1773" width="11" customWidth="1"/>
    <col min="1774" max="1774" width="7.85546875" customWidth="1"/>
    <col min="1775" max="1775" width="12" bestFit="1" customWidth="1"/>
    <col min="2020" max="2020" width="1.7109375" customWidth="1"/>
    <col min="2021" max="2021" width="28" customWidth="1"/>
    <col min="2022" max="2023" width="12" bestFit="1" customWidth="1"/>
    <col min="2024" max="2024" width="11.140625" bestFit="1" customWidth="1"/>
    <col min="2025" max="2025" width="11" customWidth="1"/>
    <col min="2026" max="2026" width="7.42578125" customWidth="1"/>
    <col min="2027" max="2027" width="12" bestFit="1" customWidth="1"/>
    <col min="2028" max="2028" width="11.140625" bestFit="1" customWidth="1"/>
    <col min="2029" max="2029" width="11" customWidth="1"/>
    <col min="2030" max="2030" width="7.85546875" customWidth="1"/>
    <col min="2031" max="2031" width="12" bestFit="1" customWidth="1"/>
    <col min="2276" max="2276" width="1.7109375" customWidth="1"/>
    <col min="2277" max="2277" width="28" customWidth="1"/>
    <col min="2278" max="2279" width="12" bestFit="1" customWidth="1"/>
    <col min="2280" max="2280" width="11.140625" bestFit="1" customWidth="1"/>
    <col min="2281" max="2281" width="11" customWidth="1"/>
    <col min="2282" max="2282" width="7.42578125" customWidth="1"/>
    <col min="2283" max="2283" width="12" bestFit="1" customWidth="1"/>
    <col min="2284" max="2284" width="11.140625" bestFit="1" customWidth="1"/>
    <col min="2285" max="2285" width="11" customWidth="1"/>
    <col min="2286" max="2286" width="7.85546875" customWidth="1"/>
    <col min="2287" max="2287" width="12" bestFit="1" customWidth="1"/>
    <col min="2532" max="2532" width="1.7109375" customWidth="1"/>
    <col min="2533" max="2533" width="28" customWidth="1"/>
    <col min="2534" max="2535" width="12" bestFit="1" customWidth="1"/>
    <col min="2536" max="2536" width="11.140625" bestFit="1" customWidth="1"/>
    <col min="2537" max="2537" width="11" customWidth="1"/>
    <col min="2538" max="2538" width="7.42578125" customWidth="1"/>
    <col min="2539" max="2539" width="12" bestFit="1" customWidth="1"/>
    <col min="2540" max="2540" width="11.140625" bestFit="1" customWidth="1"/>
    <col min="2541" max="2541" width="11" customWidth="1"/>
    <col min="2542" max="2542" width="7.85546875" customWidth="1"/>
    <col min="2543" max="2543" width="12" bestFit="1" customWidth="1"/>
    <col min="2788" max="2788" width="1.7109375" customWidth="1"/>
    <col min="2789" max="2789" width="28" customWidth="1"/>
    <col min="2790" max="2791" width="12" bestFit="1" customWidth="1"/>
    <col min="2792" max="2792" width="11.140625" bestFit="1" customWidth="1"/>
    <col min="2793" max="2793" width="11" customWidth="1"/>
    <col min="2794" max="2794" width="7.42578125" customWidth="1"/>
    <col min="2795" max="2795" width="12" bestFit="1" customWidth="1"/>
    <col min="2796" max="2796" width="11.140625" bestFit="1" customWidth="1"/>
    <col min="2797" max="2797" width="11" customWidth="1"/>
    <col min="2798" max="2798" width="7.85546875" customWidth="1"/>
    <col min="2799" max="2799" width="12" bestFit="1" customWidth="1"/>
    <col min="3044" max="3044" width="1.7109375" customWidth="1"/>
    <col min="3045" max="3045" width="28" customWidth="1"/>
    <col min="3046" max="3047" width="12" bestFit="1" customWidth="1"/>
    <col min="3048" max="3048" width="11.140625" bestFit="1" customWidth="1"/>
    <col min="3049" max="3049" width="11" customWidth="1"/>
    <col min="3050" max="3050" width="7.42578125" customWidth="1"/>
    <col min="3051" max="3051" width="12" bestFit="1" customWidth="1"/>
    <col min="3052" max="3052" width="11.140625" bestFit="1" customWidth="1"/>
    <col min="3053" max="3053" width="11" customWidth="1"/>
    <col min="3054" max="3054" width="7.85546875" customWidth="1"/>
    <col min="3055" max="3055" width="12" bestFit="1" customWidth="1"/>
    <col min="3300" max="3300" width="1.7109375" customWidth="1"/>
    <col min="3301" max="3301" width="28" customWidth="1"/>
    <col min="3302" max="3303" width="12" bestFit="1" customWidth="1"/>
    <col min="3304" max="3304" width="11.140625" bestFit="1" customWidth="1"/>
    <col min="3305" max="3305" width="11" customWidth="1"/>
    <col min="3306" max="3306" width="7.42578125" customWidth="1"/>
    <col min="3307" max="3307" width="12" bestFit="1" customWidth="1"/>
    <col min="3308" max="3308" width="11.140625" bestFit="1" customWidth="1"/>
    <col min="3309" max="3309" width="11" customWidth="1"/>
    <col min="3310" max="3310" width="7.85546875" customWidth="1"/>
    <col min="3311" max="3311" width="12" bestFit="1" customWidth="1"/>
    <col min="3556" max="3556" width="1.7109375" customWidth="1"/>
    <col min="3557" max="3557" width="28" customWidth="1"/>
    <col min="3558" max="3559" width="12" bestFit="1" customWidth="1"/>
    <col min="3560" max="3560" width="11.140625" bestFit="1" customWidth="1"/>
    <col min="3561" max="3561" width="11" customWidth="1"/>
    <col min="3562" max="3562" width="7.42578125" customWidth="1"/>
    <col min="3563" max="3563" width="12" bestFit="1" customWidth="1"/>
    <col min="3564" max="3564" width="11.140625" bestFit="1" customWidth="1"/>
    <col min="3565" max="3565" width="11" customWidth="1"/>
    <col min="3566" max="3566" width="7.85546875" customWidth="1"/>
    <col min="3567" max="3567" width="12" bestFit="1" customWidth="1"/>
    <col min="3812" max="3812" width="1.7109375" customWidth="1"/>
    <col min="3813" max="3813" width="28" customWidth="1"/>
    <col min="3814" max="3815" width="12" bestFit="1" customWidth="1"/>
    <col min="3816" max="3816" width="11.140625" bestFit="1" customWidth="1"/>
    <col min="3817" max="3817" width="11" customWidth="1"/>
    <col min="3818" max="3818" width="7.42578125" customWidth="1"/>
    <col min="3819" max="3819" width="12" bestFit="1" customWidth="1"/>
    <col min="3820" max="3820" width="11.140625" bestFit="1" customWidth="1"/>
    <col min="3821" max="3821" width="11" customWidth="1"/>
    <col min="3822" max="3822" width="7.85546875" customWidth="1"/>
    <col min="3823" max="3823" width="12" bestFit="1" customWidth="1"/>
    <col min="4068" max="4068" width="1.7109375" customWidth="1"/>
    <col min="4069" max="4069" width="28" customWidth="1"/>
    <col min="4070" max="4071" width="12" bestFit="1" customWidth="1"/>
    <col min="4072" max="4072" width="11.140625" bestFit="1" customWidth="1"/>
    <col min="4073" max="4073" width="11" customWidth="1"/>
    <col min="4074" max="4074" width="7.42578125" customWidth="1"/>
    <col min="4075" max="4075" width="12" bestFit="1" customWidth="1"/>
    <col min="4076" max="4076" width="11.140625" bestFit="1" customWidth="1"/>
    <col min="4077" max="4077" width="11" customWidth="1"/>
    <col min="4078" max="4078" width="7.85546875" customWidth="1"/>
    <col min="4079" max="4079" width="12" bestFit="1" customWidth="1"/>
    <col min="4324" max="4324" width="1.7109375" customWidth="1"/>
    <col min="4325" max="4325" width="28" customWidth="1"/>
    <col min="4326" max="4327" width="12" bestFit="1" customWidth="1"/>
    <col min="4328" max="4328" width="11.140625" bestFit="1" customWidth="1"/>
    <col min="4329" max="4329" width="11" customWidth="1"/>
    <col min="4330" max="4330" width="7.42578125" customWidth="1"/>
    <col min="4331" max="4331" width="12" bestFit="1" customWidth="1"/>
    <col min="4332" max="4332" width="11.140625" bestFit="1" customWidth="1"/>
    <col min="4333" max="4333" width="11" customWidth="1"/>
    <col min="4334" max="4334" width="7.85546875" customWidth="1"/>
    <col min="4335" max="4335" width="12" bestFit="1" customWidth="1"/>
    <col min="4580" max="4580" width="1.7109375" customWidth="1"/>
    <col min="4581" max="4581" width="28" customWidth="1"/>
    <col min="4582" max="4583" width="12" bestFit="1" customWidth="1"/>
    <col min="4584" max="4584" width="11.140625" bestFit="1" customWidth="1"/>
    <col min="4585" max="4585" width="11" customWidth="1"/>
    <col min="4586" max="4586" width="7.42578125" customWidth="1"/>
    <col min="4587" max="4587" width="12" bestFit="1" customWidth="1"/>
    <col min="4588" max="4588" width="11.140625" bestFit="1" customWidth="1"/>
    <col min="4589" max="4589" width="11" customWidth="1"/>
    <col min="4590" max="4590" width="7.85546875" customWidth="1"/>
    <col min="4591" max="4591" width="12" bestFit="1" customWidth="1"/>
    <col min="4836" max="4836" width="1.7109375" customWidth="1"/>
    <col min="4837" max="4837" width="28" customWidth="1"/>
    <col min="4838" max="4839" width="12" bestFit="1" customWidth="1"/>
    <col min="4840" max="4840" width="11.140625" bestFit="1" customWidth="1"/>
    <col min="4841" max="4841" width="11" customWidth="1"/>
    <col min="4842" max="4842" width="7.42578125" customWidth="1"/>
    <col min="4843" max="4843" width="12" bestFit="1" customWidth="1"/>
    <col min="4844" max="4844" width="11.140625" bestFit="1" customWidth="1"/>
    <col min="4845" max="4845" width="11" customWidth="1"/>
    <col min="4846" max="4846" width="7.85546875" customWidth="1"/>
    <col min="4847" max="4847" width="12" bestFit="1" customWidth="1"/>
    <col min="5092" max="5092" width="1.7109375" customWidth="1"/>
    <col min="5093" max="5093" width="28" customWidth="1"/>
    <col min="5094" max="5095" width="12" bestFit="1" customWidth="1"/>
    <col min="5096" max="5096" width="11.140625" bestFit="1" customWidth="1"/>
    <col min="5097" max="5097" width="11" customWidth="1"/>
    <col min="5098" max="5098" width="7.42578125" customWidth="1"/>
    <col min="5099" max="5099" width="12" bestFit="1" customWidth="1"/>
    <col min="5100" max="5100" width="11.140625" bestFit="1" customWidth="1"/>
    <col min="5101" max="5101" width="11" customWidth="1"/>
    <col min="5102" max="5102" width="7.85546875" customWidth="1"/>
    <col min="5103" max="5103" width="12" bestFit="1" customWidth="1"/>
    <col min="5348" max="5348" width="1.7109375" customWidth="1"/>
    <col min="5349" max="5349" width="28" customWidth="1"/>
    <col min="5350" max="5351" width="12" bestFit="1" customWidth="1"/>
    <col min="5352" max="5352" width="11.140625" bestFit="1" customWidth="1"/>
    <col min="5353" max="5353" width="11" customWidth="1"/>
    <col min="5354" max="5354" width="7.42578125" customWidth="1"/>
    <col min="5355" max="5355" width="12" bestFit="1" customWidth="1"/>
    <col min="5356" max="5356" width="11.140625" bestFit="1" customWidth="1"/>
    <col min="5357" max="5357" width="11" customWidth="1"/>
    <col min="5358" max="5358" width="7.85546875" customWidth="1"/>
    <col min="5359" max="5359" width="12" bestFit="1" customWidth="1"/>
    <col min="5604" max="5604" width="1.7109375" customWidth="1"/>
    <col min="5605" max="5605" width="28" customWidth="1"/>
    <col min="5606" max="5607" width="12" bestFit="1" customWidth="1"/>
    <col min="5608" max="5608" width="11.140625" bestFit="1" customWidth="1"/>
    <col min="5609" max="5609" width="11" customWidth="1"/>
    <col min="5610" max="5610" width="7.42578125" customWidth="1"/>
    <col min="5611" max="5611" width="12" bestFit="1" customWidth="1"/>
    <col min="5612" max="5612" width="11.140625" bestFit="1" customWidth="1"/>
    <col min="5613" max="5613" width="11" customWidth="1"/>
    <col min="5614" max="5614" width="7.85546875" customWidth="1"/>
    <col min="5615" max="5615" width="12" bestFit="1" customWidth="1"/>
    <col min="5860" max="5860" width="1.7109375" customWidth="1"/>
    <col min="5861" max="5861" width="28" customWidth="1"/>
    <col min="5862" max="5863" width="12" bestFit="1" customWidth="1"/>
    <col min="5864" max="5864" width="11.140625" bestFit="1" customWidth="1"/>
    <col min="5865" max="5865" width="11" customWidth="1"/>
    <col min="5866" max="5866" width="7.42578125" customWidth="1"/>
    <col min="5867" max="5867" width="12" bestFit="1" customWidth="1"/>
    <col min="5868" max="5868" width="11.140625" bestFit="1" customWidth="1"/>
    <col min="5869" max="5869" width="11" customWidth="1"/>
    <col min="5870" max="5870" width="7.85546875" customWidth="1"/>
    <col min="5871" max="5871" width="12" bestFit="1" customWidth="1"/>
    <col min="6116" max="6116" width="1.7109375" customWidth="1"/>
    <col min="6117" max="6117" width="28" customWidth="1"/>
    <col min="6118" max="6119" width="12" bestFit="1" customWidth="1"/>
    <col min="6120" max="6120" width="11.140625" bestFit="1" customWidth="1"/>
    <col min="6121" max="6121" width="11" customWidth="1"/>
    <col min="6122" max="6122" width="7.42578125" customWidth="1"/>
    <col min="6123" max="6123" width="12" bestFit="1" customWidth="1"/>
    <col min="6124" max="6124" width="11.140625" bestFit="1" customWidth="1"/>
    <col min="6125" max="6125" width="11" customWidth="1"/>
    <col min="6126" max="6126" width="7.85546875" customWidth="1"/>
    <col min="6127" max="6127" width="12" bestFit="1" customWidth="1"/>
    <col min="6372" max="6372" width="1.7109375" customWidth="1"/>
    <col min="6373" max="6373" width="28" customWidth="1"/>
    <col min="6374" max="6375" width="12" bestFit="1" customWidth="1"/>
    <col min="6376" max="6376" width="11.140625" bestFit="1" customWidth="1"/>
    <col min="6377" max="6377" width="11" customWidth="1"/>
    <col min="6378" max="6378" width="7.42578125" customWidth="1"/>
    <col min="6379" max="6379" width="12" bestFit="1" customWidth="1"/>
    <col min="6380" max="6380" width="11.140625" bestFit="1" customWidth="1"/>
    <col min="6381" max="6381" width="11" customWidth="1"/>
    <col min="6382" max="6382" width="7.85546875" customWidth="1"/>
    <col min="6383" max="6383" width="12" bestFit="1" customWidth="1"/>
    <col min="6628" max="6628" width="1.7109375" customWidth="1"/>
    <col min="6629" max="6629" width="28" customWidth="1"/>
    <col min="6630" max="6631" width="12" bestFit="1" customWidth="1"/>
    <col min="6632" max="6632" width="11.140625" bestFit="1" customWidth="1"/>
    <col min="6633" max="6633" width="11" customWidth="1"/>
    <col min="6634" max="6634" width="7.42578125" customWidth="1"/>
    <col min="6635" max="6635" width="12" bestFit="1" customWidth="1"/>
    <col min="6636" max="6636" width="11.140625" bestFit="1" customWidth="1"/>
    <col min="6637" max="6637" width="11" customWidth="1"/>
    <col min="6638" max="6638" width="7.85546875" customWidth="1"/>
    <col min="6639" max="6639" width="12" bestFit="1" customWidth="1"/>
    <col min="6884" max="6884" width="1.7109375" customWidth="1"/>
    <col min="6885" max="6885" width="28" customWidth="1"/>
    <col min="6886" max="6887" width="12" bestFit="1" customWidth="1"/>
    <col min="6888" max="6888" width="11.140625" bestFit="1" customWidth="1"/>
    <col min="6889" max="6889" width="11" customWidth="1"/>
    <col min="6890" max="6890" width="7.42578125" customWidth="1"/>
    <col min="6891" max="6891" width="12" bestFit="1" customWidth="1"/>
    <col min="6892" max="6892" width="11.140625" bestFit="1" customWidth="1"/>
    <col min="6893" max="6893" width="11" customWidth="1"/>
    <col min="6894" max="6894" width="7.85546875" customWidth="1"/>
    <col min="6895" max="6895" width="12" bestFit="1" customWidth="1"/>
    <col min="7140" max="7140" width="1.7109375" customWidth="1"/>
    <col min="7141" max="7141" width="28" customWidth="1"/>
    <col min="7142" max="7143" width="12" bestFit="1" customWidth="1"/>
    <col min="7144" max="7144" width="11.140625" bestFit="1" customWidth="1"/>
    <col min="7145" max="7145" width="11" customWidth="1"/>
    <col min="7146" max="7146" width="7.42578125" customWidth="1"/>
    <col min="7147" max="7147" width="12" bestFit="1" customWidth="1"/>
    <col min="7148" max="7148" width="11.140625" bestFit="1" customWidth="1"/>
    <col min="7149" max="7149" width="11" customWidth="1"/>
    <col min="7150" max="7150" width="7.85546875" customWidth="1"/>
    <col min="7151" max="7151" width="12" bestFit="1" customWidth="1"/>
    <col min="7396" max="7396" width="1.7109375" customWidth="1"/>
    <col min="7397" max="7397" width="28" customWidth="1"/>
    <col min="7398" max="7399" width="12" bestFit="1" customWidth="1"/>
    <col min="7400" max="7400" width="11.140625" bestFit="1" customWidth="1"/>
    <col min="7401" max="7401" width="11" customWidth="1"/>
    <col min="7402" max="7402" width="7.42578125" customWidth="1"/>
    <col min="7403" max="7403" width="12" bestFit="1" customWidth="1"/>
    <col min="7404" max="7404" width="11.140625" bestFit="1" customWidth="1"/>
    <col min="7405" max="7405" width="11" customWidth="1"/>
    <col min="7406" max="7406" width="7.85546875" customWidth="1"/>
    <col min="7407" max="7407" width="12" bestFit="1" customWidth="1"/>
    <col min="7652" max="7652" width="1.7109375" customWidth="1"/>
    <col min="7653" max="7653" width="28" customWidth="1"/>
    <col min="7654" max="7655" width="12" bestFit="1" customWidth="1"/>
    <col min="7656" max="7656" width="11.140625" bestFit="1" customWidth="1"/>
    <col min="7657" max="7657" width="11" customWidth="1"/>
    <col min="7658" max="7658" width="7.42578125" customWidth="1"/>
    <col min="7659" max="7659" width="12" bestFit="1" customWidth="1"/>
    <col min="7660" max="7660" width="11.140625" bestFit="1" customWidth="1"/>
    <col min="7661" max="7661" width="11" customWidth="1"/>
    <col min="7662" max="7662" width="7.85546875" customWidth="1"/>
    <col min="7663" max="7663" width="12" bestFit="1" customWidth="1"/>
    <col min="7908" max="7908" width="1.7109375" customWidth="1"/>
    <col min="7909" max="7909" width="28" customWidth="1"/>
    <col min="7910" max="7911" width="12" bestFit="1" customWidth="1"/>
    <col min="7912" max="7912" width="11.140625" bestFit="1" customWidth="1"/>
    <col min="7913" max="7913" width="11" customWidth="1"/>
    <col min="7914" max="7914" width="7.42578125" customWidth="1"/>
    <col min="7915" max="7915" width="12" bestFit="1" customWidth="1"/>
    <col min="7916" max="7916" width="11.140625" bestFit="1" customWidth="1"/>
    <col min="7917" max="7917" width="11" customWidth="1"/>
    <col min="7918" max="7918" width="7.85546875" customWidth="1"/>
    <col min="7919" max="7919" width="12" bestFit="1" customWidth="1"/>
    <col min="8164" max="8164" width="1.7109375" customWidth="1"/>
    <col min="8165" max="8165" width="28" customWidth="1"/>
    <col min="8166" max="8167" width="12" bestFit="1" customWidth="1"/>
    <col min="8168" max="8168" width="11.140625" bestFit="1" customWidth="1"/>
    <col min="8169" max="8169" width="11" customWidth="1"/>
    <col min="8170" max="8170" width="7.42578125" customWidth="1"/>
    <col min="8171" max="8171" width="12" bestFit="1" customWidth="1"/>
    <col min="8172" max="8172" width="11.140625" bestFit="1" customWidth="1"/>
    <col min="8173" max="8173" width="11" customWidth="1"/>
    <col min="8174" max="8174" width="7.85546875" customWidth="1"/>
    <col min="8175" max="8175" width="12" bestFit="1" customWidth="1"/>
    <col min="8420" max="8420" width="1.7109375" customWidth="1"/>
    <col min="8421" max="8421" width="28" customWidth="1"/>
    <col min="8422" max="8423" width="12" bestFit="1" customWidth="1"/>
    <col min="8424" max="8424" width="11.140625" bestFit="1" customWidth="1"/>
    <col min="8425" max="8425" width="11" customWidth="1"/>
    <col min="8426" max="8426" width="7.42578125" customWidth="1"/>
    <col min="8427" max="8427" width="12" bestFit="1" customWidth="1"/>
    <col min="8428" max="8428" width="11.140625" bestFit="1" customWidth="1"/>
    <col min="8429" max="8429" width="11" customWidth="1"/>
    <col min="8430" max="8430" width="7.85546875" customWidth="1"/>
    <col min="8431" max="8431" width="12" bestFit="1" customWidth="1"/>
    <col min="8676" max="8676" width="1.7109375" customWidth="1"/>
    <col min="8677" max="8677" width="28" customWidth="1"/>
    <col min="8678" max="8679" width="12" bestFit="1" customWidth="1"/>
    <col min="8680" max="8680" width="11.140625" bestFit="1" customWidth="1"/>
    <col min="8681" max="8681" width="11" customWidth="1"/>
    <col min="8682" max="8682" width="7.42578125" customWidth="1"/>
    <col min="8683" max="8683" width="12" bestFit="1" customWidth="1"/>
    <col min="8684" max="8684" width="11.140625" bestFit="1" customWidth="1"/>
    <col min="8685" max="8685" width="11" customWidth="1"/>
    <col min="8686" max="8686" width="7.85546875" customWidth="1"/>
    <col min="8687" max="8687" width="12" bestFit="1" customWidth="1"/>
    <col min="8932" max="8932" width="1.7109375" customWidth="1"/>
    <col min="8933" max="8933" width="28" customWidth="1"/>
    <col min="8934" max="8935" width="12" bestFit="1" customWidth="1"/>
    <col min="8936" max="8936" width="11.140625" bestFit="1" customWidth="1"/>
    <col min="8937" max="8937" width="11" customWidth="1"/>
    <col min="8938" max="8938" width="7.42578125" customWidth="1"/>
    <col min="8939" max="8939" width="12" bestFit="1" customWidth="1"/>
    <col min="8940" max="8940" width="11.140625" bestFit="1" customWidth="1"/>
    <col min="8941" max="8941" width="11" customWidth="1"/>
    <col min="8942" max="8942" width="7.85546875" customWidth="1"/>
    <col min="8943" max="8943" width="12" bestFit="1" customWidth="1"/>
    <col min="9188" max="9188" width="1.7109375" customWidth="1"/>
    <col min="9189" max="9189" width="28" customWidth="1"/>
    <col min="9190" max="9191" width="12" bestFit="1" customWidth="1"/>
    <col min="9192" max="9192" width="11.140625" bestFit="1" customWidth="1"/>
    <col min="9193" max="9193" width="11" customWidth="1"/>
    <col min="9194" max="9194" width="7.42578125" customWidth="1"/>
    <col min="9195" max="9195" width="12" bestFit="1" customWidth="1"/>
    <col min="9196" max="9196" width="11.140625" bestFit="1" customWidth="1"/>
    <col min="9197" max="9197" width="11" customWidth="1"/>
    <col min="9198" max="9198" width="7.85546875" customWidth="1"/>
    <col min="9199" max="9199" width="12" bestFit="1" customWidth="1"/>
    <col min="9444" max="9444" width="1.7109375" customWidth="1"/>
    <col min="9445" max="9445" width="28" customWidth="1"/>
    <col min="9446" max="9447" width="12" bestFit="1" customWidth="1"/>
    <col min="9448" max="9448" width="11.140625" bestFit="1" customWidth="1"/>
    <col min="9449" max="9449" width="11" customWidth="1"/>
    <col min="9450" max="9450" width="7.42578125" customWidth="1"/>
    <col min="9451" max="9451" width="12" bestFit="1" customWidth="1"/>
    <col min="9452" max="9452" width="11.140625" bestFit="1" customWidth="1"/>
    <col min="9453" max="9453" width="11" customWidth="1"/>
    <col min="9454" max="9454" width="7.85546875" customWidth="1"/>
    <col min="9455" max="9455" width="12" bestFit="1" customWidth="1"/>
    <col min="9700" max="9700" width="1.7109375" customWidth="1"/>
    <col min="9701" max="9701" width="28" customWidth="1"/>
    <col min="9702" max="9703" width="12" bestFit="1" customWidth="1"/>
    <col min="9704" max="9704" width="11.140625" bestFit="1" customWidth="1"/>
    <col min="9705" max="9705" width="11" customWidth="1"/>
    <col min="9706" max="9706" width="7.42578125" customWidth="1"/>
    <col min="9707" max="9707" width="12" bestFit="1" customWidth="1"/>
    <col min="9708" max="9708" width="11.140625" bestFit="1" customWidth="1"/>
    <col min="9709" max="9709" width="11" customWidth="1"/>
    <col min="9710" max="9710" width="7.85546875" customWidth="1"/>
    <col min="9711" max="9711" width="12" bestFit="1" customWidth="1"/>
    <col min="9956" max="9956" width="1.7109375" customWidth="1"/>
    <col min="9957" max="9957" width="28" customWidth="1"/>
    <col min="9958" max="9959" width="12" bestFit="1" customWidth="1"/>
    <col min="9960" max="9960" width="11.140625" bestFit="1" customWidth="1"/>
    <col min="9961" max="9961" width="11" customWidth="1"/>
    <col min="9962" max="9962" width="7.42578125" customWidth="1"/>
    <col min="9963" max="9963" width="12" bestFit="1" customWidth="1"/>
    <col min="9964" max="9964" width="11.140625" bestFit="1" customWidth="1"/>
    <col min="9965" max="9965" width="11" customWidth="1"/>
    <col min="9966" max="9966" width="7.85546875" customWidth="1"/>
    <col min="9967" max="9967" width="12" bestFit="1" customWidth="1"/>
    <col min="10212" max="10212" width="1.7109375" customWidth="1"/>
    <col min="10213" max="10213" width="28" customWidth="1"/>
    <col min="10214" max="10215" width="12" bestFit="1" customWidth="1"/>
    <col min="10216" max="10216" width="11.140625" bestFit="1" customWidth="1"/>
    <col min="10217" max="10217" width="11" customWidth="1"/>
    <col min="10218" max="10218" width="7.42578125" customWidth="1"/>
    <col min="10219" max="10219" width="12" bestFit="1" customWidth="1"/>
    <col min="10220" max="10220" width="11.140625" bestFit="1" customWidth="1"/>
    <col min="10221" max="10221" width="11" customWidth="1"/>
    <col min="10222" max="10222" width="7.85546875" customWidth="1"/>
    <col min="10223" max="10223" width="12" bestFit="1" customWidth="1"/>
    <col min="10468" max="10468" width="1.7109375" customWidth="1"/>
    <col min="10469" max="10469" width="28" customWidth="1"/>
    <col min="10470" max="10471" width="12" bestFit="1" customWidth="1"/>
    <col min="10472" max="10472" width="11.140625" bestFit="1" customWidth="1"/>
    <col min="10473" max="10473" width="11" customWidth="1"/>
    <col min="10474" max="10474" width="7.42578125" customWidth="1"/>
    <col min="10475" max="10475" width="12" bestFit="1" customWidth="1"/>
    <col min="10476" max="10476" width="11.140625" bestFit="1" customWidth="1"/>
    <col min="10477" max="10477" width="11" customWidth="1"/>
    <col min="10478" max="10478" width="7.85546875" customWidth="1"/>
    <col min="10479" max="10479" width="12" bestFit="1" customWidth="1"/>
    <col min="10724" max="10724" width="1.7109375" customWidth="1"/>
    <col min="10725" max="10725" width="28" customWidth="1"/>
    <col min="10726" max="10727" width="12" bestFit="1" customWidth="1"/>
    <col min="10728" max="10728" width="11.140625" bestFit="1" customWidth="1"/>
    <col min="10729" max="10729" width="11" customWidth="1"/>
    <col min="10730" max="10730" width="7.42578125" customWidth="1"/>
    <col min="10731" max="10731" width="12" bestFit="1" customWidth="1"/>
    <col min="10732" max="10732" width="11.140625" bestFit="1" customWidth="1"/>
    <col min="10733" max="10733" width="11" customWidth="1"/>
    <col min="10734" max="10734" width="7.85546875" customWidth="1"/>
    <col min="10735" max="10735" width="12" bestFit="1" customWidth="1"/>
    <col min="10980" max="10980" width="1.7109375" customWidth="1"/>
    <col min="10981" max="10981" width="28" customWidth="1"/>
    <col min="10982" max="10983" width="12" bestFit="1" customWidth="1"/>
    <col min="10984" max="10984" width="11.140625" bestFit="1" customWidth="1"/>
    <col min="10985" max="10985" width="11" customWidth="1"/>
    <col min="10986" max="10986" width="7.42578125" customWidth="1"/>
    <col min="10987" max="10987" width="12" bestFit="1" customWidth="1"/>
    <col min="10988" max="10988" width="11.140625" bestFit="1" customWidth="1"/>
    <col min="10989" max="10989" width="11" customWidth="1"/>
    <col min="10990" max="10990" width="7.85546875" customWidth="1"/>
    <col min="10991" max="10991" width="12" bestFit="1" customWidth="1"/>
    <col min="11236" max="11236" width="1.7109375" customWidth="1"/>
    <col min="11237" max="11237" width="28" customWidth="1"/>
    <col min="11238" max="11239" width="12" bestFit="1" customWidth="1"/>
    <col min="11240" max="11240" width="11.140625" bestFit="1" customWidth="1"/>
    <col min="11241" max="11241" width="11" customWidth="1"/>
    <col min="11242" max="11242" width="7.42578125" customWidth="1"/>
    <col min="11243" max="11243" width="12" bestFit="1" customWidth="1"/>
    <col min="11244" max="11244" width="11.140625" bestFit="1" customWidth="1"/>
    <col min="11245" max="11245" width="11" customWidth="1"/>
    <col min="11246" max="11246" width="7.85546875" customWidth="1"/>
    <col min="11247" max="11247" width="12" bestFit="1" customWidth="1"/>
    <col min="11492" max="11492" width="1.7109375" customWidth="1"/>
    <col min="11493" max="11493" width="28" customWidth="1"/>
    <col min="11494" max="11495" width="12" bestFit="1" customWidth="1"/>
    <col min="11496" max="11496" width="11.140625" bestFit="1" customWidth="1"/>
    <col min="11497" max="11497" width="11" customWidth="1"/>
    <col min="11498" max="11498" width="7.42578125" customWidth="1"/>
    <col min="11499" max="11499" width="12" bestFit="1" customWidth="1"/>
    <col min="11500" max="11500" width="11.140625" bestFit="1" customWidth="1"/>
    <col min="11501" max="11501" width="11" customWidth="1"/>
    <col min="11502" max="11502" width="7.85546875" customWidth="1"/>
    <col min="11503" max="11503" width="12" bestFit="1" customWidth="1"/>
    <col min="11748" max="11748" width="1.7109375" customWidth="1"/>
    <col min="11749" max="11749" width="28" customWidth="1"/>
    <col min="11750" max="11751" width="12" bestFit="1" customWidth="1"/>
    <col min="11752" max="11752" width="11.140625" bestFit="1" customWidth="1"/>
    <col min="11753" max="11753" width="11" customWidth="1"/>
    <col min="11754" max="11754" width="7.42578125" customWidth="1"/>
    <col min="11755" max="11755" width="12" bestFit="1" customWidth="1"/>
    <col min="11756" max="11756" width="11.140625" bestFit="1" customWidth="1"/>
    <col min="11757" max="11757" width="11" customWidth="1"/>
    <col min="11758" max="11758" width="7.85546875" customWidth="1"/>
    <col min="11759" max="11759" width="12" bestFit="1" customWidth="1"/>
    <col min="12004" max="12004" width="1.7109375" customWidth="1"/>
    <col min="12005" max="12005" width="28" customWidth="1"/>
    <col min="12006" max="12007" width="12" bestFit="1" customWidth="1"/>
    <col min="12008" max="12008" width="11.140625" bestFit="1" customWidth="1"/>
    <col min="12009" max="12009" width="11" customWidth="1"/>
    <col min="12010" max="12010" width="7.42578125" customWidth="1"/>
    <col min="12011" max="12011" width="12" bestFit="1" customWidth="1"/>
    <col min="12012" max="12012" width="11.140625" bestFit="1" customWidth="1"/>
    <col min="12013" max="12013" width="11" customWidth="1"/>
    <col min="12014" max="12014" width="7.85546875" customWidth="1"/>
    <col min="12015" max="12015" width="12" bestFit="1" customWidth="1"/>
    <col min="12260" max="12260" width="1.7109375" customWidth="1"/>
    <col min="12261" max="12261" width="28" customWidth="1"/>
    <col min="12262" max="12263" width="12" bestFit="1" customWidth="1"/>
    <col min="12264" max="12264" width="11.140625" bestFit="1" customWidth="1"/>
    <col min="12265" max="12265" width="11" customWidth="1"/>
    <col min="12266" max="12266" width="7.42578125" customWidth="1"/>
    <col min="12267" max="12267" width="12" bestFit="1" customWidth="1"/>
    <col min="12268" max="12268" width="11.140625" bestFit="1" customWidth="1"/>
    <col min="12269" max="12269" width="11" customWidth="1"/>
    <col min="12270" max="12270" width="7.85546875" customWidth="1"/>
    <col min="12271" max="12271" width="12" bestFit="1" customWidth="1"/>
    <col min="12516" max="12516" width="1.7109375" customWidth="1"/>
    <col min="12517" max="12517" width="28" customWidth="1"/>
    <col min="12518" max="12519" width="12" bestFit="1" customWidth="1"/>
    <col min="12520" max="12520" width="11.140625" bestFit="1" customWidth="1"/>
    <col min="12521" max="12521" width="11" customWidth="1"/>
    <col min="12522" max="12522" width="7.42578125" customWidth="1"/>
    <col min="12523" max="12523" width="12" bestFit="1" customWidth="1"/>
    <col min="12524" max="12524" width="11.140625" bestFit="1" customWidth="1"/>
    <col min="12525" max="12525" width="11" customWidth="1"/>
    <col min="12526" max="12526" width="7.85546875" customWidth="1"/>
    <col min="12527" max="12527" width="12" bestFit="1" customWidth="1"/>
    <col min="12772" max="12772" width="1.7109375" customWidth="1"/>
    <col min="12773" max="12773" width="28" customWidth="1"/>
    <col min="12774" max="12775" width="12" bestFit="1" customWidth="1"/>
    <col min="12776" max="12776" width="11.140625" bestFit="1" customWidth="1"/>
    <col min="12777" max="12777" width="11" customWidth="1"/>
    <col min="12778" max="12778" width="7.42578125" customWidth="1"/>
    <col min="12779" max="12779" width="12" bestFit="1" customWidth="1"/>
    <col min="12780" max="12780" width="11.140625" bestFit="1" customWidth="1"/>
    <col min="12781" max="12781" width="11" customWidth="1"/>
    <col min="12782" max="12782" width="7.85546875" customWidth="1"/>
    <col min="12783" max="12783" width="12" bestFit="1" customWidth="1"/>
    <col min="13028" max="13028" width="1.7109375" customWidth="1"/>
    <col min="13029" max="13029" width="28" customWidth="1"/>
    <col min="13030" max="13031" width="12" bestFit="1" customWidth="1"/>
    <col min="13032" max="13032" width="11.140625" bestFit="1" customWidth="1"/>
    <col min="13033" max="13033" width="11" customWidth="1"/>
    <col min="13034" max="13034" width="7.42578125" customWidth="1"/>
    <col min="13035" max="13035" width="12" bestFit="1" customWidth="1"/>
    <col min="13036" max="13036" width="11.140625" bestFit="1" customWidth="1"/>
    <col min="13037" max="13037" width="11" customWidth="1"/>
    <col min="13038" max="13038" width="7.85546875" customWidth="1"/>
    <col min="13039" max="13039" width="12" bestFit="1" customWidth="1"/>
    <col min="13284" max="13284" width="1.7109375" customWidth="1"/>
    <col min="13285" max="13285" width="28" customWidth="1"/>
    <col min="13286" max="13287" width="12" bestFit="1" customWidth="1"/>
    <col min="13288" max="13288" width="11.140625" bestFit="1" customWidth="1"/>
    <col min="13289" max="13289" width="11" customWidth="1"/>
    <col min="13290" max="13290" width="7.42578125" customWidth="1"/>
    <col min="13291" max="13291" width="12" bestFit="1" customWidth="1"/>
    <col min="13292" max="13292" width="11.140625" bestFit="1" customWidth="1"/>
    <col min="13293" max="13293" width="11" customWidth="1"/>
    <col min="13294" max="13294" width="7.85546875" customWidth="1"/>
    <col min="13295" max="13295" width="12" bestFit="1" customWidth="1"/>
    <col min="13540" max="13540" width="1.7109375" customWidth="1"/>
    <col min="13541" max="13541" width="28" customWidth="1"/>
    <col min="13542" max="13543" width="12" bestFit="1" customWidth="1"/>
    <col min="13544" max="13544" width="11.140625" bestFit="1" customWidth="1"/>
    <col min="13545" max="13545" width="11" customWidth="1"/>
    <col min="13546" max="13546" width="7.42578125" customWidth="1"/>
    <col min="13547" max="13547" width="12" bestFit="1" customWidth="1"/>
    <col min="13548" max="13548" width="11.140625" bestFit="1" customWidth="1"/>
    <col min="13549" max="13549" width="11" customWidth="1"/>
    <col min="13550" max="13550" width="7.85546875" customWidth="1"/>
    <col min="13551" max="13551" width="12" bestFit="1" customWidth="1"/>
    <col min="13796" max="13796" width="1.7109375" customWidth="1"/>
    <col min="13797" max="13797" width="28" customWidth="1"/>
    <col min="13798" max="13799" width="12" bestFit="1" customWidth="1"/>
    <col min="13800" max="13800" width="11.140625" bestFit="1" customWidth="1"/>
    <col min="13801" max="13801" width="11" customWidth="1"/>
    <col min="13802" max="13802" width="7.42578125" customWidth="1"/>
    <col min="13803" max="13803" width="12" bestFit="1" customWidth="1"/>
    <col min="13804" max="13804" width="11.140625" bestFit="1" customWidth="1"/>
    <col min="13805" max="13805" width="11" customWidth="1"/>
    <col min="13806" max="13806" width="7.85546875" customWidth="1"/>
    <col min="13807" max="13807" width="12" bestFit="1" customWidth="1"/>
    <col min="14052" max="14052" width="1.7109375" customWidth="1"/>
    <col min="14053" max="14053" width="28" customWidth="1"/>
    <col min="14054" max="14055" width="12" bestFit="1" customWidth="1"/>
    <col min="14056" max="14056" width="11.140625" bestFit="1" customWidth="1"/>
    <col min="14057" max="14057" width="11" customWidth="1"/>
    <col min="14058" max="14058" width="7.42578125" customWidth="1"/>
    <col min="14059" max="14059" width="12" bestFit="1" customWidth="1"/>
    <col min="14060" max="14060" width="11.140625" bestFit="1" customWidth="1"/>
    <col min="14061" max="14061" width="11" customWidth="1"/>
    <col min="14062" max="14062" width="7.85546875" customWidth="1"/>
    <col min="14063" max="14063" width="12" bestFit="1" customWidth="1"/>
    <col min="14308" max="14308" width="1.7109375" customWidth="1"/>
    <col min="14309" max="14309" width="28" customWidth="1"/>
    <col min="14310" max="14311" width="12" bestFit="1" customWidth="1"/>
    <col min="14312" max="14312" width="11.140625" bestFit="1" customWidth="1"/>
    <col min="14313" max="14313" width="11" customWidth="1"/>
    <col min="14314" max="14314" width="7.42578125" customWidth="1"/>
    <col min="14315" max="14315" width="12" bestFit="1" customWidth="1"/>
    <col min="14316" max="14316" width="11.140625" bestFit="1" customWidth="1"/>
    <col min="14317" max="14317" width="11" customWidth="1"/>
    <col min="14318" max="14318" width="7.85546875" customWidth="1"/>
    <col min="14319" max="14319" width="12" bestFit="1" customWidth="1"/>
    <col min="14564" max="14564" width="1.7109375" customWidth="1"/>
    <col min="14565" max="14565" width="28" customWidth="1"/>
    <col min="14566" max="14567" width="12" bestFit="1" customWidth="1"/>
    <col min="14568" max="14568" width="11.140625" bestFit="1" customWidth="1"/>
    <col min="14569" max="14569" width="11" customWidth="1"/>
    <col min="14570" max="14570" width="7.42578125" customWidth="1"/>
    <col min="14571" max="14571" width="12" bestFit="1" customWidth="1"/>
    <col min="14572" max="14572" width="11.140625" bestFit="1" customWidth="1"/>
    <col min="14573" max="14573" width="11" customWidth="1"/>
    <col min="14574" max="14574" width="7.85546875" customWidth="1"/>
    <col min="14575" max="14575" width="12" bestFit="1" customWidth="1"/>
    <col min="14820" max="14820" width="1.7109375" customWidth="1"/>
    <col min="14821" max="14821" width="28" customWidth="1"/>
    <col min="14822" max="14823" width="12" bestFit="1" customWidth="1"/>
    <col min="14824" max="14824" width="11.140625" bestFit="1" customWidth="1"/>
    <col min="14825" max="14825" width="11" customWidth="1"/>
    <col min="14826" max="14826" width="7.42578125" customWidth="1"/>
    <col min="14827" max="14827" width="12" bestFit="1" customWidth="1"/>
    <col min="14828" max="14828" width="11.140625" bestFit="1" customWidth="1"/>
    <col min="14829" max="14829" width="11" customWidth="1"/>
    <col min="14830" max="14830" width="7.85546875" customWidth="1"/>
    <col min="14831" max="14831" width="12" bestFit="1" customWidth="1"/>
    <col min="15076" max="15076" width="1.7109375" customWidth="1"/>
    <col min="15077" max="15077" width="28" customWidth="1"/>
    <col min="15078" max="15079" width="12" bestFit="1" customWidth="1"/>
    <col min="15080" max="15080" width="11.140625" bestFit="1" customWidth="1"/>
    <col min="15081" max="15081" width="11" customWidth="1"/>
    <col min="15082" max="15082" width="7.42578125" customWidth="1"/>
    <col min="15083" max="15083" width="12" bestFit="1" customWidth="1"/>
    <col min="15084" max="15084" width="11.140625" bestFit="1" customWidth="1"/>
    <col min="15085" max="15085" width="11" customWidth="1"/>
    <col min="15086" max="15086" width="7.85546875" customWidth="1"/>
    <col min="15087" max="15087" width="12" bestFit="1" customWidth="1"/>
    <col min="15332" max="15332" width="1.7109375" customWidth="1"/>
    <col min="15333" max="15333" width="28" customWidth="1"/>
    <col min="15334" max="15335" width="12" bestFit="1" customWidth="1"/>
    <col min="15336" max="15336" width="11.140625" bestFit="1" customWidth="1"/>
    <col min="15337" max="15337" width="11" customWidth="1"/>
    <col min="15338" max="15338" width="7.42578125" customWidth="1"/>
    <col min="15339" max="15339" width="12" bestFit="1" customWidth="1"/>
    <col min="15340" max="15340" width="11.140625" bestFit="1" customWidth="1"/>
    <col min="15341" max="15341" width="11" customWidth="1"/>
    <col min="15342" max="15342" width="7.85546875" customWidth="1"/>
    <col min="15343" max="15343" width="12" bestFit="1" customWidth="1"/>
    <col min="15588" max="15588" width="1.7109375" customWidth="1"/>
    <col min="15589" max="15589" width="28" customWidth="1"/>
    <col min="15590" max="15591" width="12" bestFit="1" customWidth="1"/>
    <col min="15592" max="15592" width="11.140625" bestFit="1" customWidth="1"/>
    <col min="15593" max="15593" width="11" customWidth="1"/>
    <col min="15594" max="15594" width="7.42578125" customWidth="1"/>
    <col min="15595" max="15595" width="12" bestFit="1" customWidth="1"/>
    <col min="15596" max="15596" width="11.140625" bestFit="1" customWidth="1"/>
    <col min="15597" max="15597" width="11" customWidth="1"/>
    <col min="15598" max="15598" width="7.85546875" customWidth="1"/>
    <col min="15599" max="15599" width="12" bestFit="1" customWidth="1"/>
    <col min="15844" max="15844" width="1.7109375" customWidth="1"/>
    <col min="15845" max="15845" width="28" customWidth="1"/>
    <col min="15846" max="15847" width="12" bestFit="1" customWidth="1"/>
    <col min="15848" max="15848" width="11.140625" bestFit="1" customWidth="1"/>
    <col min="15849" max="15849" width="11" customWidth="1"/>
    <col min="15850" max="15850" width="7.42578125" customWidth="1"/>
    <col min="15851" max="15851" width="12" bestFit="1" customWidth="1"/>
    <col min="15852" max="15852" width="11.140625" bestFit="1" customWidth="1"/>
    <col min="15853" max="15853" width="11" customWidth="1"/>
    <col min="15854" max="15854" width="7.85546875" customWidth="1"/>
    <col min="15855" max="15855" width="12" bestFit="1" customWidth="1"/>
    <col min="16100" max="16100" width="1.7109375" customWidth="1"/>
    <col min="16101" max="16101" width="28" customWidth="1"/>
    <col min="16102" max="16103" width="12" bestFit="1" customWidth="1"/>
    <col min="16104" max="16104" width="11.140625" bestFit="1" customWidth="1"/>
    <col min="16105" max="16105" width="11" customWidth="1"/>
    <col min="16106" max="16106" width="7.42578125" customWidth="1"/>
    <col min="16107" max="16107" width="12" bestFit="1" customWidth="1"/>
    <col min="16108" max="16108" width="11.140625" bestFit="1" customWidth="1"/>
    <col min="16109" max="16109" width="11" customWidth="1"/>
    <col min="16110" max="16110" width="7.85546875" customWidth="1"/>
    <col min="16111" max="16111" width="12" bestFit="1" customWidth="1"/>
  </cols>
  <sheetData>
    <row r="1" spans="1:12" ht="11.45" customHeight="1" x14ac:dyDescent="0.25">
      <c r="A1" s="417" t="s">
        <v>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</row>
    <row r="2" spans="1:12" ht="11.45" customHeight="1" x14ac:dyDescent="0.25">
      <c r="A2" s="417" t="s">
        <v>1307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</row>
    <row r="3" spans="1:12" ht="11.45" customHeight="1" x14ac:dyDescent="0.25">
      <c r="A3" s="417" t="s">
        <v>1308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</row>
    <row r="4" spans="1:12" ht="11.45" customHeight="1" x14ac:dyDescent="0.25">
      <c r="A4" s="417" t="s">
        <v>219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12" ht="11.45" customHeight="1" x14ac:dyDescent="0.25">
      <c r="A5" s="417" t="s">
        <v>2036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</row>
    <row r="6" spans="1:12" x14ac:dyDescent="0.25">
      <c r="A6" s="417"/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</row>
    <row r="7" spans="1:12" ht="11.45" customHeight="1" x14ac:dyDescent="0.25">
      <c r="A7" s="417" t="s">
        <v>1309</v>
      </c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 t="s">
        <v>107</v>
      </c>
    </row>
    <row r="8" spans="1:12" ht="11.45" customHeight="1" x14ac:dyDescent="0.25">
      <c r="A8" s="417" t="s">
        <v>1310</v>
      </c>
      <c r="B8" s="417"/>
      <c r="C8" s="417" t="s">
        <v>1311</v>
      </c>
      <c r="D8" s="417" t="s">
        <v>1311</v>
      </c>
      <c r="E8" s="417" t="s">
        <v>20</v>
      </c>
      <c r="F8" s="417"/>
      <c r="G8" s="417"/>
      <c r="H8" s="417" t="s">
        <v>220</v>
      </c>
      <c r="I8" s="417" t="s">
        <v>21</v>
      </c>
      <c r="J8" s="417"/>
      <c r="K8" s="417"/>
      <c r="L8" s="417" t="s">
        <v>1497</v>
      </c>
    </row>
    <row r="9" spans="1:12" ht="11.45" customHeight="1" x14ac:dyDescent="0.25">
      <c r="A9" s="417"/>
      <c r="B9" s="417"/>
      <c r="C9" s="417" t="s">
        <v>1312</v>
      </c>
      <c r="D9" s="417" t="s">
        <v>1313</v>
      </c>
      <c r="E9" s="417" t="s">
        <v>193</v>
      </c>
      <c r="F9" s="417" t="s">
        <v>44</v>
      </c>
      <c r="G9" s="417" t="s">
        <v>221</v>
      </c>
      <c r="H9" s="417" t="s">
        <v>222</v>
      </c>
      <c r="I9" s="417" t="s">
        <v>193</v>
      </c>
      <c r="J9" s="417" t="s">
        <v>44</v>
      </c>
      <c r="K9" s="417" t="s">
        <v>221</v>
      </c>
      <c r="L9" s="417" t="s">
        <v>222</v>
      </c>
    </row>
    <row r="10" spans="1:12" ht="11.45" customHeight="1" x14ac:dyDescent="0.25">
      <c r="A10" s="417"/>
      <c r="B10" s="417"/>
      <c r="C10" s="417" t="s">
        <v>222</v>
      </c>
      <c r="D10" s="417" t="s">
        <v>46</v>
      </c>
      <c r="E10" s="417" t="s">
        <v>222</v>
      </c>
      <c r="F10" s="417" t="s">
        <v>47</v>
      </c>
      <c r="G10" s="417" t="s">
        <v>1314</v>
      </c>
      <c r="H10" s="417" t="s">
        <v>223</v>
      </c>
      <c r="I10" s="417" t="s">
        <v>222</v>
      </c>
      <c r="J10" s="417" t="s">
        <v>224</v>
      </c>
      <c r="K10" s="417" t="s">
        <v>1498</v>
      </c>
      <c r="L10" s="417" t="s">
        <v>1315</v>
      </c>
    </row>
    <row r="11" spans="1:12" ht="0.75" customHeight="1" x14ac:dyDescent="0.25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</row>
    <row r="12" spans="1:12" ht="11.45" customHeight="1" x14ac:dyDescent="0.25">
      <c r="A12" s="417" t="s">
        <v>1316</v>
      </c>
      <c r="B12" s="417"/>
      <c r="C12" s="627">
        <v>188829452.5</v>
      </c>
      <c r="D12" s="627">
        <v>200437176.21000001</v>
      </c>
      <c r="E12" s="627">
        <v>30273214.489999998</v>
      </c>
      <c r="F12" s="627">
        <v>97145363.819999993</v>
      </c>
      <c r="G12" s="627">
        <v>85.91</v>
      </c>
      <c r="H12" s="627">
        <v>103291812.39</v>
      </c>
      <c r="I12" s="627">
        <v>29816505.510000002</v>
      </c>
      <c r="J12" s="627">
        <v>82060485.530000001</v>
      </c>
      <c r="K12" s="627">
        <v>83.74</v>
      </c>
      <c r="L12" s="627">
        <v>118376690.68000001</v>
      </c>
    </row>
    <row r="13" spans="1:12" ht="11.45" customHeight="1" x14ac:dyDescent="0.25">
      <c r="A13" s="417" t="s">
        <v>1317</v>
      </c>
      <c r="B13" s="417"/>
      <c r="C13" s="474">
        <v>5762000</v>
      </c>
      <c r="D13" s="474">
        <v>5712000</v>
      </c>
      <c r="E13" s="474">
        <v>802768.25</v>
      </c>
      <c r="F13" s="474">
        <v>2529399.3199999998</v>
      </c>
      <c r="G13" s="474">
        <v>2.2400000000000002</v>
      </c>
      <c r="H13" s="474">
        <v>3182600.68</v>
      </c>
      <c r="I13" s="474">
        <v>706319.76</v>
      </c>
      <c r="J13" s="474">
        <v>2175971.7200000002</v>
      </c>
      <c r="K13" s="474">
        <v>2.2200000000000002</v>
      </c>
      <c r="L13" s="474">
        <v>3536028.28</v>
      </c>
    </row>
    <row r="14" spans="1:12" ht="11.45" customHeight="1" x14ac:dyDescent="0.25">
      <c r="A14" s="417"/>
      <c r="B14" s="417" t="s">
        <v>1318</v>
      </c>
      <c r="C14" s="474">
        <v>5762000</v>
      </c>
      <c r="D14" s="474">
        <v>5712000</v>
      </c>
      <c r="E14" s="474">
        <v>802768.25</v>
      </c>
      <c r="F14" s="474">
        <v>2529399.3199999998</v>
      </c>
      <c r="G14" s="474">
        <v>2.2400000000000002</v>
      </c>
      <c r="H14" s="474">
        <v>3182600.68</v>
      </c>
      <c r="I14" s="474">
        <v>706319.76</v>
      </c>
      <c r="J14" s="474">
        <v>2175971.7200000002</v>
      </c>
      <c r="K14" s="474">
        <v>2.2200000000000002</v>
      </c>
      <c r="L14" s="474">
        <v>3536028.28</v>
      </c>
    </row>
    <row r="15" spans="1:12" ht="11.45" customHeight="1" x14ac:dyDescent="0.25">
      <c r="A15" s="417" t="s">
        <v>1319</v>
      </c>
      <c r="B15" s="417"/>
      <c r="C15" s="474">
        <v>30000</v>
      </c>
      <c r="D15" s="474">
        <v>70000</v>
      </c>
      <c r="E15" s="474">
        <v>41732.74</v>
      </c>
      <c r="F15" s="474">
        <v>50782.74</v>
      </c>
      <c r="G15" s="474">
        <v>0.04</v>
      </c>
      <c r="H15" s="474">
        <v>19217.259999999998</v>
      </c>
      <c r="I15" s="474">
        <v>1331.62</v>
      </c>
      <c r="J15" s="474">
        <v>8059.85</v>
      </c>
      <c r="K15" s="474">
        <v>0.01</v>
      </c>
      <c r="L15" s="474">
        <v>61940.15</v>
      </c>
    </row>
    <row r="16" spans="1:12" ht="11.45" customHeight="1" x14ac:dyDescent="0.25">
      <c r="A16" s="417"/>
      <c r="B16" s="417" t="s">
        <v>1320</v>
      </c>
      <c r="C16" s="474">
        <v>30000</v>
      </c>
      <c r="D16" s="474">
        <v>70000</v>
      </c>
      <c r="E16" s="474">
        <v>41732.74</v>
      </c>
      <c r="F16" s="474">
        <v>50782.74</v>
      </c>
      <c r="G16" s="474">
        <v>0.04</v>
      </c>
      <c r="H16" s="474">
        <v>19217.259999999998</v>
      </c>
      <c r="I16" s="474">
        <v>1331.62</v>
      </c>
      <c r="J16" s="474">
        <v>8059.85</v>
      </c>
      <c r="K16" s="474">
        <v>0.01</v>
      </c>
      <c r="L16" s="474">
        <v>61940.15</v>
      </c>
    </row>
    <row r="17" spans="1:12" ht="11.45" customHeight="1" x14ac:dyDescent="0.25">
      <c r="A17" s="417" t="s">
        <v>1321</v>
      </c>
      <c r="B17" s="417"/>
      <c r="C17" s="474">
        <v>23057022.399999999</v>
      </c>
      <c r="D17" s="474">
        <v>23079976.399999999</v>
      </c>
      <c r="E17" s="474">
        <v>3667169.1</v>
      </c>
      <c r="F17" s="474">
        <v>10862322.02</v>
      </c>
      <c r="G17" s="474">
        <v>9.61</v>
      </c>
      <c r="H17" s="474">
        <v>12217654.380000001</v>
      </c>
      <c r="I17" s="474">
        <v>3349489.96</v>
      </c>
      <c r="J17" s="474">
        <v>9820127.9900000002</v>
      </c>
      <c r="K17" s="474">
        <v>10.02</v>
      </c>
      <c r="L17" s="474">
        <v>13259848.41</v>
      </c>
    </row>
    <row r="18" spans="1:12" ht="11.45" customHeight="1" x14ac:dyDescent="0.25">
      <c r="A18" s="417"/>
      <c r="B18" s="417" t="s">
        <v>1322</v>
      </c>
      <c r="C18" s="474">
        <v>121000</v>
      </c>
      <c r="D18" s="474">
        <v>139600</v>
      </c>
      <c r="E18" s="474">
        <v>19872.669999999998</v>
      </c>
      <c r="F18" s="474">
        <v>94509.36</v>
      </c>
      <c r="G18" s="474">
        <v>0.08</v>
      </c>
      <c r="H18" s="474">
        <v>45090.64</v>
      </c>
      <c r="I18" s="474">
        <v>19723.87</v>
      </c>
      <c r="J18" s="474">
        <v>59048.83</v>
      </c>
      <c r="K18" s="474">
        <v>0.06</v>
      </c>
      <c r="L18" s="474">
        <v>80551.17</v>
      </c>
    </row>
    <row r="19" spans="1:12" ht="11.45" customHeight="1" x14ac:dyDescent="0.25">
      <c r="A19" s="417"/>
      <c r="B19" s="417" t="s">
        <v>1323</v>
      </c>
      <c r="C19" s="474">
        <v>19786502.75</v>
      </c>
      <c r="D19" s="474">
        <v>19765849.75</v>
      </c>
      <c r="E19" s="474">
        <v>2949853.78</v>
      </c>
      <c r="F19" s="474">
        <v>8946577.0600000005</v>
      </c>
      <c r="G19" s="474">
        <v>7.91</v>
      </c>
      <c r="H19" s="474">
        <v>10819272.689999999</v>
      </c>
      <c r="I19" s="474">
        <v>2946875.14</v>
      </c>
      <c r="J19" s="474">
        <v>8546170.0500000007</v>
      </c>
      <c r="K19" s="474">
        <v>8.7200000000000006</v>
      </c>
      <c r="L19" s="474">
        <v>11219679.699999999</v>
      </c>
    </row>
    <row r="20" spans="1:12" ht="11.45" customHeight="1" x14ac:dyDescent="0.25">
      <c r="A20" s="417"/>
      <c r="B20" s="417" t="s">
        <v>1324</v>
      </c>
      <c r="C20" s="474">
        <v>1157851</v>
      </c>
      <c r="D20" s="474">
        <v>1233051</v>
      </c>
      <c r="E20" s="474">
        <v>391352.87</v>
      </c>
      <c r="F20" s="474">
        <v>940616.62</v>
      </c>
      <c r="G20" s="474">
        <v>0.83</v>
      </c>
      <c r="H20" s="474">
        <v>292434.38</v>
      </c>
      <c r="I20" s="474">
        <v>122755.95</v>
      </c>
      <c r="J20" s="474">
        <v>436187.66</v>
      </c>
      <c r="K20" s="474">
        <v>0.45</v>
      </c>
      <c r="L20" s="474">
        <v>796863.34</v>
      </c>
    </row>
    <row r="21" spans="1:12" ht="11.45" customHeight="1" x14ac:dyDescent="0.25">
      <c r="A21" s="417"/>
      <c r="B21" s="417" t="s">
        <v>1325</v>
      </c>
      <c r="C21" s="474">
        <v>19000</v>
      </c>
      <c r="D21" s="474">
        <v>19000</v>
      </c>
      <c r="E21" s="474">
        <v>224.72</v>
      </c>
      <c r="F21" s="474">
        <v>674.16</v>
      </c>
      <c r="G21" s="474">
        <v>0</v>
      </c>
      <c r="H21" s="474">
        <v>18325.84</v>
      </c>
      <c r="I21" s="474">
        <v>224.72</v>
      </c>
      <c r="J21" s="474">
        <v>674.16</v>
      </c>
      <c r="K21" s="474">
        <v>0</v>
      </c>
      <c r="L21" s="474">
        <v>18325.84</v>
      </c>
    </row>
    <row r="22" spans="1:12" ht="11.45" customHeight="1" x14ac:dyDescent="0.25">
      <c r="A22" s="417"/>
      <c r="B22" s="417" t="s">
        <v>1326</v>
      </c>
      <c r="C22" s="474">
        <v>5</v>
      </c>
      <c r="D22" s="474">
        <v>5</v>
      </c>
      <c r="E22" s="474">
        <v>0</v>
      </c>
      <c r="F22" s="474">
        <v>0</v>
      </c>
      <c r="G22" s="474">
        <v>0</v>
      </c>
      <c r="H22" s="474">
        <v>5</v>
      </c>
      <c r="I22" s="474">
        <v>0</v>
      </c>
      <c r="J22" s="474">
        <v>0</v>
      </c>
      <c r="K22" s="474">
        <v>0</v>
      </c>
      <c r="L22" s="474">
        <v>5</v>
      </c>
    </row>
    <row r="23" spans="1:12" ht="11.45" customHeight="1" x14ac:dyDescent="0.25">
      <c r="A23" s="417"/>
      <c r="B23" s="417" t="s">
        <v>1327</v>
      </c>
      <c r="C23" s="474">
        <v>152200</v>
      </c>
      <c r="D23" s="474">
        <v>152200</v>
      </c>
      <c r="E23" s="474">
        <v>66171.399999999994</v>
      </c>
      <c r="F23" s="474">
        <v>112929.37</v>
      </c>
      <c r="G23" s="474">
        <v>0.1</v>
      </c>
      <c r="H23" s="474">
        <v>39270.629999999997</v>
      </c>
      <c r="I23" s="474">
        <v>18428.68</v>
      </c>
      <c r="J23" s="474">
        <v>56211.040000000001</v>
      </c>
      <c r="K23" s="474">
        <v>0.06</v>
      </c>
      <c r="L23" s="474">
        <v>95988.96</v>
      </c>
    </row>
    <row r="24" spans="1:12" ht="11.45" customHeight="1" x14ac:dyDescent="0.25">
      <c r="A24" s="417"/>
      <c r="B24" s="417" t="s">
        <v>1328</v>
      </c>
      <c r="C24" s="474">
        <v>54480.2</v>
      </c>
      <c r="D24" s="474">
        <v>55480.2</v>
      </c>
      <c r="E24" s="474">
        <v>9569.7199999999993</v>
      </c>
      <c r="F24" s="474">
        <v>19847.72</v>
      </c>
      <c r="G24" s="474">
        <v>0.02</v>
      </c>
      <c r="H24" s="474">
        <v>35632.480000000003</v>
      </c>
      <c r="I24" s="474">
        <v>3411</v>
      </c>
      <c r="J24" s="474">
        <v>11691</v>
      </c>
      <c r="K24" s="474">
        <v>0.01</v>
      </c>
      <c r="L24" s="474">
        <v>43789.2</v>
      </c>
    </row>
    <row r="25" spans="1:12" ht="11.45" customHeight="1" x14ac:dyDescent="0.25">
      <c r="A25" s="417"/>
      <c r="B25" s="417" t="s">
        <v>1329</v>
      </c>
      <c r="C25" s="474">
        <v>61200</v>
      </c>
      <c r="D25" s="474">
        <v>61200</v>
      </c>
      <c r="E25" s="474">
        <v>0</v>
      </c>
      <c r="F25" s="474">
        <v>0</v>
      </c>
      <c r="G25" s="474">
        <v>0</v>
      </c>
      <c r="H25" s="474">
        <v>61200</v>
      </c>
      <c r="I25" s="474">
        <v>0</v>
      </c>
      <c r="J25" s="474">
        <v>0</v>
      </c>
      <c r="K25" s="474">
        <v>0</v>
      </c>
      <c r="L25" s="474">
        <v>61200</v>
      </c>
    </row>
    <row r="26" spans="1:12" ht="11.45" customHeight="1" x14ac:dyDescent="0.25">
      <c r="A26" s="417"/>
      <c r="B26" s="417" t="s">
        <v>1330</v>
      </c>
      <c r="C26" s="474">
        <v>100000</v>
      </c>
      <c r="D26" s="474">
        <v>100000</v>
      </c>
      <c r="E26" s="474">
        <v>0</v>
      </c>
      <c r="F26" s="474">
        <v>2475</v>
      </c>
      <c r="G26" s="474">
        <v>0</v>
      </c>
      <c r="H26" s="474">
        <v>97525</v>
      </c>
      <c r="I26" s="474">
        <v>600</v>
      </c>
      <c r="J26" s="474">
        <v>1266</v>
      </c>
      <c r="K26" s="474">
        <v>0</v>
      </c>
      <c r="L26" s="474">
        <v>98734</v>
      </c>
    </row>
    <row r="27" spans="1:12" ht="11.45" customHeight="1" x14ac:dyDescent="0.25">
      <c r="A27" s="417"/>
      <c r="B27" s="417" t="s">
        <v>1331</v>
      </c>
      <c r="C27" s="474">
        <v>310805.24</v>
      </c>
      <c r="D27" s="474">
        <v>316665.24</v>
      </c>
      <c r="E27" s="474">
        <v>64718.19</v>
      </c>
      <c r="F27" s="474">
        <v>192431.43</v>
      </c>
      <c r="G27" s="474">
        <v>0.17</v>
      </c>
      <c r="H27" s="474">
        <v>124233.81</v>
      </c>
      <c r="I27" s="474">
        <v>64718.19</v>
      </c>
      <c r="J27" s="474">
        <v>192431.43</v>
      </c>
      <c r="K27" s="474">
        <v>0.2</v>
      </c>
      <c r="L27" s="474">
        <v>124233.81</v>
      </c>
    </row>
    <row r="28" spans="1:12" ht="11.45" customHeight="1" x14ac:dyDescent="0.25">
      <c r="A28" s="417"/>
      <c r="B28" s="417" t="s">
        <v>1332</v>
      </c>
      <c r="C28" s="474">
        <v>10</v>
      </c>
      <c r="D28" s="474">
        <v>10</v>
      </c>
      <c r="E28" s="474">
        <v>0</v>
      </c>
      <c r="F28" s="474">
        <v>0</v>
      </c>
      <c r="G28" s="474">
        <v>0</v>
      </c>
      <c r="H28" s="474">
        <v>10</v>
      </c>
      <c r="I28" s="474">
        <v>0</v>
      </c>
      <c r="J28" s="474">
        <v>0</v>
      </c>
      <c r="K28" s="474">
        <v>0</v>
      </c>
      <c r="L28" s="474">
        <v>10</v>
      </c>
    </row>
    <row r="29" spans="1:12" ht="11.45" customHeight="1" x14ac:dyDescent="0.25">
      <c r="A29" s="417"/>
      <c r="B29" s="417" t="s">
        <v>1333</v>
      </c>
      <c r="C29" s="474">
        <v>1112656.03</v>
      </c>
      <c r="D29" s="474">
        <v>1114156.03</v>
      </c>
      <c r="E29" s="474">
        <v>165405.75</v>
      </c>
      <c r="F29" s="474">
        <v>483373.98</v>
      </c>
      <c r="G29" s="474">
        <v>0.43</v>
      </c>
      <c r="H29" s="474">
        <v>630782.05000000005</v>
      </c>
      <c r="I29" s="474">
        <v>165405.75</v>
      </c>
      <c r="J29" s="474">
        <v>483373.98</v>
      </c>
      <c r="K29" s="474">
        <v>0.49</v>
      </c>
      <c r="L29" s="474">
        <v>630782.05000000005</v>
      </c>
    </row>
    <row r="30" spans="1:12" ht="11.45" customHeight="1" x14ac:dyDescent="0.25">
      <c r="A30" s="417"/>
      <c r="B30" s="417" t="s">
        <v>1334</v>
      </c>
      <c r="C30" s="474">
        <v>181312.18</v>
      </c>
      <c r="D30" s="474">
        <v>122759.18</v>
      </c>
      <c r="E30" s="474">
        <v>0</v>
      </c>
      <c r="F30" s="474">
        <v>68887.320000000007</v>
      </c>
      <c r="G30" s="474">
        <v>0.06</v>
      </c>
      <c r="H30" s="474">
        <v>53871.86</v>
      </c>
      <c r="I30" s="474">
        <v>7346.66</v>
      </c>
      <c r="J30" s="474">
        <v>33073.839999999997</v>
      </c>
      <c r="K30" s="474">
        <v>0.03</v>
      </c>
      <c r="L30" s="474">
        <v>89685.34</v>
      </c>
    </row>
    <row r="31" spans="1:12" ht="11.45" customHeight="1" x14ac:dyDescent="0.25">
      <c r="A31" s="417" t="s">
        <v>1335</v>
      </c>
      <c r="B31" s="417"/>
      <c r="C31" s="474">
        <v>138620.51999999999</v>
      </c>
      <c r="D31" s="474">
        <v>3025139.68</v>
      </c>
      <c r="E31" s="474">
        <v>81241.02</v>
      </c>
      <c r="F31" s="474">
        <v>91327.2</v>
      </c>
      <c r="G31" s="474">
        <v>0.08</v>
      </c>
      <c r="H31" s="474">
        <v>2933812.48</v>
      </c>
      <c r="I31" s="474">
        <v>1471.41</v>
      </c>
      <c r="J31" s="474">
        <v>5288.52</v>
      </c>
      <c r="K31" s="474">
        <v>0.01</v>
      </c>
      <c r="L31" s="474">
        <v>3019851.16</v>
      </c>
    </row>
    <row r="32" spans="1:12" ht="11.45" customHeight="1" x14ac:dyDescent="0.25">
      <c r="A32" s="417"/>
      <c r="B32" s="417" t="s">
        <v>1336</v>
      </c>
      <c r="C32" s="474">
        <v>113511.52</v>
      </c>
      <c r="D32" s="474">
        <v>2947030.68</v>
      </c>
      <c r="E32" s="474">
        <v>81241.02</v>
      </c>
      <c r="F32" s="474">
        <v>81241.02</v>
      </c>
      <c r="G32" s="474">
        <v>7.0000000000000007E-2</v>
      </c>
      <c r="H32" s="474">
        <v>2865789.66</v>
      </c>
      <c r="I32" s="474">
        <v>0</v>
      </c>
      <c r="J32" s="474">
        <v>0</v>
      </c>
      <c r="K32" s="474">
        <v>0</v>
      </c>
      <c r="L32" s="474">
        <v>2947030.68</v>
      </c>
    </row>
    <row r="33" spans="1:12" ht="11.45" customHeight="1" x14ac:dyDescent="0.25">
      <c r="A33" s="417"/>
      <c r="B33" s="417" t="s">
        <v>1337</v>
      </c>
      <c r="C33" s="474">
        <v>25108</v>
      </c>
      <c r="D33" s="474">
        <v>78108</v>
      </c>
      <c r="E33" s="474">
        <v>0</v>
      </c>
      <c r="F33" s="474">
        <v>10086.18</v>
      </c>
      <c r="G33" s="474">
        <v>0.01</v>
      </c>
      <c r="H33" s="474">
        <v>68021.820000000007</v>
      </c>
      <c r="I33" s="474">
        <v>1471.41</v>
      </c>
      <c r="J33" s="474">
        <v>5288.52</v>
      </c>
      <c r="K33" s="474">
        <v>0.01</v>
      </c>
      <c r="L33" s="474">
        <v>72819.48</v>
      </c>
    </row>
    <row r="34" spans="1:12" ht="11.45" customHeight="1" x14ac:dyDescent="0.25">
      <c r="A34" s="417"/>
      <c r="B34" s="417" t="s">
        <v>1333</v>
      </c>
      <c r="C34" s="474">
        <v>1</v>
      </c>
      <c r="D34" s="474">
        <v>1</v>
      </c>
      <c r="E34" s="474">
        <v>0</v>
      </c>
      <c r="F34" s="474">
        <v>0</v>
      </c>
      <c r="G34" s="474">
        <v>0</v>
      </c>
      <c r="H34" s="474">
        <v>1</v>
      </c>
      <c r="I34" s="474">
        <v>0</v>
      </c>
      <c r="J34" s="474">
        <v>0</v>
      </c>
      <c r="K34" s="474">
        <v>0</v>
      </c>
      <c r="L34" s="474">
        <v>1</v>
      </c>
    </row>
    <row r="35" spans="1:12" ht="11.45" customHeight="1" x14ac:dyDescent="0.25">
      <c r="A35" s="417" t="s">
        <v>1338</v>
      </c>
      <c r="B35" s="417"/>
      <c r="C35" s="474">
        <v>1760919.51</v>
      </c>
      <c r="D35" s="474">
        <v>1965416.82</v>
      </c>
      <c r="E35" s="474">
        <v>118396.16</v>
      </c>
      <c r="F35" s="474">
        <v>710152.25</v>
      </c>
      <c r="G35" s="474">
        <v>0.63</v>
      </c>
      <c r="H35" s="474">
        <v>1255264.57</v>
      </c>
      <c r="I35" s="474">
        <v>136364.51</v>
      </c>
      <c r="J35" s="474">
        <v>394040.65</v>
      </c>
      <c r="K35" s="474">
        <v>0.4</v>
      </c>
      <c r="L35" s="474">
        <v>1571376.17</v>
      </c>
    </row>
    <row r="36" spans="1:12" ht="11.45" customHeight="1" x14ac:dyDescent="0.25">
      <c r="A36" s="417"/>
      <c r="B36" s="417" t="s">
        <v>1323</v>
      </c>
      <c r="C36" s="474">
        <v>485376.93</v>
      </c>
      <c r="D36" s="474">
        <v>452626.33</v>
      </c>
      <c r="E36" s="474">
        <v>21251.72</v>
      </c>
      <c r="F36" s="474">
        <v>346194.63</v>
      </c>
      <c r="G36" s="474">
        <v>0.31</v>
      </c>
      <c r="H36" s="474">
        <v>106431.7</v>
      </c>
      <c r="I36" s="474">
        <v>69923.960000000006</v>
      </c>
      <c r="J36" s="474">
        <v>202276.23</v>
      </c>
      <c r="K36" s="474">
        <v>0.21</v>
      </c>
      <c r="L36" s="474">
        <v>250350.1</v>
      </c>
    </row>
    <row r="37" spans="1:12" ht="11.45" customHeight="1" x14ac:dyDescent="0.25">
      <c r="A37" s="417"/>
      <c r="B37" s="417" t="s">
        <v>1499</v>
      </c>
      <c r="C37" s="474">
        <v>143105.46</v>
      </c>
      <c r="D37" s="474">
        <v>143105.46</v>
      </c>
      <c r="E37" s="474">
        <v>0</v>
      </c>
      <c r="F37" s="474">
        <v>0</v>
      </c>
      <c r="G37" s="474">
        <v>0</v>
      </c>
      <c r="H37" s="474">
        <v>143105.46</v>
      </c>
      <c r="I37" s="474">
        <v>0</v>
      </c>
      <c r="J37" s="474">
        <v>0</v>
      </c>
      <c r="K37" s="474">
        <v>0</v>
      </c>
      <c r="L37" s="474">
        <v>143105.46</v>
      </c>
    </row>
    <row r="38" spans="1:12" ht="11.45" customHeight="1" x14ac:dyDescent="0.25">
      <c r="A38" s="417"/>
      <c r="B38" s="417" t="s">
        <v>1500</v>
      </c>
      <c r="C38" s="474">
        <v>7.5</v>
      </c>
      <c r="D38" s="474">
        <v>7.5</v>
      </c>
      <c r="E38" s="474">
        <v>0</v>
      </c>
      <c r="F38" s="474">
        <v>0</v>
      </c>
      <c r="G38" s="474">
        <v>0</v>
      </c>
      <c r="H38" s="474">
        <v>7.5</v>
      </c>
      <c r="I38" s="474">
        <v>0</v>
      </c>
      <c r="J38" s="474">
        <v>0</v>
      </c>
      <c r="K38" s="474">
        <v>0</v>
      </c>
      <c r="L38" s="474">
        <v>7.5</v>
      </c>
    </row>
    <row r="39" spans="1:12" ht="11.45" customHeight="1" x14ac:dyDescent="0.25">
      <c r="A39" s="417"/>
      <c r="B39" s="417" t="s">
        <v>1339</v>
      </c>
      <c r="C39" s="474">
        <v>97330.64</v>
      </c>
      <c r="D39" s="474">
        <v>97330.64</v>
      </c>
      <c r="E39" s="474">
        <v>22991.439999999999</v>
      </c>
      <c r="F39" s="474">
        <v>52396.93</v>
      </c>
      <c r="G39" s="474">
        <v>0.05</v>
      </c>
      <c r="H39" s="474">
        <v>44933.71</v>
      </c>
      <c r="I39" s="474">
        <v>8445.9599999999991</v>
      </c>
      <c r="J39" s="474">
        <v>17085.12</v>
      </c>
      <c r="K39" s="474">
        <v>0.02</v>
      </c>
      <c r="L39" s="474">
        <v>80245.52</v>
      </c>
    </row>
    <row r="40" spans="1:12" ht="11.45" customHeight="1" x14ac:dyDescent="0.25">
      <c r="A40" s="417"/>
      <c r="B40" s="417" t="s">
        <v>1340</v>
      </c>
      <c r="C40" s="474">
        <v>344515.47</v>
      </c>
      <c r="D40" s="474">
        <v>365492.47</v>
      </c>
      <c r="E40" s="474">
        <v>10662.5</v>
      </c>
      <c r="F40" s="474">
        <v>50646.32</v>
      </c>
      <c r="G40" s="474">
        <v>0.04</v>
      </c>
      <c r="H40" s="474">
        <v>314846.15000000002</v>
      </c>
      <c r="I40" s="474">
        <v>8784.7800000000007</v>
      </c>
      <c r="J40" s="474">
        <v>31353.17</v>
      </c>
      <c r="K40" s="474">
        <v>0.03</v>
      </c>
      <c r="L40" s="474">
        <v>334139.3</v>
      </c>
    </row>
    <row r="41" spans="1:12" ht="11.45" customHeight="1" x14ac:dyDescent="0.25">
      <c r="A41" s="417"/>
      <c r="B41" s="417" t="s">
        <v>1501</v>
      </c>
      <c r="C41" s="474">
        <v>639571.51</v>
      </c>
      <c r="D41" s="474">
        <v>855842.42</v>
      </c>
      <c r="E41" s="474">
        <v>63490.5</v>
      </c>
      <c r="F41" s="474">
        <v>255666.37</v>
      </c>
      <c r="G41" s="474">
        <v>0.23</v>
      </c>
      <c r="H41" s="474">
        <v>600176.05000000005</v>
      </c>
      <c r="I41" s="474">
        <v>43961.81</v>
      </c>
      <c r="J41" s="474">
        <v>138078.13</v>
      </c>
      <c r="K41" s="474">
        <v>0.14000000000000001</v>
      </c>
      <c r="L41" s="474">
        <v>717764.29</v>
      </c>
    </row>
    <row r="42" spans="1:12" ht="11.45" customHeight="1" x14ac:dyDescent="0.25">
      <c r="A42" s="417"/>
      <c r="B42" s="417" t="s">
        <v>1331</v>
      </c>
      <c r="C42" s="474">
        <v>2</v>
      </c>
      <c r="D42" s="474">
        <v>2</v>
      </c>
      <c r="E42" s="474">
        <v>0</v>
      </c>
      <c r="F42" s="474">
        <v>0</v>
      </c>
      <c r="G42" s="474">
        <v>0</v>
      </c>
      <c r="H42" s="474">
        <v>2</v>
      </c>
      <c r="I42" s="474">
        <v>0</v>
      </c>
      <c r="J42" s="474">
        <v>0</v>
      </c>
      <c r="K42" s="474">
        <v>0</v>
      </c>
      <c r="L42" s="474">
        <v>2</v>
      </c>
    </row>
    <row r="43" spans="1:12" ht="11.45" customHeight="1" x14ac:dyDescent="0.25">
      <c r="A43" s="417"/>
      <c r="B43" s="417" t="s">
        <v>1341</v>
      </c>
      <c r="C43" s="474">
        <v>10</v>
      </c>
      <c r="D43" s="474">
        <v>10</v>
      </c>
      <c r="E43" s="474">
        <v>0</v>
      </c>
      <c r="F43" s="474">
        <v>0</v>
      </c>
      <c r="G43" s="474">
        <v>0</v>
      </c>
      <c r="H43" s="474">
        <v>10</v>
      </c>
      <c r="I43" s="474">
        <v>0</v>
      </c>
      <c r="J43" s="474">
        <v>0</v>
      </c>
      <c r="K43" s="474">
        <v>0</v>
      </c>
      <c r="L43" s="474">
        <v>10</v>
      </c>
    </row>
    <row r="44" spans="1:12" ht="11.45" customHeight="1" x14ac:dyDescent="0.25">
      <c r="A44" s="417"/>
      <c r="B44" s="417" t="s">
        <v>1342</v>
      </c>
      <c r="C44" s="474">
        <v>49000</v>
      </c>
      <c r="D44" s="474">
        <v>49000</v>
      </c>
      <c r="E44" s="474">
        <v>0</v>
      </c>
      <c r="F44" s="474">
        <v>5248</v>
      </c>
      <c r="G44" s="474">
        <v>0</v>
      </c>
      <c r="H44" s="474">
        <v>43752</v>
      </c>
      <c r="I44" s="474">
        <v>5248</v>
      </c>
      <c r="J44" s="474">
        <v>5248</v>
      </c>
      <c r="K44" s="474">
        <v>0.01</v>
      </c>
      <c r="L44" s="474">
        <v>43752</v>
      </c>
    </row>
    <row r="45" spans="1:12" ht="11.45" customHeight="1" x14ac:dyDescent="0.25">
      <c r="A45" s="417"/>
      <c r="B45" s="417" t="s">
        <v>1343</v>
      </c>
      <c r="C45" s="474">
        <v>2000</v>
      </c>
      <c r="D45" s="474">
        <v>2000</v>
      </c>
      <c r="E45" s="474">
        <v>0</v>
      </c>
      <c r="F45" s="474">
        <v>0</v>
      </c>
      <c r="G45" s="474">
        <v>0</v>
      </c>
      <c r="H45" s="474">
        <v>2000</v>
      </c>
      <c r="I45" s="474">
        <v>0</v>
      </c>
      <c r="J45" s="474">
        <v>0</v>
      </c>
      <c r="K45" s="474">
        <v>0</v>
      </c>
      <c r="L45" s="474">
        <v>2000</v>
      </c>
    </row>
    <row r="46" spans="1:12" ht="11.45" customHeight="1" x14ac:dyDescent="0.25">
      <c r="A46" s="417" t="s">
        <v>1344</v>
      </c>
      <c r="B46" s="417"/>
      <c r="C46" s="474">
        <v>50419275.009999998</v>
      </c>
      <c r="D46" s="474">
        <v>51119275.009999998</v>
      </c>
      <c r="E46" s="474">
        <v>8499103.3100000005</v>
      </c>
      <c r="F46" s="474">
        <v>26428656.280000001</v>
      </c>
      <c r="G46" s="474">
        <v>23.37</v>
      </c>
      <c r="H46" s="474">
        <v>24690618.73</v>
      </c>
      <c r="I46" s="474">
        <v>9387580.9700000007</v>
      </c>
      <c r="J46" s="474">
        <v>23831026.920000002</v>
      </c>
      <c r="K46" s="474">
        <v>24.32</v>
      </c>
      <c r="L46" s="474">
        <v>27288248.09</v>
      </c>
    </row>
    <row r="47" spans="1:12" ht="11.45" customHeight="1" x14ac:dyDescent="0.25">
      <c r="A47" s="417"/>
      <c r="B47" s="417" t="s">
        <v>1323</v>
      </c>
      <c r="C47" s="474">
        <v>79995</v>
      </c>
      <c r="D47" s="474">
        <v>79995</v>
      </c>
      <c r="E47" s="474">
        <v>942.61</v>
      </c>
      <c r="F47" s="474">
        <v>5417.61</v>
      </c>
      <c r="G47" s="474">
        <v>0</v>
      </c>
      <c r="H47" s="474">
        <v>74577.39</v>
      </c>
      <c r="I47" s="474">
        <v>1790</v>
      </c>
      <c r="J47" s="474">
        <v>4475</v>
      </c>
      <c r="K47" s="474">
        <v>0</v>
      </c>
      <c r="L47" s="474">
        <v>75520</v>
      </c>
    </row>
    <row r="48" spans="1:12" ht="11.45" customHeight="1" x14ac:dyDescent="0.25">
      <c r="A48" s="417"/>
      <c r="B48" s="417" t="s">
        <v>1345</v>
      </c>
      <c r="C48" s="474">
        <v>45829280.009999998</v>
      </c>
      <c r="D48" s="474">
        <v>45829280.009999998</v>
      </c>
      <c r="E48" s="474">
        <v>8381200.5800000001</v>
      </c>
      <c r="F48" s="474">
        <v>21458556.41</v>
      </c>
      <c r="G48" s="474">
        <v>18.98</v>
      </c>
      <c r="H48" s="474">
        <v>24370723.600000001</v>
      </c>
      <c r="I48" s="474">
        <v>8381200.5800000001</v>
      </c>
      <c r="J48" s="474">
        <v>21458556.41</v>
      </c>
      <c r="K48" s="474">
        <v>21.9</v>
      </c>
      <c r="L48" s="474">
        <v>24370723.600000001</v>
      </c>
    </row>
    <row r="49" spans="1:12" ht="11.45" customHeight="1" x14ac:dyDescent="0.25">
      <c r="A49" s="417"/>
      <c r="B49" s="417" t="s">
        <v>1346</v>
      </c>
      <c r="C49" s="474">
        <v>4510000</v>
      </c>
      <c r="D49" s="474">
        <v>5210000</v>
      </c>
      <c r="E49" s="474">
        <v>116960.12</v>
      </c>
      <c r="F49" s="474">
        <v>4964682.26</v>
      </c>
      <c r="G49" s="474">
        <v>4.3899999999999997</v>
      </c>
      <c r="H49" s="474">
        <v>245317.74</v>
      </c>
      <c r="I49" s="474">
        <v>1004590.39</v>
      </c>
      <c r="J49" s="474">
        <v>2367995.5099999998</v>
      </c>
      <c r="K49" s="474">
        <v>2.42</v>
      </c>
      <c r="L49" s="474">
        <v>2842004.49</v>
      </c>
    </row>
    <row r="50" spans="1:12" ht="11.45" customHeight="1" x14ac:dyDescent="0.25">
      <c r="A50" s="417" t="s">
        <v>1347</v>
      </c>
      <c r="B50" s="417"/>
      <c r="C50" s="474">
        <v>39394998.369999997</v>
      </c>
      <c r="D50" s="474">
        <v>40330738.619999997</v>
      </c>
      <c r="E50" s="474">
        <v>6225747.5</v>
      </c>
      <c r="F50" s="474">
        <v>20218450.489999998</v>
      </c>
      <c r="G50" s="474">
        <v>17.88</v>
      </c>
      <c r="H50" s="474">
        <v>20112288.129999999</v>
      </c>
      <c r="I50" s="474">
        <v>5772786.5</v>
      </c>
      <c r="J50" s="474">
        <v>16157961.92</v>
      </c>
      <c r="K50" s="474">
        <v>16.489999999999998</v>
      </c>
      <c r="L50" s="474">
        <v>24172776.699999999</v>
      </c>
    </row>
    <row r="51" spans="1:12" ht="11.45" customHeight="1" x14ac:dyDescent="0.25">
      <c r="A51" s="417"/>
      <c r="B51" s="417" t="s">
        <v>1323</v>
      </c>
      <c r="C51" s="474">
        <v>6549009.9100000001</v>
      </c>
      <c r="D51" s="474">
        <v>6770784.7199999997</v>
      </c>
      <c r="E51" s="474">
        <v>1035735.2</v>
      </c>
      <c r="F51" s="474">
        <v>3822088.79</v>
      </c>
      <c r="G51" s="474">
        <v>3.38</v>
      </c>
      <c r="H51" s="474">
        <v>2948695.93</v>
      </c>
      <c r="I51" s="474">
        <v>971563.92</v>
      </c>
      <c r="J51" s="474">
        <v>2989495.07</v>
      </c>
      <c r="K51" s="474">
        <v>3.05</v>
      </c>
      <c r="L51" s="474">
        <v>3781289.65</v>
      </c>
    </row>
    <row r="52" spans="1:12" ht="11.45" customHeight="1" x14ac:dyDescent="0.25">
      <c r="A52" s="417"/>
      <c r="B52" s="417" t="s">
        <v>1327</v>
      </c>
      <c r="C52" s="474">
        <v>3001</v>
      </c>
      <c r="D52" s="474">
        <v>3001</v>
      </c>
      <c r="E52" s="474">
        <v>0</v>
      </c>
      <c r="F52" s="474">
        <v>0</v>
      </c>
      <c r="G52" s="474">
        <v>0</v>
      </c>
      <c r="H52" s="474">
        <v>3001</v>
      </c>
      <c r="I52" s="474">
        <v>0</v>
      </c>
      <c r="J52" s="474">
        <v>0</v>
      </c>
      <c r="K52" s="474">
        <v>0</v>
      </c>
      <c r="L52" s="474">
        <v>3001</v>
      </c>
    </row>
    <row r="53" spans="1:12" ht="11.45" customHeight="1" x14ac:dyDescent="0.25">
      <c r="A53" s="417"/>
      <c r="B53" s="417" t="s">
        <v>1332</v>
      </c>
      <c r="C53" s="474">
        <v>14</v>
      </c>
      <c r="D53" s="474">
        <v>14</v>
      </c>
      <c r="E53" s="474">
        <v>0</v>
      </c>
      <c r="F53" s="474">
        <v>0</v>
      </c>
      <c r="G53" s="474">
        <v>0</v>
      </c>
      <c r="H53" s="474">
        <v>14</v>
      </c>
      <c r="I53" s="474">
        <v>0</v>
      </c>
      <c r="J53" s="474">
        <v>0</v>
      </c>
      <c r="K53" s="474">
        <v>0</v>
      </c>
      <c r="L53" s="474">
        <v>14</v>
      </c>
    </row>
    <row r="54" spans="1:12" ht="11.45" customHeight="1" x14ac:dyDescent="0.25">
      <c r="A54" s="417"/>
      <c r="B54" s="417" t="s">
        <v>1348</v>
      </c>
      <c r="C54" s="474">
        <v>9049965.7100000009</v>
      </c>
      <c r="D54" s="474">
        <v>9832991.7100000009</v>
      </c>
      <c r="E54" s="474">
        <v>1415155.98</v>
      </c>
      <c r="F54" s="474">
        <v>4658419.04</v>
      </c>
      <c r="G54" s="474">
        <v>4.12</v>
      </c>
      <c r="H54" s="474">
        <v>5174572.67</v>
      </c>
      <c r="I54" s="474">
        <v>1587999.25</v>
      </c>
      <c r="J54" s="474">
        <v>3937945.04</v>
      </c>
      <c r="K54" s="474">
        <v>4.0199999999999996</v>
      </c>
      <c r="L54" s="474">
        <v>5895046.6699999999</v>
      </c>
    </row>
    <row r="55" spans="1:12" ht="11.45" customHeight="1" x14ac:dyDescent="0.25">
      <c r="A55" s="417"/>
      <c r="B55" s="417" t="s">
        <v>1346</v>
      </c>
      <c r="C55" s="474">
        <v>19717883.640000001</v>
      </c>
      <c r="D55" s="474">
        <v>19548023.079999998</v>
      </c>
      <c r="E55" s="474">
        <v>3091564.51</v>
      </c>
      <c r="F55" s="474">
        <v>10351146.49</v>
      </c>
      <c r="G55" s="474">
        <v>9.15</v>
      </c>
      <c r="H55" s="474">
        <v>9196876.5899999999</v>
      </c>
      <c r="I55" s="474">
        <v>2769784.87</v>
      </c>
      <c r="J55" s="474">
        <v>8128993.1200000001</v>
      </c>
      <c r="K55" s="474">
        <v>8.3000000000000007</v>
      </c>
      <c r="L55" s="474">
        <v>11419029.960000001</v>
      </c>
    </row>
    <row r="56" spans="1:12" ht="11.45" customHeight="1" x14ac:dyDescent="0.25">
      <c r="A56" s="417"/>
      <c r="B56" s="417" t="s">
        <v>1349</v>
      </c>
      <c r="C56" s="474">
        <v>2387951.0099999998</v>
      </c>
      <c r="D56" s="474">
        <v>2358951.0099999998</v>
      </c>
      <c r="E56" s="474">
        <v>389554.39</v>
      </c>
      <c r="F56" s="474">
        <v>769768.94</v>
      </c>
      <c r="G56" s="474">
        <v>0.68</v>
      </c>
      <c r="H56" s="474">
        <v>1589182.07</v>
      </c>
      <c r="I56" s="474">
        <v>230097.64</v>
      </c>
      <c r="J56" s="474">
        <v>576293.46</v>
      </c>
      <c r="K56" s="474">
        <v>0.59</v>
      </c>
      <c r="L56" s="474">
        <v>1782657.55</v>
      </c>
    </row>
    <row r="57" spans="1:12" ht="11.45" customHeight="1" x14ac:dyDescent="0.25">
      <c r="A57" s="417"/>
      <c r="B57" s="417" t="s">
        <v>1350</v>
      </c>
      <c r="C57" s="474">
        <v>731273.82</v>
      </c>
      <c r="D57" s="474">
        <v>782973.82</v>
      </c>
      <c r="E57" s="474">
        <v>166812.96</v>
      </c>
      <c r="F57" s="474">
        <v>228878.72</v>
      </c>
      <c r="G57" s="474">
        <v>0.2</v>
      </c>
      <c r="H57" s="474">
        <v>554095.1</v>
      </c>
      <c r="I57" s="474">
        <v>87128.88</v>
      </c>
      <c r="J57" s="474">
        <v>141107.68</v>
      </c>
      <c r="K57" s="474">
        <v>0.14000000000000001</v>
      </c>
      <c r="L57" s="474">
        <v>641866.14</v>
      </c>
    </row>
    <row r="58" spans="1:12" ht="11.45" customHeight="1" x14ac:dyDescent="0.25">
      <c r="A58" s="417"/>
      <c r="B58" s="417" t="s">
        <v>1351</v>
      </c>
      <c r="C58" s="474">
        <v>955899.28</v>
      </c>
      <c r="D58" s="474">
        <v>1033999.28</v>
      </c>
      <c r="E58" s="474">
        <v>126924.46</v>
      </c>
      <c r="F58" s="474">
        <v>388148.51</v>
      </c>
      <c r="G58" s="474">
        <v>0.34</v>
      </c>
      <c r="H58" s="474">
        <v>645850.77</v>
      </c>
      <c r="I58" s="474">
        <v>126211.94</v>
      </c>
      <c r="J58" s="474">
        <v>384127.55</v>
      </c>
      <c r="K58" s="474">
        <v>0.39</v>
      </c>
      <c r="L58" s="474">
        <v>649871.73</v>
      </c>
    </row>
    <row r="59" spans="1:12" ht="11.45" customHeight="1" x14ac:dyDescent="0.25">
      <c r="A59" s="417" t="s">
        <v>1352</v>
      </c>
      <c r="B59" s="417"/>
      <c r="C59" s="474">
        <v>44380008.189999998</v>
      </c>
      <c r="D59" s="474">
        <v>45132857.07</v>
      </c>
      <c r="E59" s="474">
        <v>7479420.8600000003</v>
      </c>
      <c r="F59" s="474">
        <v>22881175.82</v>
      </c>
      <c r="G59" s="474">
        <v>20.23</v>
      </c>
      <c r="H59" s="474">
        <v>22251681.25</v>
      </c>
      <c r="I59" s="474">
        <v>7432594.1200000001</v>
      </c>
      <c r="J59" s="474">
        <v>21362695.710000001</v>
      </c>
      <c r="K59" s="474">
        <v>21.8</v>
      </c>
      <c r="L59" s="474">
        <v>23770161.359999999</v>
      </c>
    </row>
    <row r="60" spans="1:12" ht="11.45" customHeight="1" x14ac:dyDescent="0.25">
      <c r="A60" s="417"/>
      <c r="B60" s="417" t="s">
        <v>1323</v>
      </c>
      <c r="C60" s="474">
        <v>100046</v>
      </c>
      <c r="D60" s="474">
        <v>109676</v>
      </c>
      <c r="E60" s="474">
        <v>15175.39</v>
      </c>
      <c r="F60" s="474">
        <v>45177.31</v>
      </c>
      <c r="G60" s="474">
        <v>0.04</v>
      </c>
      <c r="H60" s="474">
        <v>64498.69</v>
      </c>
      <c r="I60" s="474">
        <v>8668.9599999999991</v>
      </c>
      <c r="J60" s="474">
        <v>33686.160000000003</v>
      </c>
      <c r="K60" s="474">
        <v>0.03</v>
      </c>
      <c r="L60" s="474">
        <v>75989.84</v>
      </c>
    </row>
    <row r="61" spans="1:12" ht="11.45" customHeight="1" x14ac:dyDescent="0.25">
      <c r="A61" s="417"/>
      <c r="B61" s="417" t="s">
        <v>1331</v>
      </c>
      <c r="C61" s="474">
        <v>1</v>
      </c>
      <c r="D61" s="474">
        <v>1</v>
      </c>
      <c r="E61" s="474">
        <v>0</v>
      </c>
      <c r="F61" s="474">
        <v>0</v>
      </c>
      <c r="G61" s="474">
        <v>0</v>
      </c>
      <c r="H61" s="474">
        <v>1</v>
      </c>
      <c r="I61" s="474">
        <v>0</v>
      </c>
      <c r="J61" s="474">
        <v>0</v>
      </c>
      <c r="K61" s="474">
        <v>0</v>
      </c>
      <c r="L61" s="474">
        <v>1</v>
      </c>
    </row>
    <row r="62" spans="1:12" ht="11.45" customHeight="1" x14ac:dyDescent="0.25">
      <c r="A62" s="417"/>
      <c r="B62" s="417" t="s">
        <v>1332</v>
      </c>
      <c r="C62" s="474">
        <v>20</v>
      </c>
      <c r="D62" s="474">
        <v>20</v>
      </c>
      <c r="E62" s="474">
        <v>0</v>
      </c>
      <c r="F62" s="474">
        <v>0</v>
      </c>
      <c r="G62" s="474">
        <v>0</v>
      </c>
      <c r="H62" s="474">
        <v>20</v>
      </c>
      <c r="I62" s="474">
        <v>0</v>
      </c>
      <c r="J62" s="474">
        <v>0</v>
      </c>
      <c r="K62" s="474">
        <v>0</v>
      </c>
      <c r="L62" s="474">
        <v>20</v>
      </c>
    </row>
    <row r="63" spans="1:12" ht="11.45" customHeight="1" x14ac:dyDescent="0.25">
      <c r="A63" s="417"/>
      <c r="B63" s="417" t="s">
        <v>1353</v>
      </c>
      <c r="C63" s="474">
        <v>26463668.190000001</v>
      </c>
      <c r="D63" s="474">
        <v>26708528.440000001</v>
      </c>
      <c r="E63" s="474">
        <v>3909470.58</v>
      </c>
      <c r="F63" s="474">
        <v>12825157.449999999</v>
      </c>
      <c r="G63" s="474">
        <v>11.34</v>
      </c>
      <c r="H63" s="474">
        <v>13883370.99</v>
      </c>
      <c r="I63" s="474">
        <v>3894557.84</v>
      </c>
      <c r="J63" s="474">
        <v>12076132.560000001</v>
      </c>
      <c r="K63" s="474">
        <v>12.32</v>
      </c>
      <c r="L63" s="474">
        <v>14632395.880000001</v>
      </c>
    </row>
    <row r="64" spans="1:12" ht="11.45" customHeight="1" x14ac:dyDescent="0.25">
      <c r="A64" s="417"/>
      <c r="B64" s="417" t="s">
        <v>1354</v>
      </c>
      <c r="C64" s="474">
        <v>8</v>
      </c>
      <c r="D64" s="474">
        <v>8</v>
      </c>
      <c r="E64" s="474">
        <v>0</v>
      </c>
      <c r="F64" s="474">
        <v>0</v>
      </c>
      <c r="G64" s="474">
        <v>0</v>
      </c>
      <c r="H64" s="474">
        <v>8</v>
      </c>
      <c r="I64" s="474">
        <v>0</v>
      </c>
      <c r="J64" s="474">
        <v>0</v>
      </c>
      <c r="K64" s="474">
        <v>0</v>
      </c>
      <c r="L64" s="474">
        <v>8</v>
      </c>
    </row>
    <row r="65" spans="1:12" ht="11.45" customHeight="1" x14ac:dyDescent="0.25">
      <c r="A65" s="417"/>
      <c r="B65" s="417" t="s">
        <v>1355</v>
      </c>
      <c r="C65" s="474">
        <v>8796577.4199999999</v>
      </c>
      <c r="D65" s="474">
        <v>9532028.0500000007</v>
      </c>
      <c r="E65" s="474">
        <v>1816998.74</v>
      </c>
      <c r="F65" s="474">
        <v>5565845.7800000003</v>
      </c>
      <c r="G65" s="474">
        <v>4.92</v>
      </c>
      <c r="H65" s="474">
        <v>3966182.27</v>
      </c>
      <c r="I65" s="474">
        <v>1825503.08</v>
      </c>
      <c r="J65" s="474">
        <v>5135786.46</v>
      </c>
      <c r="K65" s="474">
        <v>5.24</v>
      </c>
      <c r="L65" s="474">
        <v>4396241.59</v>
      </c>
    </row>
    <row r="66" spans="1:12" ht="11.45" customHeight="1" x14ac:dyDescent="0.25">
      <c r="A66" s="417"/>
      <c r="B66" s="417" t="s">
        <v>1356</v>
      </c>
      <c r="C66" s="474">
        <v>533325.29</v>
      </c>
      <c r="D66" s="474">
        <v>705340.29</v>
      </c>
      <c r="E66" s="474">
        <v>163349.4</v>
      </c>
      <c r="F66" s="474">
        <v>436260.97</v>
      </c>
      <c r="G66" s="474">
        <v>0.39</v>
      </c>
      <c r="H66" s="474">
        <v>269079.32</v>
      </c>
      <c r="I66" s="474">
        <v>163349.4</v>
      </c>
      <c r="J66" s="474">
        <v>436260.97</v>
      </c>
      <c r="K66" s="474">
        <v>0.45</v>
      </c>
      <c r="L66" s="474">
        <v>269079.32</v>
      </c>
    </row>
    <row r="67" spans="1:12" ht="11.45" customHeight="1" x14ac:dyDescent="0.25">
      <c r="A67" s="417"/>
      <c r="B67" s="417" t="s">
        <v>1357</v>
      </c>
      <c r="C67" s="474">
        <v>1623223.94</v>
      </c>
      <c r="D67" s="474">
        <v>1735008.94</v>
      </c>
      <c r="E67" s="474">
        <v>380371.99</v>
      </c>
      <c r="F67" s="474">
        <v>984836.27</v>
      </c>
      <c r="G67" s="474">
        <v>0.87</v>
      </c>
      <c r="H67" s="474">
        <v>750172.67</v>
      </c>
      <c r="I67" s="474">
        <v>335771.99</v>
      </c>
      <c r="J67" s="474">
        <v>934005.44</v>
      </c>
      <c r="K67" s="474">
        <v>0.95</v>
      </c>
      <c r="L67" s="474">
        <v>801003.5</v>
      </c>
    </row>
    <row r="68" spans="1:12" ht="11.45" customHeight="1" x14ac:dyDescent="0.25">
      <c r="A68" s="417"/>
      <c r="B68" s="417" t="s">
        <v>1502</v>
      </c>
      <c r="C68" s="474">
        <v>1779468.71</v>
      </c>
      <c r="D68" s="474">
        <v>1737593.71</v>
      </c>
      <c r="E68" s="474">
        <v>193626.76</v>
      </c>
      <c r="F68" s="474">
        <v>518710.47</v>
      </c>
      <c r="G68" s="474">
        <v>0.46</v>
      </c>
      <c r="H68" s="474">
        <v>1218883.24</v>
      </c>
      <c r="I68" s="474">
        <v>193626.76</v>
      </c>
      <c r="J68" s="474">
        <v>518710.47</v>
      </c>
      <c r="K68" s="474">
        <v>0.53</v>
      </c>
      <c r="L68" s="474">
        <v>1218883.24</v>
      </c>
    </row>
    <row r="69" spans="1:12" ht="11.45" customHeight="1" x14ac:dyDescent="0.25">
      <c r="A69" s="417"/>
      <c r="B69" s="417" t="s">
        <v>1358</v>
      </c>
      <c r="C69" s="474">
        <v>5083669.6399999997</v>
      </c>
      <c r="D69" s="474">
        <v>4604652.6399999997</v>
      </c>
      <c r="E69" s="474">
        <v>1000428</v>
      </c>
      <c r="F69" s="474">
        <v>2505187.5699999998</v>
      </c>
      <c r="G69" s="474">
        <v>2.2200000000000002</v>
      </c>
      <c r="H69" s="474">
        <v>2099465.0699999998</v>
      </c>
      <c r="I69" s="474">
        <v>1011116.09</v>
      </c>
      <c r="J69" s="474">
        <v>2228113.65</v>
      </c>
      <c r="K69" s="474">
        <v>2.27</v>
      </c>
      <c r="L69" s="474">
        <v>2376538.9900000002</v>
      </c>
    </row>
    <row r="70" spans="1:12" ht="11.45" customHeight="1" x14ac:dyDescent="0.25">
      <c r="A70" s="417" t="s">
        <v>1359</v>
      </c>
      <c r="B70" s="417"/>
      <c r="C70" s="474">
        <v>957291.59</v>
      </c>
      <c r="D70" s="474">
        <v>1774951.67</v>
      </c>
      <c r="E70" s="474">
        <v>112792.67</v>
      </c>
      <c r="F70" s="474">
        <v>353982.67</v>
      </c>
      <c r="G70" s="474">
        <v>0.31</v>
      </c>
      <c r="H70" s="474">
        <v>1420969</v>
      </c>
      <c r="I70" s="474">
        <v>0</v>
      </c>
      <c r="J70" s="474">
        <v>241190</v>
      </c>
      <c r="K70" s="474">
        <v>0.25</v>
      </c>
      <c r="L70" s="474">
        <v>1533761.67</v>
      </c>
    </row>
    <row r="71" spans="1:12" ht="11.45" customHeight="1" x14ac:dyDescent="0.25">
      <c r="A71" s="417"/>
      <c r="B71" s="417" t="s">
        <v>1323</v>
      </c>
      <c r="C71" s="474">
        <v>8500</v>
      </c>
      <c r="D71" s="474">
        <v>8000</v>
      </c>
      <c r="E71" s="474">
        <v>0</v>
      </c>
      <c r="F71" s="474">
        <v>0</v>
      </c>
      <c r="G71" s="474">
        <v>0</v>
      </c>
      <c r="H71" s="474">
        <v>8000</v>
      </c>
      <c r="I71" s="474">
        <v>0</v>
      </c>
      <c r="J71" s="474">
        <v>0</v>
      </c>
      <c r="K71" s="474">
        <v>0</v>
      </c>
      <c r="L71" s="474">
        <v>8000</v>
      </c>
    </row>
    <row r="72" spans="1:12" ht="11.45" customHeight="1" x14ac:dyDescent="0.25">
      <c r="A72" s="417"/>
      <c r="B72" s="417" t="s">
        <v>1326</v>
      </c>
      <c r="C72" s="474">
        <v>202</v>
      </c>
      <c r="D72" s="474">
        <v>195</v>
      </c>
      <c r="E72" s="474">
        <v>0</v>
      </c>
      <c r="F72" s="474">
        <v>0</v>
      </c>
      <c r="G72" s="474">
        <v>0</v>
      </c>
      <c r="H72" s="474">
        <v>195</v>
      </c>
      <c r="I72" s="474">
        <v>0</v>
      </c>
      <c r="J72" s="474">
        <v>0</v>
      </c>
      <c r="K72" s="474">
        <v>0</v>
      </c>
      <c r="L72" s="474">
        <v>195</v>
      </c>
    </row>
    <row r="73" spans="1:12" ht="11.45" customHeight="1" x14ac:dyDescent="0.25">
      <c r="A73" s="417"/>
      <c r="B73" s="417" t="s">
        <v>1360</v>
      </c>
      <c r="C73" s="474">
        <v>59997</v>
      </c>
      <c r="D73" s="474">
        <v>406589</v>
      </c>
      <c r="E73" s="474">
        <v>0</v>
      </c>
      <c r="F73" s="474">
        <v>0</v>
      </c>
      <c r="G73" s="474">
        <v>0</v>
      </c>
      <c r="H73" s="474">
        <v>406589</v>
      </c>
      <c r="I73" s="474">
        <v>0</v>
      </c>
      <c r="J73" s="474">
        <v>0</v>
      </c>
      <c r="K73" s="474">
        <v>0</v>
      </c>
      <c r="L73" s="474">
        <v>406589</v>
      </c>
    </row>
    <row r="74" spans="1:12" ht="11.45" customHeight="1" x14ac:dyDescent="0.25">
      <c r="A74" s="417"/>
      <c r="B74" s="417" t="s">
        <v>1361</v>
      </c>
      <c r="C74" s="474">
        <v>649616.69999999995</v>
      </c>
      <c r="D74" s="474">
        <v>751765.13</v>
      </c>
      <c r="E74" s="474">
        <v>112792.67</v>
      </c>
      <c r="F74" s="474">
        <v>112792.67</v>
      </c>
      <c r="G74" s="474">
        <v>0.1</v>
      </c>
      <c r="H74" s="474">
        <v>638972.46</v>
      </c>
      <c r="I74" s="474">
        <v>0</v>
      </c>
      <c r="J74" s="474">
        <v>0</v>
      </c>
      <c r="K74" s="474">
        <v>0</v>
      </c>
      <c r="L74" s="474">
        <v>751765.13</v>
      </c>
    </row>
    <row r="75" spans="1:12" ht="11.45" customHeight="1" x14ac:dyDescent="0.25">
      <c r="A75" s="417"/>
      <c r="B75" s="417" t="s">
        <v>1334</v>
      </c>
      <c r="C75" s="474">
        <v>238975.89</v>
      </c>
      <c r="D75" s="474">
        <v>608402.54</v>
      </c>
      <c r="E75" s="474">
        <v>0</v>
      </c>
      <c r="F75" s="474">
        <v>241190</v>
      </c>
      <c r="G75" s="474">
        <v>0.21</v>
      </c>
      <c r="H75" s="474">
        <v>367212.54</v>
      </c>
      <c r="I75" s="474">
        <v>0</v>
      </c>
      <c r="J75" s="474">
        <v>241190</v>
      </c>
      <c r="K75" s="474">
        <v>0.25</v>
      </c>
      <c r="L75" s="474">
        <v>367212.54</v>
      </c>
    </row>
    <row r="76" spans="1:12" ht="11.45" customHeight="1" x14ac:dyDescent="0.25">
      <c r="A76" s="417" t="s">
        <v>1362</v>
      </c>
      <c r="B76" s="417"/>
      <c r="C76" s="474">
        <v>33003</v>
      </c>
      <c r="D76" s="474">
        <v>33003</v>
      </c>
      <c r="E76" s="474">
        <v>0</v>
      </c>
      <c r="F76" s="474">
        <v>5090.8500000000004</v>
      </c>
      <c r="G76" s="474">
        <v>0</v>
      </c>
      <c r="H76" s="474">
        <v>27912.15</v>
      </c>
      <c r="I76" s="474">
        <v>0</v>
      </c>
      <c r="J76" s="474">
        <v>2664.7</v>
      </c>
      <c r="K76" s="474">
        <v>0</v>
      </c>
      <c r="L76" s="474">
        <v>30338.3</v>
      </c>
    </row>
    <row r="77" spans="1:12" ht="11.45" customHeight="1" x14ac:dyDescent="0.25">
      <c r="A77" s="417"/>
      <c r="B77" s="417" t="s">
        <v>1323</v>
      </c>
      <c r="C77" s="474">
        <v>1000</v>
      </c>
      <c r="D77" s="474">
        <v>1000</v>
      </c>
      <c r="E77" s="474">
        <v>0</v>
      </c>
      <c r="F77" s="474">
        <v>0</v>
      </c>
      <c r="G77" s="474">
        <v>0</v>
      </c>
      <c r="H77" s="474">
        <v>1000</v>
      </c>
      <c r="I77" s="474">
        <v>0</v>
      </c>
      <c r="J77" s="474">
        <v>0</v>
      </c>
      <c r="K77" s="474">
        <v>0</v>
      </c>
      <c r="L77" s="474">
        <v>1000</v>
      </c>
    </row>
    <row r="78" spans="1:12" ht="11.45" customHeight="1" x14ac:dyDescent="0.25">
      <c r="A78" s="417"/>
      <c r="B78" s="417" t="s">
        <v>1341</v>
      </c>
      <c r="C78" s="474">
        <v>32003</v>
      </c>
      <c r="D78" s="474">
        <v>32003</v>
      </c>
      <c r="E78" s="474">
        <v>0</v>
      </c>
      <c r="F78" s="474">
        <v>5090.8500000000004</v>
      </c>
      <c r="G78" s="474">
        <v>0</v>
      </c>
      <c r="H78" s="474">
        <v>26912.15</v>
      </c>
      <c r="I78" s="474">
        <v>0</v>
      </c>
      <c r="J78" s="474">
        <v>2664.7</v>
      </c>
      <c r="K78" s="474">
        <v>0</v>
      </c>
      <c r="L78" s="474">
        <v>29338.3</v>
      </c>
    </row>
    <row r="79" spans="1:12" ht="11.45" customHeight="1" x14ac:dyDescent="0.25">
      <c r="A79" s="417" t="s">
        <v>1363</v>
      </c>
      <c r="B79" s="417"/>
      <c r="C79" s="474">
        <v>5505935.7800000003</v>
      </c>
      <c r="D79" s="474">
        <v>9406411.0700000003</v>
      </c>
      <c r="E79" s="474">
        <v>1423667.92</v>
      </c>
      <c r="F79" s="474">
        <v>5673980.3099999996</v>
      </c>
      <c r="G79" s="474">
        <v>5.0199999999999996</v>
      </c>
      <c r="H79" s="474">
        <v>3732430.76</v>
      </c>
      <c r="I79" s="474">
        <v>1114498.3700000001</v>
      </c>
      <c r="J79" s="474">
        <v>3627977.03</v>
      </c>
      <c r="K79" s="474">
        <v>3.7</v>
      </c>
      <c r="L79" s="474">
        <v>5778434.04</v>
      </c>
    </row>
    <row r="80" spans="1:12" ht="11.45" customHeight="1" x14ac:dyDescent="0.25">
      <c r="A80" s="417"/>
      <c r="B80" s="417" t="s">
        <v>1364</v>
      </c>
      <c r="C80" s="474">
        <v>3441836.78</v>
      </c>
      <c r="D80" s="474">
        <v>7389312.0700000003</v>
      </c>
      <c r="E80" s="474">
        <v>657286</v>
      </c>
      <c r="F80" s="474">
        <v>4040292.16</v>
      </c>
      <c r="G80" s="474">
        <v>3.57</v>
      </c>
      <c r="H80" s="474">
        <v>3349019.91</v>
      </c>
      <c r="I80" s="474">
        <v>673412.1</v>
      </c>
      <c r="J80" s="474">
        <v>2728073.97</v>
      </c>
      <c r="K80" s="474">
        <v>2.78</v>
      </c>
      <c r="L80" s="474">
        <v>4661238.0999999996</v>
      </c>
    </row>
    <row r="81" spans="1:12" ht="11.45" customHeight="1" x14ac:dyDescent="0.25">
      <c r="A81" s="417"/>
      <c r="B81" s="417" t="s">
        <v>1365</v>
      </c>
      <c r="C81" s="474">
        <v>2064099</v>
      </c>
      <c r="D81" s="474">
        <v>2017099</v>
      </c>
      <c r="E81" s="474">
        <v>766381.92</v>
      </c>
      <c r="F81" s="474">
        <v>1633688.15</v>
      </c>
      <c r="G81" s="474">
        <v>1.44</v>
      </c>
      <c r="H81" s="474">
        <v>383410.85</v>
      </c>
      <c r="I81" s="474">
        <v>441086.27</v>
      </c>
      <c r="J81" s="474">
        <v>899903.06</v>
      </c>
      <c r="K81" s="474">
        <v>0.92</v>
      </c>
      <c r="L81" s="474">
        <v>1117195.94</v>
      </c>
    </row>
    <row r="82" spans="1:12" ht="11.45" customHeight="1" x14ac:dyDescent="0.25">
      <c r="A82" s="417" t="s">
        <v>1366</v>
      </c>
      <c r="B82" s="417"/>
      <c r="C82" s="474">
        <v>5058</v>
      </c>
      <c r="D82" s="474">
        <v>5058</v>
      </c>
      <c r="E82" s="474">
        <v>0</v>
      </c>
      <c r="F82" s="474">
        <v>0</v>
      </c>
      <c r="G82" s="474">
        <v>0</v>
      </c>
      <c r="H82" s="474">
        <v>5058</v>
      </c>
      <c r="I82" s="474">
        <v>0</v>
      </c>
      <c r="J82" s="474">
        <v>0</v>
      </c>
      <c r="K82" s="474">
        <v>0</v>
      </c>
      <c r="L82" s="474">
        <v>5058</v>
      </c>
    </row>
    <row r="83" spans="1:12" ht="11.45" customHeight="1" x14ac:dyDescent="0.25">
      <c r="A83" s="417"/>
      <c r="B83" s="417" t="s">
        <v>1340</v>
      </c>
      <c r="C83" s="474">
        <v>1002</v>
      </c>
      <c r="D83" s="474">
        <v>1002</v>
      </c>
      <c r="E83" s="474">
        <v>0</v>
      </c>
      <c r="F83" s="474">
        <v>0</v>
      </c>
      <c r="G83" s="474">
        <v>0</v>
      </c>
      <c r="H83" s="474">
        <v>1002</v>
      </c>
      <c r="I83" s="474">
        <v>0</v>
      </c>
      <c r="J83" s="474">
        <v>0</v>
      </c>
      <c r="K83" s="474">
        <v>0</v>
      </c>
      <c r="L83" s="474">
        <v>1002</v>
      </c>
    </row>
    <row r="84" spans="1:12" ht="11.45" customHeight="1" x14ac:dyDescent="0.25">
      <c r="A84" s="417"/>
      <c r="B84" s="417" t="s">
        <v>1342</v>
      </c>
      <c r="C84" s="474">
        <v>2017</v>
      </c>
      <c r="D84" s="474">
        <v>2017</v>
      </c>
      <c r="E84" s="474">
        <v>0</v>
      </c>
      <c r="F84" s="474">
        <v>0</v>
      </c>
      <c r="G84" s="474">
        <v>0</v>
      </c>
      <c r="H84" s="474">
        <v>2017</v>
      </c>
      <c r="I84" s="474">
        <v>0</v>
      </c>
      <c r="J84" s="474">
        <v>0</v>
      </c>
      <c r="K84" s="474">
        <v>0</v>
      </c>
      <c r="L84" s="474">
        <v>2017</v>
      </c>
    </row>
    <row r="85" spans="1:12" ht="11.45" customHeight="1" x14ac:dyDescent="0.25">
      <c r="A85" s="417"/>
      <c r="B85" s="417" t="s">
        <v>1343</v>
      </c>
      <c r="C85" s="474">
        <v>2039</v>
      </c>
      <c r="D85" s="474">
        <v>2039</v>
      </c>
      <c r="E85" s="474">
        <v>0</v>
      </c>
      <c r="F85" s="474">
        <v>0</v>
      </c>
      <c r="G85" s="474">
        <v>0</v>
      </c>
      <c r="H85" s="474">
        <v>2039</v>
      </c>
      <c r="I85" s="474">
        <v>0</v>
      </c>
      <c r="J85" s="474">
        <v>0</v>
      </c>
      <c r="K85" s="474">
        <v>0</v>
      </c>
      <c r="L85" s="474">
        <v>2039</v>
      </c>
    </row>
    <row r="86" spans="1:12" ht="11.45" customHeight="1" x14ac:dyDescent="0.25">
      <c r="A86" s="417" t="s">
        <v>1367</v>
      </c>
      <c r="B86" s="417"/>
      <c r="C86" s="474">
        <v>3169452</v>
      </c>
      <c r="D86" s="474">
        <v>3055452</v>
      </c>
      <c r="E86" s="474">
        <v>948794.63</v>
      </c>
      <c r="F86" s="474">
        <v>2593682.87</v>
      </c>
      <c r="G86" s="474">
        <v>2.29</v>
      </c>
      <c r="H86" s="474">
        <v>461769.13</v>
      </c>
      <c r="I86" s="474">
        <v>480419.92</v>
      </c>
      <c r="J86" s="474">
        <v>1267175.82</v>
      </c>
      <c r="K86" s="474">
        <v>1.29</v>
      </c>
      <c r="L86" s="474">
        <v>1788276.18</v>
      </c>
    </row>
    <row r="87" spans="1:12" ht="11.45" customHeight="1" x14ac:dyDescent="0.25">
      <c r="A87" s="417"/>
      <c r="B87" s="417" t="s">
        <v>1368</v>
      </c>
      <c r="C87" s="474">
        <v>118030</v>
      </c>
      <c r="D87" s="474">
        <v>118030</v>
      </c>
      <c r="E87" s="474">
        <v>7431.6</v>
      </c>
      <c r="F87" s="474">
        <v>59128.98</v>
      </c>
      <c r="G87" s="474">
        <v>0.05</v>
      </c>
      <c r="H87" s="474">
        <v>58901.02</v>
      </c>
      <c r="I87" s="474">
        <v>6580.56</v>
      </c>
      <c r="J87" s="474">
        <v>18411.57</v>
      </c>
      <c r="K87" s="474">
        <v>0.02</v>
      </c>
      <c r="L87" s="474">
        <v>99618.43</v>
      </c>
    </row>
    <row r="88" spans="1:12" ht="11.45" customHeight="1" x14ac:dyDescent="0.25">
      <c r="A88" s="417"/>
      <c r="B88" s="417" t="s">
        <v>1369</v>
      </c>
      <c r="C88" s="474">
        <v>3051422</v>
      </c>
      <c r="D88" s="474">
        <v>2937422</v>
      </c>
      <c r="E88" s="474">
        <v>941363.03</v>
      </c>
      <c r="F88" s="474">
        <v>2534553.89</v>
      </c>
      <c r="G88" s="474">
        <v>2.2400000000000002</v>
      </c>
      <c r="H88" s="474">
        <v>402868.11</v>
      </c>
      <c r="I88" s="474">
        <v>473839.35999999999</v>
      </c>
      <c r="J88" s="474">
        <v>1248764.25</v>
      </c>
      <c r="K88" s="474">
        <v>1.27</v>
      </c>
      <c r="L88" s="474">
        <v>1688657.75</v>
      </c>
    </row>
    <row r="89" spans="1:12" ht="11.45" customHeight="1" x14ac:dyDescent="0.25">
      <c r="A89" s="417" t="s">
        <v>1370</v>
      </c>
      <c r="B89" s="417"/>
      <c r="C89" s="474">
        <v>354005.26</v>
      </c>
      <c r="D89" s="474">
        <v>1055819.3899999999</v>
      </c>
      <c r="E89" s="474">
        <v>7081.85</v>
      </c>
      <c r="F89" s="474">
        <v>202400.31</v>
      </c>
      <c r="G89" s="474">
        <v>0.18</v>
      </c>
      <c r="H89" s="474">
        <v>853419.08</v>
      </c>
      <c r="I89" s="474">
        <v>60637.279999999999</v>
      </c>
      <c r="J89" s="474">
        <v>168282.7</v>
      </c>
      <c r="K89" s="474">
        <v>0.17</v>
      </c>
      <c r="L89" s="474">
        <v>887536.69</v>
      </c>
    </row>
    <row r="90" spans="1:12" ht="11.45" customHeight="1" x14ac:dyDescent="0.25">
      <c r="A90" s="417"/>
      <c r="B90" s="417" t="s">
        <v>1371</v>
      </c>
      <c r="C90" s="474">
        <v>30095</v>
      </c>
      <c r="D90" s="474">
        <v>30095</v>
      </c>
      <c r="E90" s="474">
        <v>0</v>
      </c>
      <c r="F90" s="474">
        <v>0</v>
      </c>
      <c r="G90" s="474">
        <v>0</v>
      </c>
      <c r="H90" s="474">
        <v>30095</v>
      </c>
      <c r="I90" s="474">
        <v>0</v>
      </c>
      <c r="J90" s="474">
        <v>0</v>
      </c>
      <c r="K90" s="474">
        <v>0</v>
      </c>
      <c r="L90" s="474">
        <v>30095</v>
      </c>
    </row>
    <row r="91" spans="1:12" ht="11.45" customHeight="1" x14ac:dyDescent="0.25">
      <c r="A91" s="417"/>
      <c r="B91" s="417" t="s">
        <v>1372</v>
      </c>
      <c r="C91" s="474">
        <v>67868.259999999995</v>
      </c>
      <c r="D91" s="474">
        <v>49268.26</v>
      </c>
      <c r="E91" s="474">
        <v>1081.8499999999999</v>
      </c>
      <c r="F91" s="474">
        <v>5051.25</v>
      </c>
      <c r="G91" s="474">
        <v>0</v>
      </c>
      <c r="H91" s="474">
        <v>44217.01</v>
      </c>
      <c r="I91" s="474">
        <v>1893.23</v>
      </c>
      <c r="J91" s="474">
        <v>3862.63</v>
      </c>
      <c r="K91" s="474">
        <v>0</v>
      </c>
      <c r="L91" s="474">
        <v>45405.63</v>
      </c>
    </row>
    <row r="92" spans="1:12" ht="11.45" customHeight="1" x14ac:dyDescent="0.25">
      <c r="A92" s="417"/>
      <c r="B92" s="417" t="s">
        <v>1373</v>
      </c>
      <c r="C92" s="474">
        <v>256042</v>
      </c>
      <c r="D92" s="474">
        <v>976456.13</v>
      </c>
      <c r="E92" s="474">
        <v>6000</v>
      </c>
      <c r="F92" s="474">
        <v>197349.06</v>
      </c>
      <c r="G92" s="474">
        <v>0.17</v>
      </c>
      <c r="H92" s="474">
        <v>779107.07</v>
      </c>
      <c r="I92" s="474">
        <v>58744.05</v>
      </c>
      <c r="J92" s="474">
        <v>164420.07</v>
      </c>
      <c r="K92" s="474">
        <v>0.17</v>
      </c>
      <c r="L92" s="474">
        <v>812036.06</v>
      </c>
    </row>
    <row r="93" spans="1:12" ht="11.45" customHeight="1" x14ac:dyDescent="0.25">
      <c r="A93" s="417" t="s">
        <v>1374</v>
      </c>
      <c r="B93" s="417"/>
      <c r="C93" s="474">
        <v>953039</v>
      </c>
      <c r="D93" s="474">
        <v>979032</v>
      </c>
      <c r="E93" s="474">
        <v>20948.79</v>
      </c>
      <c r="F93" s="474">
        <v>206187.97</v>
      </c>
      <c r="G93" s="474">
        <v>0.18</v>
      </c>
      <c r="H93" s="474">
        <v>772844.03</v>
      </c>
      <c r="I93" s="474">
        <v>68003.429999999993</v>
      </c>
      <c r="J93" s="474">
        <v>163837.75</v>
      </c>
      <c r="K93" s="474">
        <v>0.17</v>
      </c>
      <c r="L93" s="474">
        <v>815194.25</v>
      </c>
    </row>
    <row r="94" spans="1:12" ht="11.45" customHeight="1" x14ac:dyDescent="0.25">
      <c r="A94" s="417"/>
      <c r="B94" s="417" t="s">
        <v>1375</v>
      </c>
      <c r="C94" s="474">
        <v>45000</v>
      </c>
      <c r="D94" s="474">
        <v>40000</v>
      </c>
      <c r="E94" s="474">
        <v>0</v>
      </c>
      <c r="F94" s="474">
        <v>0</v>
      </c>
      <c r="G94" s="474">
        <v>0</v>
      </c>
      <c r="H94" s="474">
        <v>40000</v>
      </c>
      <c r="I94" s="474">
        <v>0</v>
      </c>
      <c r="J94" s="474">
        <v>0</v>
      </c>
      <c r="K94" s="474">
        <v>0</v>
      </c>
      <c r="L94" s="474">
        <v>40000</v>
      </c>
    </row>
    <row r="95" spans="1:12" ht="11.45" customHeight="1" x14ac:dyDescent="0.25">
      <c r="A95" s="417"/>
      <c r="B95" s="417" t="s">
        <v>1376</v>
      </c>
      <c r="C95" s="474">
        <v>391999</v>
      </c>
      <c r="D95" s="474">
        <v>426992</v>
      </c>
      <c r="E95" s="474">
        <v>0</v>
      </c>
      <c r="F95" s="474">
        <v>57098.61</v>
      </c>
      <c r="G95" s="474">
        <v>0.05</v>
      </c>
      <c r="H95" s="474">
        <v>369893.39</v>
      </c>
      <c r="I95" s="474">
        <v>0</v>
      </c>
      <c r="J95" s="474">
        <v>57098.61</v>
      </c>
      <c r="K95" s="474">
        <v>0.06</v>
      </c>
      <c r="L95" s="474">
        <v>369893.39</v>
      </c>
    </row>
    <row r="96" spans="1:12" ht="11.45" customHeight="1" x14ac:dyDescent="0.25">
      <c r="A96" s="417"/>
      <c r="B96" s="417" t="s">
        <v>1377</v>
      </c>
      <c r="C96" s="474">
        <v>376998</v>
      </c>
      <c r="D96" s="474">
        <v>354998</v>
      </c>
      <c r="E96" s="474">
        <v>20948.79</v>
      </c>
      <c r="F96" s="474">
        <v>139089.35999999999</v>
      </c>
      <c r="G96" s="474">
        <v>0.12</v>
      </c>
      <c r="H96" s="474">
        <v>215908.64</v>
      </c>
      <c r="I96" s="474">
        <v>67104.55</v>
      </c>
      <c r="J96" s="474">
        <v>104951.61</v>
      </c>
      <c r="K96" s="474">
        <v>0.11</v>
      </c>
      <c r="L96" s="474">
        <v>250046.39</v>
      </c>
    </row>
    <row r="97" spans="1:12" ht="11.45" customHeight="1" x14ac:dyDescent="0.25">
      <c r="A97" s="417"/>
      <c r="B97" s="417" t="s">
        <v>1378</v>
      </c>
      <c r="C97" s="474">
        <v>139042</v>
      </c>
      <c r="D97" s="474">
        <v>157042</v>
      </c>
      <c r="E97" s="474">
        <v>0</v>
      </c>
      <c r="F97" s="474">
        <v>10000</v>
      </c>
      <c r="G97" s="474">
        <v>0.01</v>
      </c>
      <c r="H97" s="474">
        <v>147042</v>
      </c>
      <c r="I97" s="474">
        <v>898.88</v>
      </c>
      <c r="J97" s="474">
        <v>1787.53</v>
      </c>
      <c r="K97" s="474">
        <v>0</v>
      </c>
      <c r="L97" s="474">
        <v>155254.47</v>
      </c>
    </row>
    <row r="98" spans="1:12" ht="11.45" customHeight="1" x14ac:dyDescent="0.25">
      <c r="A98" s="417" t="s">
        <v>1379</v>
      </c>
      <c r="B98" s="417"/>
      <c r="C98" s="474">
        <v>40000</v>
      </c>
      <c r="D98" s="474">
        <v>35003</v>
      </c>
      <c r="E98" s="474">
        <v>0</v>
      </c>
      <c r="F98" s="474">
        <v>0</v>
      </c>
      <c r="G98" s="474">
        <v>0</v>
      </c>
      <c r="H98" s="474">
        <v>35003</v>
      </c>
      <c r="I98" s="474">
        <v>0</v>
      </c>
      <c r="J98" s="474">
        <v>0</v>
      </c>
      <c r="K98" s="474">
        <v>0</v>
      </c>
      <c r="L98" s="474">
        <v>35003</v>
      </c>
    </row>
    <row r="99" spans="1:12" ht="11.45" customHeight="1" x14ac:dyDescent="0.25">
      <c r="A99" s="417"/>
      <c r="B99" s="417" t="s">
        <v>1380</v>
      </c>
      <c r="C99" s="474">
        <v>40000</v>
      </c>
      <c r="D99" s="474">
        <v>35003</v>
      </c>
      <c r="E99" s="474">
        <v>0</v>
      </c>
      <c r="F99" s="474">
        <v>0</v>
      </c>
      <c r="G99" s="474">
        <v>0</v>
      </c>
      <c r="H99" s="474">
        <v>35003</v>
      </c>
      <c r="I99" s="474">
        <v>0</v>
      </c>
      <c r="J99" s="474">
        <v>0</v>
      </c>
      <c r="K99" s="474">
        <v>0</v>
      </c>
      <c r="L99" s="474">
        <v>35003</v>
      </c>
    </row>
    <row r="100" spans="1:12" ht="11.45" customHeight="1" x14ac:dyDescent="0.25">
      <c r="A100" s="417" t="s">
        <v>1381</v>
      </c>
      <c r="B100" s="417"/>
      <c r="C100" s="474">
        <v>115031</v>
      </c>
      <c r="D100" s="474">
        <v>94942</v>
      </c>
      <c r="E100" s="474">
        <v>747.99</v>
      </c>
      <c r="F100" s="474">
        <v>11723.19</v>
      </c>
      <c r="G100" s="474">
        <v>0.01</v>
      </c>
      <c r="H100" s="474">
        <v>83218.81</v>
      </c>
      <c r="I100" s="474">
        <v>866.51</v>
      </c>
      <c r="J100" s="474">
        <v>10585.09</v>
      </c>
      <c r="K100" s="474">
        <v>0.01</v>
      </c>
      <c r="L100" s="474">
        <v>84356.91</v>
      </c>
    </row>
    <row r="101" spans="1:12" ht="11.45" customHeight="1" x14ac:dyDescent="0.25">
      <c r="A101" s="417"/>
      <c r="B101" s="417" t="s">
        <v>1371</v>
      </c>
      <c r="C101" s="474">
        <v>1500</v>
      </c>
      <c r="D101" s="474">
        <v>1500</v>
      </c>
      <c r="E101" s="474">
        <v>0</v>
      </c>
      <c r="F101" s="474">
        <v>0</v>
      </c>
      <c r="G101" s="474">
        <v>0</v>
      </c>
      <c r="H101" s="474">
        <v>1500</v>
      </c>
      <c r="I101" s="474">
        <v>0</v>
      </c>
      <c r="J101" s="474">
        <v>0</v>
      </c>
      <c r="K101" s="474">
        <v>0</v>
      </c>
      <c r="L101" s="474">
        <v>1500</v>
      </c>
    </row>
    <row r="102" spans="1:12" ht="11.45" customHeight="1" x14ac:dyDescent="0.25">
      <c r="A102" s="417"/>
      <c r="B102" s="417" t="s">
        <v>1382</v>
      </c>
      <c r="C102" s="474">
        <v>73508</v>
      </c>
      <c r="D102" s="474">
        <v>43512</v>
      </c>
      <c r="E102" s="474">
        <v>0</v>
      </c>
      <c r="F102" s="474">
        <v>1389.8</v>
      </c>
      <c r="G102" s="474">
        <v>0</v>
      </c>
      <c r="H102" s="474">
        <v>42122.2</v>
      </c>
      <c r="I102" s="474">
        <v>118.52</v>
      </c>
      <c r="J102" s="474">
        <v>251.7</v>
      </c>
      <c r="K102" s="474">
        <v>0</v>
      </c>
      <c r="L102" s="474">
        <v>43260.3</v>
      </c>
    </row>
    <row r="103" spans="1:12" ht="11.45" customHeight="1" x14ac:dyDescent="0.25">
      <c r="A103" s="417"/>
      <c r="B103" s="417" t="s">
        <v>1334</v>
      </c>
      <c r="C103" s="474">
        <v>40023</v>
      </c>
      <c r="D103" s="474">
        <v>49930</v>
      </c>
      <c r="E103" s="474">
        <v>747.99</v>
      </c>
      <c r="F103" s="474">
        <v>10333.39</v>
      </c>
      <c r="G103" s="474">
        <v>0.01</v>
      </c>
      <c r="H103" s="474">
        <v>39596.61</v>
      </c>
      <c r="I103" s="474">
        <v>747.99</v>
      </c>
      <c r="J103" s="474">
        <v>10333.39</v>
      </c>
      <c r="K103" s="474">
        <v>0.01</v>
      </c>
      <c r="L103" s="474">
        <v>39596.61</v>
      </c>
    </row>
    <row r="104" spans="1:12" ht="11.45" customHeight="1" x14ac:dyDescent="0.25">
      <c r="A104" s="417" t="s">
        <v>1383</v>
      </c>
      <c r="B104" s="417"/>
      <c r="C104" s="474">
        <v>75000</v>
      </c>
      <c r="D104" s="474">
        <v>75000</v>
      </c>
      <c r="E104" s="474">
        <v>0</v>
      </c>
      <c r="F104" s="474">
        <v>25476.080000000002</v>
      </c>
      <c r="G104" s="474">
        <v>0.02</v>
      </c>
      <c r="H104" s="474">
        <v>49523.92</v>
      </c>
      <c r="I104" s="474">
        <v>1796.64</v>
      </c>
      <c r="J104" s="474">
        <v>9266.43</v>
      </c>
      <c r="K104" s="474">
        <v>0.01</v>
      </c>
      <c r="L104" s="474">
        <v>65733.570000000007</v>
      </c>
    </row>
    <row r="105" spans="1:12" ht="11.45" customHeight="1" x14ac:dyDescent="0.25">
      <c r="A105" s="417"/>
      <c r="B105" s="417" t="s">
        <v>1384</v>
      </c>
      <c r="C105" s="474">
        <v>75000</v>
      </c>
      <c r="D105" s="474">
        <v>75000</v>
      </c>
      <c r="E105" s="474">
        <v>0</v>
      </c>
      <c r="F105" s="474">
        <v>25476.080000000002</v>
      </c>
      <c r="G105" s="474">
        <v>0.02</v>
      </c>
      <c r="H105" s="474">
        <v>49523.92</v>
      </c>
      <c r="I105" s="474">
        <v>1796.64</v>
      </c>
      <c r="J105" s="474">
        <v>9266.43</v>
      </c>
      <c r="K105" s="474">
        <v>0.01</v>
      </c>
      <c r="L105" s="474">
        <v>65733.570000000007</v>
      </c>
    </row>
    <row r="106" spans="1:12" ht="11.45" customHeight="1" x14ac:dyDescent="0.25">
      <c r="A106" s="417" t="s">
        <v>1385</v>
      </c>
      <c r="B106" s="417"/>
      <c r="C106" s="474">
        <v>3623197.99</v>
      </c>
      <c r="D106" s="474">
        <v>4463645.4800000004</v>
      </c>
      <c r="E106" s="474">
        <v>168141.65</v>
      </c>
      <c r="F106" s="474">
        <v>1905033.59</v>
      </c>
      <c r="G106" s="474">
        <v>1.68</v>
      </c>
      <c r="H106" s="474">
        <v>2558611.89</v>
      </c>
      <c r="I106" s="474">
        <v>146666.51999999999</v>
      </c>
      <c r="J106" s="474">
        <v>980575.52</v>
      </c>
      <c r="K106" s="474">
        <v>1</v>
      </c>
      <c r="L106" s="474">
        <v>3483069.96</v>
      </c>
    </row>
    <row r="107" spans="1:12" ht="11.45" customHeight="1" x14ac:dyDescent="0.25">
      <c r="A107" s="417"/>
      <c r="B107" s="417" t="s">
        <v>1358</v>
      </c>
      <c r="C107" s="474">
        <v>3623197.99</v>
      </c>
      <c r="D107" s="474">
        <v>4463645.4800000004</v>
      </c>
      <c r="E107" s="474">
        <v>168141.65</v>
      </c>
      <c r="F107" s="474">
        <v>1905033.59</v>
      </c>
      <c r="G107" s="474">
        <v>1.68</v>
      </c>
      <c r="H107" s="474">
        <v>2558611.89</v>
      </c>
      <c r="I107" s="474">
        <v>146666.51999999999</v>
      </c>
      <c r="J107" s="474">
        <v>980575.52</v>
      </c>
      <c r="K107" s="474">
        <v>1</v>
      </c>
      <c r="L107" s="474">
        <v>3483069.96</v>
      </c>
    </row>
    <row r="108" spans="1:12" ht="11.45" customHeight="1" x14ac:dyDescent="0.25">
      <c r="A108" s="417" t="s">
        <v>1386</v>
      </c>
      <c r="B108" s="417"/>
      <c r="C108" s="474">
        <v>660669.14</v>
      </c>
      <c r="D108" s="474">
        <v>1363529.26</v>
      </c>
      <c r="E108" s="474">
        <v>356924.76</v>
      </c>
      <c r="F108" s="474">
        <v>437233.31</v>
      </c>
      <c r="G108" s="474">
        <v>0.39</v>
      </c>
      <c r="H108" s="474">
        <v>926295.95</v>
      </c>
      <c r="I108" s="474">
        <v>182949.45</v>
      </c>
      <c r="J108" s="474">
        <v>213795.04</v>
      </c>
      <c r="K108" s="474">
        <v>0.22</v>
      </c>
      <c r="L108" s="474">
        <v>1149734.22</v>
      </c>
    </row>
    <row r="109" spans="1:12" ht="11.45" customHeight="1" x14ac:dyDescent="0.25">
      <c r="A109" s="417"/>
      <c r="B109" s="417" t="s">
        <v>1387</v>
      </c>
      <c r="C109" s="474">
        <v>660669.14</v>
      </c>
      <c r="D109" s="474">
        <v>1363529.26</v>
      </c>
      <c r="E109" s="474">
        <v>356924.76</v>
      </c>
      <c r="F109" s="474">
        <v>437233.31</v>
      </c>
      <c r="G109" s="474">
        <v>0.39</v>
      </c>
      <c r="H109" s="474">
        <v>926295.95</v>
      </c>
      <c r="I109" s="474">
        <v>182949.45</v>
      </c>
      <c r="J109" s="474">
        <v>213795.04</v>
      </c>
      <c r="K109" s="474">
        <v>0.22</v>
      </c>
      <c r="L109" s="474">
        <v>1149734.22</v>
      </c>
    </row>
    <row r="110" spans="1:12" ht="11.45" customHeight="1" x14ac:dyDescent="0.25">
      <c r="A110" s="417" t="s">
        <v>1388</v>
      </c>
      <c r="B110" s="417"/>
      <c r="C110" s="474">
        <v>3238232</v>
      </c>
      <c r="D110" s="474">
        <v>3239932</v>
      </c>
      <c r="E110" s="474">
        <v>318535.28999999998</v>
      </c>
      <c r="F110" s="474">
        <v>1958306.55</v>
      </c>
      <c r="G110" s="474">
        <v>1.73</v>
      </c>
      <c r="H110" s="474">
        <v>1281625.45</v>
      </c>
      <c r="I110" s="474">
        <v>972728.54</v>
      </c>
      <c r="J110" s="474">
        <v>1619962.17</v>
      </c>
      <c r="K110" s="474">
        <v>1.65</v>
      </c>
      <c r="L110" s="474">
        <v>1619969.83</v>
      </c>
    </row>
    <row r="111" spans="1:12" ht="11.45" customHeight="1" x14ac:dyDescent="0.25">
      <c r="A111" s="417"/>
      <c r="B111" s="417" t="s">
        <v>1389</v>
      </c>
      <c r="C111" s="474">
        <v>2000</v>
      </c>
      <c r="D111" s="474">
        <v>2000</v>
      </c>
      <c r="E111" s="474">
        <v>0</v>
      </c>
      <c r="F111" s="474">
        <v>0</v>
      </c>
      <c r="G111" s="474">
        <v>0</v>
      </c>
      <c r="H111" s="474">
        <v>2000</v>
      </c>
      <c r="I111" s="474">
        <v>0</v>
      </c>
      <c r="J111" s="474">
        <v>0</v>
      </c>
      <c r="K111" s="474">
        <v>0</v>
      </c>
      <c r="L111" s="474">
        <v>2000</v>
      </c>
    </row>
    <row r="112" spans="1:12" ht="11.45" customHeight="1" x14ac:dyDescent="0.25">
      <c r="A112" s="417"/>
      <c r="B112" s="417" t="s">
        <v>1390</v>
      </c>
      <c r="C112" s="474">
        <v>3236232</v>
      </c>
      <c r="D112" s="474">
        <v>3237932</v>
      </c>
      <c r="E112" s="474">
        <v>318535.28999999998</v>
      </c>
      <c r="F112" s="474">
        <v>1958306.55</v>
      </c>
      <c r="G112" s="474">
        <v>1.73</v>
      </c>
      <c r="H112" s="474">
        <v>1279625.45</v>
      </c>
      <c r="I112" s="474">
        <v>972728.54</v>
      </c>
      <c r="J112" s="474">
        <v>1619962.17</v>
      </c>
      <c r="K112" s="474">
        <v>1.65</v>
      </c>
      <c r="L112" s="474">
        <v>1617969.83</v>
      </c>
    </row>
    <row r="113" spans="1:12" ht="11.45" customHeight="1" x14ac:dyDescent="0.25">
      <c r="A113" s="417" t="s">
        <v>1391</v>
      </c>
      <c r="B113" s="417"/>
      <c r="C113" s="474">
        <v>5156693.74</v>
      </c>
      <c r="D113" s="474">
        <v>4419993.74</v>
      </c>
      <c r="E113" s="474">
        <v>0</v>
      </c>
      <c r="F113" s="474">
        <v>0</v>
      </c>
      <c r="G113" s="474">
        <v>0</v>
      </c>
      <c r="H113" s="474">
        <v>4419993.74</v>
      </c>
      <c r="I113" s="474">
        <v>0</v>
      </c>
      <c r="J113" s="474">
        <v>0</v>
      </c>
      <c r="K113" s="474">
        <v>0</v>
      </c>
      <c r="L113" s="474">
        <v>4419993.74</v>
      </c>
    </row>
    <row r="114" spans="1:12" ht="11.45" customHeight="1" x14ac:dyDescent="0.25">
      <c r="A114" s="417"/>
      <c r="B114" s="417" t="s">
        <v>1391</v>
      </c>
      <c r="C114" s="474">
        <v>5156693.74</v>
      </c>
      <c r="D114" s="474">
        <v>4419993.74</v>
      </c>
      <c r="E114" s="474">
        <v>0</v>
      </c>
      <c r="F114" s="474">
        <v>0</v>
      </c>
      <c r="G114" s="474">
        <v>0</v>
      </c>
      <c r="H114" s="474">
        <v>4419993.74</v>
      </c>
      <c r="I114" s="474">
        <v>0</v>
      </c>
      <c r="J114" s="474">
        <v>0</v>
      </c>
      <c r="K114" s="474">
        <v>0</v>
      </c>
      <c r="L114" s="474">
        <v>4419993.74</v>
      </c>
    </row>
    <row r="115" spans="1:12" ht="11.45" customHeight="1" x14ac:dyDescent="0.25">
      <c r="A115" s="417" t="s">
        <v>1392</v>
      </c>
      <c r="B115" s="417"/>
      <c r="C115" s="474">
        <v>40210159.060000002</v>
      </c>
      <c r="D115" s="474">
        <v>39815649.060000002</v>
      </c>
      <c r="E115" s="474">
        <v>5445894.9699999997</v>
      </c>
      <c r="F115" s="474">
        <v>15932753.949999999</v>
      </c>
      <c r="G115" s="474">
        <v>14.0900417023275</v>
      </c>
      <c r="H115" s="474">
        <v>23882895.109999999</v>
      </c>
      <c r="I115" s="474">
        <v>5445894.9699999997</v>
      </c>
      <c r="J115" s="474">
        <v>15932753.949999999</v>
      </c>
      <c r="K115" s="474">
        <v>16.259033821666701</v>
      </c>
      <c r="L115" s="474">
        <v>23882895.109999999</v>
      </c>
    </row>
    <row r="116" spans="1:12" ht="11.45" customHeight="1" x14ac:dyDescent="0.25">
      <c r="A116" s="417" t="s">
        <v>1393</v>
      </c>
      <c r="B116" s="417"/>
      <c r="C116" s="474">
        <v>229039611.56</v>
      </c>
      <c r="D116" s="474">
        <v>240252825.27000001</v>
      </c>
      <c r="E116" s="474">
        <v>35719109.460000001</v>
      </c>
      <c r="F116" s="474">
        <v>113078117.77</v>
      </c>
      <c r="G116" s="474" t="s">
        <v>1675</v>
      </c>
      <c r="H116" s="474">
        <v>127174707.5</v>
      </c>
      <c r="I116" s="474">
        <v>35262400.479999997</v>
      </c>
      <c r="J116" s="474">
        <v>97993239.480000004</v>
      </c>
      <c r="K116" s="474" t="s">
        <v>1675</v>
      </c>
      <c r="L116" s="474">
        <v>142259585.78999999</v>
      </c>
    </row>
    <row r="117" spans="1:12" ht="11.45" customHeight="1" x14ac:dyDescent="0.25">
      <c r="A117" s="417" t="s">
        <v>1394</v>
      </c>
      <c r="B117" s="417"/>
      <c r="C117" s="474">
        <v>40210159.060000002</v>
      </c>
      <c r="D117" s="474">
        <v>39815649.060000002</v>
      </c>
      <c r="E117" s="474">
        <v>5445894.9699999997</v>
      </c>
      <c r="F117" s="474">
        <v>15932753.949999999</v>
      </c>
      <c r="G117" s="474">
        <v>14.0900417023275</v>
      </c>
      <c r="H117" s="474">
        <v>23882895.109999999</v>
      </c>
      <c r="I117" s="474">
        <v>5445894.9699999997</v>
      </c>
      <c r="J117" s="474">
        <v>15932753.949999999</v>
      </c>
      <c r="K117" s="474">
        <v>16.259033821666701</v>
      </c>
      <c r="L117" s="474">
        <v>23882895.109999999</v>
      </c>
    </row>
    <row r="118" spans="1:12" ht="11.45" customHeight="1" x14ac:dyDescent="0.25">
      <c r="A118" s="417" t="s">
        <v>1317</v>
      </c>
      <c r="B118" s="417"/>
      <c r="C118" s="474">
        <v>585000</v>
      </c>
      <c r="D118" s="474">
        <v>585000</v>
      </c>
      <c r="E118" s="474">
        <v>94122.38</v>
      </c>
      <c r="F118" s="474">
        <v>284217.28000000003</v>
      </c>
      <c r="G118" s="474">
        <v>0.25</v>
      </c>
      <c r="H118" s="474">
        <v>300782.71999999997</v>
      </c>
      <c r="I118" s="474">
        <v>94122.38</v>
      </c>
      <c r="J118" s="474">
        <v>284217.28000000003</v>
      </c>
      <c r="K118" s="474">
        <v>0.28999999999999998</v>
      </c>
      <c r="L118" s="474">
        <v>300782.71999999997</v>
      </c>
    </row>
    <row r="119" spans="1:12" ht="11.45" customHeight="1" x14ac:dyDescent="0.25">
      <c r="A119" s="417"/>
      <c r="B119" s="417" t="s">
        <v>1318</v>
      </c>
      <c r="C119" s="474">
        <v>585000</v>
      </c>
      <c r="D119" s="474">
        <v>585000</v>
      </c>
      <c r="E119" s="474">
        <v>94122.38</v>
      </c>
      <c r="F119" s="474">
        <v>284217.28000000003</v>
      </c>
      <c r="G119" s="474">
        <v>0.25</v>
      </c>
      <c r="H119" s="474">
        <v>300782.71999999997</v>
      </c>
      <c r="I119" s="474">
        <v>94122.38</v>
      </c>
      <c r="J119" s="474">
        <v>284217.28000000003</v>
      </c>
      <c r="K119" s="474">
        <v>0.28999999999999998</v>
      </c>
      <c r="L119" s="474">
        <v>300782.71999999997</v>
      </c>
    </row>
    <row r="120" spans="1:12" ht="11.45" customHeight="1" x14ac:dyDescent="0.25">
      <c r="A120" s="417" t="s">
        <v>1321</v>
      </c>
      <c r="B120" s="417"/>
      <c r="C120" s="474">
        <v>6810893.8200000003</v>
      </c>
      <c r="D120" s="474">
        <v>6819543.8200000003</v>
      </c>
      <c r="E120" s="474">
        <v>1058401.6000000001</v>
      </c>
      <c r="F120" s="474">
        <v>2890217.05</v>
      </c>
      <c r="G120" s="474">
        <v>2.56</v>
      </c>
      <c r="H120" s="474">
        <v>3929326.77</v>
      </c>
      <c r="I120" s="474">
        <v>1058401.6000000001</v>
      </c>
      <c r="J120" s="474">
        <v>2890217.05</v>
      </c>
      <c r="K120" s="474">
        <v>2.95</v>
      </c>
      <c r="L120" s="474">
        <v>3929326.77</v>
      </c>
    </row>
    <row r="121" spans="1:12" ht="11.45" customHeight="1" x14ac:dyDescent="0.25">
      <c r="A121" s="417"/>
      <c r="B121" s="417" t="s">
        <v>1323</v>
      </c>
      <c r="C121" s="474">
        <v>1623078.57</v>
      </c>
      <c r="D121" s="474">
        <v>1620828.57</v>
      </c>
      <c r="E121" s="474">
        <v>267081.21000000002</v>
      </c>
      <c r="F121" s="474">
        <v>783258.85</v>
      </c>
      <c r="G121" s="474">
        <v>0.69</v>
      </c>
      <c r="H121" s="474">
        <v>837569.72</v>
      </c>
      <c r="I121" s="474">
        <v>267081.21000000002</v>
      </c>
      <c r="J121" s="474">
        <v>783258.85</v>
      </c>
      <c r="K121" s="474">
        <v>0.8</v>
      </c>
      <c r="L121" s="474">
        <v>837569.72</v>
      </c>
    </row>
    <row r="122" spans="1:12" ht="11.45" customHeight="1" x14ac:dyDescent="0.25">
      <c r="A122" s="417"/>
      <c r="B122" s="417" t="s">
        <v>1345</v>
      </c>
      <c r="C122" s="474">
        <v>5187815.25</v>
      </c>
      <c r="D122" s="474">
        <v>5198715.25</v>
      </c>
      <c r="E122" s="474">
        <v>791320.39</v>
      </c>
      <c r="F122" s="474">
        <v>2106958.2000000002</v>
      </c>
      <c r="G122" s="474">
        <v>1.86</v>
      </c>
      <c r="H122" s="474">
        <v>3091757.05</v>
      </c>
      <c r="I122" s="474">
        <v>791320.39</v>
      </c>
      <c r="J122" s="474">
        <v>2106958.2000000002</v>
      </c>
      <c r="K122" s="474">
        <v>2.15</v>
      </c>
      <c r="L122" s="474">
        <v>3091757.05</v>
      </c>
    </row>
    <row r="123" spans="1:12" ht="11.45" customHeight="1" x14ac:dyDescent="0.25">
      <c r="A123" s="417" t="s">
        <v>1335</v>
      </c>
      <c r="B123" s="417"/>
      <c r="C123" s="474">
        <v>1</v>
      </c>
      <c r="D123" s="474">
        <v>1</v>
      </c>
      <c r="E123" s="474">
        <v>0</v>
      </c>
      <c r="F123" s="474">
        <v>0</v>
      </c>
      <c r="G123" s="474">
        <v>0</v>
      </c>
      <c r="H123" s="474">
        <v>1</v>
      </c>
      <c r="I123" s="474">
        <v>0</v>
      </c>
      <c r="J123" s="474">
        <v>0</v>
      </c>
      <c r="K123" s="474">
        <v>0</v>
      </c>
      <c r="L123" s="474">
        <v>1</v>
      </c>
    </row>
    <row r="124" spans="1:12" ht="11.45" customHeight="1" x14ac:dyDescent="0.25">
      <c r="A124" s="417"/>
      <c r="B124" s="417" t="s">
        <v>1336</v>
      </c>
      <c r="C124" s="474">
        <v>1</v>
      </c>
      <c r="D124" s="474">
        <v>1</v>
      </c>
      <c r="E124" s="474">
        <v>0</v>
      </c>
      <c r="F124" s="474">
        <v>0</v>
      </c>
      <c r="G124" s="474">
        <v>0</v>
      </c>
      <c r="H124" s="474">
        <v>1</v>
      </c>
      <c r="I124" s="474">
        <v>0</v>
      </c>
      <c r="J124" s="474">
        <v>0</v>
      </c>
      <c r="K124" s="474">
        <v>0</v>
      </c>
      <c r="L124" s="474">
        <v>1</v>
      </c>
    </row>
    <row r="125" spans="1:12" ht="11.45" customHeight="1" x14ac:dyDescent="0.25">
      <c r="A125" s="417" t="s">
        <v>1347</v>
      </c>
      <c r="B125" s="417"/>
      <c r="C125" s="474">
        <v>2618833.15</v>
      </c>
      <c r="D125" s="474">
        <v>2619833.15</v>
      </c>
      <c r="E125" s="474">
        <v>359258.8</v>
      </c>
      <c r="F125" s="474">
        <v>1076475.3</v>
      </c>
      <c r="G125" s="474">
        <v>0.95</v>
      </c>
      <c r="H125" s="474">
        <v>1543357.85</v>
      </c>
      <c r="I125" s="474">
        <v>359258.8</v>
      </c>
      <c r="J125" s="474">
        <v>1076475.3</v>
      </c>
      <c r="K125" s="474">
        <v>1.1000000000000001</v>
      </c>
      <c r="L125" s="474">
        <v>1543357.85</v>
      </c>
    </row>
    <row r="126" spans="1:12" ht="11.45" customHeight="1" x14ac:dyDescent="0.25">
      <c r="A126" s="417"/>
      <c r="B126" s="417" t="s">
        <v>1323</v>
      </c>
      <c r="C126" s="474">
        <v>83302.63</v>
      </c>
      <c r="D126" s="474">
        <v>83302.63</v>
      </c>
      <c r="E126" s="474">
        <v>13109.93</v>
      </c>
      <c r="F126" s="474">
        <v>37799.1</v>
      </c>
      <c r="G126" s="474">
        <v>0.03</v>
      </c>
      <c r="H126" s="474">
        <v>45503.53</v>
      </c>
      <c r="I126" s="474">
        <v>13109.93</v>
      </c>
      <c r="J126" s="474">
        <v>37799.1</v>
      </c>
      <c r="K126" s="474">
        <v>0.04</v>
      </c>
      <c r="L126" s="474">
        <v>45503.53</v>
      </c>
    </row>
    <row r="127" spans="1:12" ht="11.45" customHeight="1" x14ac:dyDescent="0.25">
      <c r="A127" s="417"/>
      <c r="B127" s="417" t="s">
        <v>1348</v>
      </c>
      <c r="C127" s="474">
        <v>1011282.03</v>
      </c>
      <c r="D127" s="474">
        <v>1011282.03</v>
      </c>
      <c r="E127" s="474">
        <v>142850.04999999999</v>
      </c>
      <c r="F127" s="474">
        <v>436905.86</v>
      </c>
      <c r="G127" s="474">
        <v>0.39</v>
      </c>
      <c r="H127" s="474">
        <v>574376.17000000004</v>
      </c>
      <c r="I127" s="474">
        <v>142850.04999999999</v>
      </c>
      <c r="J127" s="474">
        <v>436905.86</v>
      </c>
      <c r="K127" s="474">
        <v>0.45</v>
      </c>
      <c r="L127" s="474">
        <v>574376.17000000004</v>
      </c>
    </row>
    <row r="128" spans="1:12" ht="11.45" customHeight="1" x14ac:dyDescent="0.25">
      <c r="A128" s="417"/>
      <c r="B128" s="417" t="s">
        <v>1346</v>
      </c>
      <c r="C128" s="474">
        <v>1388118.69</v>
      </c>
      <c r="D128" s="474">
        <v>1388118.69</v>
      </c>
      <c r="E128" s="474">
        <v>181122.22</v>
      </c>
      <c r="F128" s="474">
        <v>535862.81000000006</v>
      </c>
      <c r="G128" s="474">
        <v>0.47</v>
      </c>
      <c r="H128" s="474">
        <v>852255.88</v>
      </c>
      <c r="I128" s="474">
        <v>181122.22</v>
      </c>
      <c r="J128" s="474">
        <v>535862.81000000006</v>
      </c>
      <c r="K128" s="474">
        <v>0.55000000000000004</v>
      </c>
      <c r="L128" s="474">
        <v>852255.88</v>
      </c>
    </row>
    <row r="129" spans="1:12" ht="11.45" customHeight="1" x14ac:dyDescent="0.25">
      <c r="A129" s="417"/>
      <c r="B129" s="417" t="s">
        <v>1349</v>
      </c>
      <c r="C129" s="474">
        <v>32660.799999999999</v>
      </c>
      <c r="D129" s="474">
        <v>33660.800000000003</v>
      </c>
      <c r="E129" s="474">
        <v>4974.59</v>
      </c>
      <c r="F129" s="474">
        <v>14810.52</v>
      </c>
      <c r="G129" s="474">
        <v>0.01</v>
      </c>
      <c r="H129" s="474">
        <v>18850.28</v>
      </c>
      <c r="I129" s="474">
        <v>4974.59</v>
      </c>
      <c r="J129" s="474">
        <v>14810.52</v>
      </c>
      <c r="K129" s="474">
        <v>0.02</v>
      </c>
      <c r="L129" s="474">
        <v>18850.28</v>
      </c>
    </row>
    <row r="130" spans="1:12" ht="11.45" customHeight="1" x14ac:dyDescent="0.25">
      <c r="A130" s="417"/>
      <c r="B130" s="417" t="s">
        <v>1350</v>
      </c>
      <c r="C130" s="474">
        <v>12036.93</v>
      </c>
      <c r="D130" s="474">
        <v>12036.93</v>
      </c>
      <c r="E130" s="474">
        <v>3219.91</v>
      </c>
      <c r="F130" s="474">
        <v>9617.99</v>
      </c>
      <c r="G130" s="474">
        <v>0.01</v>
      </c>
      <c r="H130" s="474">
        <v>2418.94</v>
      </c>
      <c r="I130" s="474">
        <v>3219.91</v>
      </c>
      <c r="J130" s="474">
        <v>9617.99</v>
      </c>
      <c r="K130" s="474">
        <v>0.01</v>
      </c>
      <c r="L130" s="474">
        <v>2418.94</v>
      </c>
    </row>
    <row r="131" spans="1:12" ht="11.45" customHeight="1" x14ac:dyDescent="0.25">
      <c r="A131" s="417"/>
      <c r="B131" s="417" t="s">
        <v>1351</v>
      </c>
      <c r="C131" s="474">
        <v>91432.07</v>
      </c>
      <c r="D131" s="474">
        <v>91432.07</v>
      </c>
      <c r="E131" s="474">
        <v>13982.1</v>
      </c>
      <c r="F131" s="474">
        <v>41479.019999999997</v>
      </c>
      <c r="G131" s="474">
        <v>0.04</v>
      </c>
      <c r="H131" s="474">
        <v>49953.05</v>
      </c>
      <c r="I131" s="474">
        <v>13982.1</v>
      </c>
      <c r="J131" s="474">
        <v>41479.019999999997</v>
      </c>
      <c r="K131" s="474">
        <v>0.04</v>
      </c>
      <c r="L131" s="474">
        <v>49953.05</v>
      </c>
    </row>
    <row r="132" spans="1:12" ht="11.45" customHeight="1" x14ac:dyDescent="0.25">
      <c r="A132" s="417" t="s">
        <v>1352</v>
      </c>
      <c r="B132" s="417"/>
      <c r="C132" s="474">
        <v>17942438.030000001</v>
      </c>
      <c r="D132" s="474">
        <v>17538278.030000001</v>
      </c>
      <c r="E132" s="474">
        <v>2104064.37</v>
      </c>
      <c r="F132" s="474">
        <v>6181742.4299999997</v>
      </c>
      <c r="G132" s="474">
        <v>5.47</v>
      </c>
      <c r="H132" s="474">
        <v>11356535.6</v>
      </c>
      <c r="I132" s="474">
        <v>2104064.37</v>
      </c>
      <c r="J132" s="474">
        <v>6181742.4299999997</v>
      </c>
      <c r="K132" s="474">
        <v>6.31</v>
      </c>
      <c r="L132" s="474">
        <v>11356535.6</v>
      </c>
    </row>
    <row r="133" spans="1:12" ht="11.45" customHeight="1" x14ac:dyDescent="0.25">
      <c r="A133" s="417"/>
      <c r="B133" s="417" t="s">
        <v>1353</v>
      </c>
      <c r="C133" s="474">
        <v>13271444.1</v>
      </c>
      <c r="D133" s="474">
        <v>12837224.1</v>
      </c>
      <c r="E133" s="474">
        <v>1369491.78</v>
      </c>
      <c r="F133" s="474">
        <v>4049098.04</v>
      </c>
      <c r="G133" s="474">
        <v>3.58</v>
      </c>
      <c r="H133" s="474">
        <v>8788126.0600000005</v>
      </c>
      <c r="I133" s="474">
        <v>1369491.78</v>
      </c>
      <c r="J133" s="474">
        <v>4049098.04</v>
      </c>
      <c r="K133" s="474">
        <v>4.13</v>
      </c>
      <c r="L133" s="474">
        <v>8788126.0600000005</v>
      </c>
    </row>
    <row r="134" spans="1:12" ht="11.45" customHeight="1" x14ac:dyDescent="0.25">
      <c r="A134" s="417"/>
      <c r="B134" s="417" t="s">
        <v>1355</v>
      </c>
      <c r="C134" s="474">
        <v>3173069.14</v>
      </c>
      <c r="D134" s="474">
        <v>3178829.14</v>
      </c>
      <c r="E134" s="474">
        <v>504679.18</v>
      </c>
      <c r="F134" s="474">
        <v>1495033.99</v>
      </c>
      <c r="G134" s="474">
        <v>1.32</v>
      </c>
      <c r="H134" s="474">
        <v>1683795.15</v>
      </c>
      <c r="I134" s="474">
        <v>504679.18</v>
      </c>
      <c r="J134" s="474">
        <v>1495033.99</v>
      </c>
      <c r="K134" s="474">
        <v>1.53</v>
      </c>
      <c r="L134" s="474">
        <v>1683795.15</v>
      </c>
    </row>
    <row r="135" spans="1:12" ht="11.45" customHeight="1" x14ac:dyDescent="0.25">
      <c r="A135" s="417"/>
      <c r="B135" s="417" t="s">
        <v>1356</v>
      </c>
      <c r="C135" s="474">
        <v>245140.35</v>
      </c>
      <c r="D135" s="474">
        <v>253140.35</v>
      </c>
      <c r="E135" s="474">
        <v>63143.92</v>
      </c>
      <c r="F135" s="474">
        <v>177700.24</v>
      </c>
      <c r="G135" s="474">
        <v>0.16</v>
      </c>
      <c r="H135" s="474">
        <v>75440.11</v>
      </c>
      <c r="I135" s="474">
        <v>63143.92</v>
      </c>
      <c r="J135" s="474">
        <v>177700.24</v>
      </c>
      <c r="K135" s="474">
        <v>0.18</v>
      </c>
      <c r="L135" s="474">
        <v>75440.11</v>
      </c>
    </row>
    <row r="136" spans="1:12" ht="11.45" customHeight="1" x14ac:dyDescent="0.25">
      <c r="A136" s="417"/>
      <c r="B136" s="417" t="s">
        <v>1357</v>
      </c>
      <c r="C136" s="474">
        <v>723045.73</v>
      </c>
      <c r="D136" s="474">
        <v>723045.73</v>
      </c>
      <c r="E136" s="474">
        <v>110691.78</v>
      </c>
      <c r="F136" s="474">
        <v>319538.62</v>
      </c>
      <c r="G136" s="474">
        <v>0.28000000000000003</v>
      </c>
      <c r="H136" s="474">
        <v>403507.11</v>
      </c>
      <c r="I136" s="474">
        <v>110691.78</v>
      </c>
      <c r="J136" s="474">
        <v>319538.62</v>
      </c>
      <c r="K136" s="474">
        <v>0.33</v>
      </c>
      <c r="L136" s="474">
        <v>403507.11</v>
      </c>
    </row>
    <row r="137" spans="1:12" ht="11.45" customHeight="1" x14ac:dyDescent="0.25">
      <c r="A137" s="417"/>
      <c r="B137" s="417" t="s">
        <v>1502</v>
      </c>
      <c r="C137" s="474">
        <v>529738.71</v>
      </c>
      <c r="D137" s="474">
        <v>546038.71</v>
      </c>
      <c r="E137" s="474">
        <v>56057.71</v>
      </c>
      <c r="F137" s="474">
        <v>140371.54</v>
      </c>
      <c r="G137" s="474">
        <v>0.12</v>
      </c>
      <c r="H137" s="474">
        <v>405667.17</v>
      </c>
      <c r="I137" s="474">
        <v>56057.71</v>
      </c>
      <c r="J137" s="474">
        <v>140371.54</v>
      </c>
      <c r="K137" s="474">
        <v>0.14000000000000001</v>
      </c>
      <c r="L137" s="474">
        <v>405667.17</v>
      </c>
    </row>
    <row r="138" spans="1:12" ht="11.45" customHeight="1" x14ac:dyDescent="0.25">
      <c r="A138" s="417" t="s">
        <v>1370</v>
      </c>
      <c r="B138" s="417"/>
      <c r="C138" s="474">
        <v>1</v>
      </c>
      <c r="D138" s="474">
        <v>1</v>
      </c>
      <c r="E138" s="474">
        <v>0</v>
      </c>
      <c r="F138" s="474">
        <v>0</v>
      </c>
      <c r="G138" s="474">
        <v>0</v>
      </c>
      <c r="H138" s="474">
        <v>1</v>
      </c>
      <c r="I138" s="474">
        <v>0</v>
      </c>
      <c r="J138" s="474">
        <v>0</v>
      </c>
      <c r="K138" s="474">
        <v>0</v>
      </c>
      <c r="L138" s="474">
        <v>1</v>
      </c>
    </row>
    <row r="139" spans="1:12" ht="11.45" customHeight="1" x14ac:dyDescent="0.25">
      <c r="A139" s="417"/>
      <c r="B139" s="417" t="s">
        <v>1345</v>
      </c>
      <c r="C139" s="474">
        <v>1</v>
      </c>
      <c r="D139" s="474">
        <v>1</v>
      </c>
      <c r="E139" s="474">
        <v>0</v>
      </c>
      <c r="F139" s="474">
        <v>0</v>
      </c>
      <c r="G139" s="474">
        <v>0</v>
      </c>
      <c r="H139" s="474">
        <v>1</v>
      </c>
      <c r="I139" s="474">
        <v>0</v>
      </c>
      <c r="J139" s="474">
        <v>0</v>
      </c>
      <c r="K139" s="474">
        <v>0</v>
      </c>
      <c r="L139" s="474">
        <v>1</v>
      </c>
    </row>
    <row r="140" spans="1:12" ht="11.45" customHeight="1" x14ac:dyDescent="0.25">
      <c r="A140" s="417" t="s">
        <v>1388</v>
      </c>
      <c r="B140" s="417"/>
      <c r="C140" s="474">
        <v>12252992.060000001</v>
      </c>
      <c r="D140" s="474">
        <v>12252992.060000001</v>
      </c>
      <c r="E140" s="474">
        <v>1830047.82</v>
      </c>
      <c r="F140" s="474">
        <v>5500101.8899999997</v>
      </c>
      <c r="G140" s="474">
        <v>4.8600000000000003</v>
      </c>
      <c r="H140" s="474">
        <v>6752890.1699999999</v>
      </c>
      <c r="I140" s="474">
        <v>1830047.82</v>
      </c>
      <c r="J140" s="474">
        <v>5500101.8899999997</v>
      </c>
      <c r="K140" s="474">
        <v>5.61</v>
      </c>
      <c r="L140" s="474">
        <v>6752890.1699999999</v>
      </c>
    </row>
    <row r="141" spans="1:12" ht="11.45" customHeight="1" x14ac:dyDescent="0.25">
      <c r="A141" s="417"/>
      <c r="B141" s="417" t="s">
        <v>1345</v>
      </c>
      <c r="C141" s="474">
        <v>12246495.060000001</v>
      </c>
      <c r="D141" s="474">
        <v>12246495.060000001</v>
      </c>
      <c r="E141" s="474">
        <v>1830047.82</v>
      </c>
      <c r="F141" s="474">
        <v>5500101.8899999997</v>
      </c>
      <c r="G141" s="474">
        <v>4.8600000000000003</v>
      </c>
      <c r="H141" s="474">
        <v>6746393.1699999999</v>
      </c>
      <c r="I141" s="474">
        <v>1830047.82</v>
      </c>
      <c r="J141" s="474">
        <v>5500101.8899999997</v>
      </c>
      <c r="K141" s="474">
        <v>5.61</v>
      </c>
      <c r="L141" s="474">
        <v>6746393.1699999999</v>
      </c>
    </row>
    <row r="142" spans="1:12" ht="11.45" customHeight="1" x14ac:dyDescent="0.25">
      <c r="A142" s="417"/>
      <c r="B142" s="417" t="s">
        <v>1389</v>
      </c>
      <c r="C142" s="627">
        <v>1497</v>
      </c>
      <c r="D142" s="627">
        <v>1497</v>
      </c>
      <c r="E142" s="474">
        <v>0</v>
      </c>
      <c r="F142" s="474">
        <v>0</v>
      </c>
      <c r="G142" s="474">
        <v>0</v>
      </c>
      <c r="H142" s="474">
        <v>1497</v>
      </c>
      <c r="I142" s="474">
        <v>0</v>
      </c>
      <c r="J142" s="474">
        <v>0</v>
      </c>
      <c r="K142" s="474">
        <v>0</v>
      </c>
      <c r="L142" s="474">
        <v>1497</v>
      </c>
    </row>
    <row r="143" spans="1:12" ht="11.45" customHeight="1" x14ac:dyDescent="0.25">
      <c r="B143" t="s">
        <v>1390</v>
      </c>
      <c r="C143" s="627">
        <v>5000</v>
      </c>
      <c r="D143" s="627">
        <v>5000</v>
      </c>
      <c r="E143" s="417">
        <v>0</v>
      </c>
      <c r="F143" s="417">
        <v>0</v>
      </c>
      <c r="G143" s="417">
        <v>0</v>
      </c>
      <c r="H143" s="627">
        <v>5000</v>
      </c>
      <c r="I143" s="417">
        <v>0</v>
      </c>
      <c r="J143" s="417">
        <v>0</v>
      </c>
      <c r="K143" s="417">
        <v>0</v>
      </c>
      <c r="L143" s="627">
        <v>5000</v>
      </c>
    </row>
    <row r="144" spans="1:12" s="666" customFormat="1" x14ac:dyDescent="0.25">
      <c r="A144" s="666" t="s">
        <v>58</v>
      </c>
      <c r="C144" s="667">
        <v>40210159.060000002</v>
      </c>
      <c r="D144" s="667">
        <v>39815649.060000002</v>
      </c>
      <c r="E144" s="667">
        <v>5445894.9699999997</v>
      </c>
      <c r="F144" s="667">
        <v>15932753.949999999</v>
      </c>
      <c r="G144" s="667">
        <v>14.0900417023275</v>
      </c>
      <c r="H144" s="667">
        <v>23882895.109999999</v>
      </c>
      <c r="I144" s="667">
        <v>5445894.9699999997</v>
      </c>
      <c r="J144" s="667">
        <v>15932753.949999999</v>
      </c>
      <c r="K144" s="667">
        <v>16.259033821666701</v>
      </c>
      <c r="L144" s="667">
        <v>23882895.109999999</v>
      </c>
    </row>
    <row r="152" spans="1:1" x14ac:dyDescent="0.25">
      <c r="A152" t="s">
        <v>1551</v>
      </c>
    </row>
    <row r="153" spans="1:1" x14ac:dyDescent="0.25">
      <c r="A153" t="s">
        <v>1552</v>
      </c>
    </row>
    <row r="154" spans="1:1" x14ac:dyDescent="0.25">
      <c r="A154" t="s">
        <v>2198</v>
      </c>
    </row>
    <row r="155" spans="1:1" x14ac:dyDescent="0.25">
      <c r="A155" t="s">
        <v>1553</v>
      </c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6"/>
  <sheetViews>
    <sheetView zoomScaleNormal="100" workbookViewId="0">
      <selection activeCell="S36" sqref="S36"/>
    </sheetView>
  </sheetViews>
  <sheetFormatPr defaultRowHeight="15" x14ac:dyDescent="0.25"/>
  <cols>
    <col min="1" max="1" width="27.5703125" style="478" customWidth="1"/>
    <col min="2" max="2" width="5" style="478" customWidth="1"/>
    <col min="3" max="3" width="9.140625" style="478" customWidth="1"/>
    <col min="4" max="4" width="3" style="478" customWidth="1"/>
    <col min="5" max="5" width="6.28515625" style="478" customWidth="1"/>
    <col min="6" max="6" width="9.140625" style="478" customWidth="1"/>
    <col min="7" max="7" width="8.140625" style="478" customWidth="1"/>
    <col min="8" max="8" width="0.85546875" style="478" customWidth="1"/>
    <col min="9" max="9" width="5.140625" style="478" customWidth="1"/>
    <col min="10" max="10" width="4" style="478" customWidth="1"/>
    <col min="11" max="11" width="7.140625" style="478" customWidth="1"/>
    <col min="12" max="12" width="2.140625" style="478" customWidth="1"/>
    <col min="13" max="13" width="9.140625" style="478" customWidth="1"/>
    <col min="14" max="16384" width="9.140625" style="478"/>
  </cols>
  <sheetData>
    <row r="1" spans="1:13" ht="11.65" customHeight="1" x14ac:dyDescent="0.25">
      <c r="A1" s="797" t="s">
        <v>134</v>
      </c>
      <c r="B1" s="797"/>
      <c r="C1" s="797"/>
      <c r="D1" s="797"/>
      <c r="L1" s="798" t="s">
        <v>135</v>
      </c>
      <c r="M1" s="798"/>
    </row>
    <row r="2" spans="1:13" ht="10.9" customHeight="1" x14ac:dyDescent="0.25">
      <c r="A2" s="797" t="s">
        <v>1</v>
      </c>
      <c r="B2" s="797"/>
      <c r="C2" s="797"/>
      <c r="D2" s="797"/>
    </row>
    <row r="3" spans="1:13" ht="11.65" customHeight="1" x14ac:dyDescent="0.25">
      <c r="A3" s="839" t="s">
        <v>225</v>
      </c>
      <c r="B3" s="839"/>
      <c r="C3" s="839"/>
      <c r="D3" s="839"/>
    </row>
    <row r="4" spans="1:13" ht="11.65" customHeight="1" x14ac:dyDescent="0.25">
      <c r="A4" s="797" t="s">
        <v>219</v>
      </c>
      <c r="B4" s="797"/>
      <c r="C4" s="797"/>
      <c r="D4" s="797"/>
    </row>
    <row r="5" spans="1:13" ht="11.65" customHeight="1" x14ac:dyDescent="0.25">
      <c r="A5" s="797" t="s">
        <v>2036</v>
      </c>
      <c r="B5" s="797"/>
      <c r="C5" s="797"/>
      <c r="D5" s="797"/>
    </row>
    <row r="6" spans="1:13" ht="5.85" customHeight="1" x14ac:dyDescent="0.25"/>
    <row r="7" spans="1:13" ht="10.9" customHeight="1" x14ac:dyDescent="0.25">
      <c r="A7" s="729" t="s">
        <v>226</v>
      </c>
      <c r="B7" s="479"/>
      <c r="C7" s="479"/>
      <c r="D7" s="479"/>
      <c r="E7" s="479"/>
      <c r="F7" s="479"/>
      <c r="G7" s="479"/>
      <c r="H7" s="479"/>
      <c r="I7" s="479"/>
      <c r="J7" s="887" t="s">
        <v>107</v>
      </c>
      <c r="K7" s="887"/>
      <c r="L7" s="887"/>
      <c r="M7" s="887"/>
    </row>
    <row r="8" spans="1:13" ht="11.65" customHeight="1" x14ac:dyDescent="0.25">
      <c r="A8" s="799" t="s">
        <v>227</v>
      </c>
      <c r="B8" s="823"/>
      <c r="C8" s="823"/>
      <c r="D8" s="823"/>
      <c r="E8" s="823"/>
      <c r="F8" s="823"/>
      <c r="G8" s="823"/>
      <c r="H8" s="823"/>
      <c r="I8" s="823"/>
      <c r="J8" s="823"/>
      <c r="K8" s="823"/>
      <c r="L8" s="823"/>
      <c r="M8" s="800"/>
    </row>
    <row r="9" spans="1:13" ht="11.65" customHeight="1" x14ac:dyDescent="0.25">
      <c r="A9" s="799" t="s">
        <v>228</v>
      </c>
      <c r="B9" s="851"/>
      <c r="C9" s="851"/>
      <c r="D9" s="851"/>
      <c r="E9" s="826"/>
      <c r="F9" s="873" t="s">
        <v>13</v>
      </c>
      <c r="G9" s="801" t="s">
        <v>1503</v>
      </c>
      <c r="H9" s="802"/>
      <c r="I9" s="802"/>
      <c r="J9" s="802"/>
      <c r="K9" s="802"/>
      <c r="L9" s="802"/>
      <c r="M9" s="803"/>
    </row>
    <row r="10" spans="1:13" ht="11.65" customHeight="1" x14ac:dyDescent="0.25">
      <c r="A10" s="854"/>
      <c r="B10" s="888"/>
      <c r="C10" s="888"/>
      <c r="D10" s="888"/>
      <c r="E10" s="855"/>
      <c r="F10" s="874"/>
      <c r="G10" s="889" t="s">
        <v>14</v>
      </c>
      <c r="H10" s="890"/>
      <c r="I10" s="890"/>
      <c r="J10" s="890"/>
      <c r="K10" s="890"/>
      <c r="L10" s="890"/>
      <c r="M10" s="891"/>
    </row>
    <row r="11" spans="1:13" ht="5.0999999999999996" customHeight="1" x14ac:dyDescent="0.25">
      <c r="A11" s="827"/>
      <c r="B11" s="853"/>
      <c r="C11" s="853"/>
      <c r="D11" s="853"/>
      <c r="E11" s="828"/>
      <c r="F11" s="875"/>
      <c r="G11" s="892" t="s">
        <v>46</v>
      </c>
      <c r="H11" s="893"/>
      <c r="I11" s="893"/>
      <c r="J11" s="893"/>
      <c r="K11" s="893"/>
      <c r="L11" s="893"/>
      <c r="M11" s="894"/>
    </row>
    <row r="12" spans="1:13" ht="11.65" customHeight="1" x14ac:dyDescent="0.25">
      <c r="A12" s="884" t="s">
        <v>229</v>
      </c>
      <c r="B12" s="885"/>
      <c r="C12" s="885"/>
      <c r="D12" s="885"/>
      <c r="E12" s="886"/>
      <c r="F12" s="688" t="s">
        <v>1504</v>
      </c>
      <c r="G12" s="831" t="s">
        <v>2199</v>
      </c>
      <c r="H12" s="805"/>
      <c r="I12" s="805"/>
      <c r="J12" s="805"/>
      <c r="K12" s="805"/>
      <c r="L12" s="805"/>
      <c r="M12" s="804"/>
    </row>
    <row r="13" spans="1:13" ht="11.65" customHeight="1" x14ac:dyDescent="0.25">
      <c r="A13" s="864" t="s">
        <v>230</v>
      </c>
      <c r="B13" s="865"/>
      <c r="C13" s="865"/>
      <c r="D13" s="865"/>
      <c r="E13" s="866"/>
      <c r="F13" s="682" t="s">
        <v>1464</v>
      </c>
      <c r="G13" s="806" t="s">
        <v>2053</v>
      </c>
      <c r="H13" s="807"/>
      <c r="I13" s="807"/>
      <c r="J13" s="807"/>
      <c r="K13" s="807"/>
      <c r="L13" s="807"/>
      <c r="M13" s="808"/>
    </row>
    <row r="14" spans="1:13" ht="11.65" customHeight="1" x14ac:dyDescent="0.25">
      <c r="A14" s="864" t="s">
        <v>231</v>
      </c>
      <c r="B14" s="865"/>
      <c r="C14" s="865"/>
      <c r="D14" s="865"/>
      <c r="E14" s="866"/>
      <c r="F14" s="682" t="s">
        <v>1505</v>
      </c>
      <c r="G14" s="806" t="s">
        <v>2200</v>
      </c>
      <c r="H14" s="807"/>
      <c r="I14" s="807"/>
      <c r="J14" s="807"/>
      <c r="K14" s="807"/>
      <c r="L14" s="807"/>
      <c r="M14" s="808"/>
    </row>
    <row r="15" spans="1:13" ht="10.9" customHeight="1" x14ac:dyDescent="0.25">
      <c r="A15" s="864" t="s">
        <v>232</v>
      </c>
      <c r="B15" s="865"/>
      <c r="C15" s="865"/>
      <c r="D15" s="865"/>
      <c r="E15" s="866"/>
      <c r="F15" s="682" t="s">
        <v>1506</v>
      </c>
      <c r="G15" s="806" t="s">
        <v>2201</v>
      </c>
      <c r="H15" s="807"/>
      <c r="I15" s="807"/>
      <c r="J15" s="807"/>
      <c r="K15" s="807"/>
      <c r="L15" s="807"/>
      <c r="M15" s="808"/>
    </row>
    <row r="16" spans="1:13" ht="11.65" customHeight="1" x14ac:dyDescent="0.25">
      <c r="A16" s="864" t="s">
        <v>233</v>
      </c>
      <c r="B16" s="865"/>
      <c r="C16" s="865"/>
      <c r="D16" s="865"/>
      <c r="E16" s="866"/>
      <c r="F16" s="682" t="s">
        <v>1507</v>
      </c>
      <c r="G16" s="806" t="s">
        <v>2202</v>
      </c>
      <c r="H16" s="807"/>
      <c r="I16" s="807"/>
      <c r="J16" s="807"/>
      <c r="K16" s="807"/>
      <c r="L16" s="807"/>
      <c r="M16" s="808"/>
    </row>
    <row r="17" spans="1:13" ht="11.65" customHeight="1" x14ac:dyDescent="0.25">
      <c r="A17" s="864" t="s">
        <v>234</v>
      </c>
      <c r="B17" s="865"/>
      <c r="C17" s="865"/>
      <c r="D17" s="865"/>
      <c r="E17" s="866"/>
      <c r="F17" s="682" t="s">
        <v>1508</v>
      </c>
      <c r="G17" s="806" t="s">
        <v>2203</v>
      </c>
      <c r="H17" s="807"/>
      <c r="I17" s="807"/>
      <c r="J17" s="807"/>
      <c r="K17" s="807"/>
      <c r="L17" s="807"/>
      <c r="M17" s="808"/>
    </row>
    <row r="18" spans="1:13" ht="11.65" customHeight="1" x14ac:dyDescent="0.25">
      <c r="A18" s="864" t="s">
        <v>235</v>
      </c>
      <c r="B18" s="865"/>
      <c r="C18" s="865"/>
      <c r="D18" s="865"/>
      <c r="E18" s="866"/>
      <c r="F18" s="682" t="s">
        <v>1466</v>
      </c>
      <c r="G18" s="806" t="s">
        <v>2204</v>
      </c>
      <c r="H18" s="807"/>
      <c r="I18" s="807"/>
      <c r="J18" s="807"/>
      <c r="K18" s="807"/>
      <c r="L18" s="807"/>
      <c r="M18" s="808"/>
    </row>
    <row r="19" spans="1:13" ht="10.9" customHeight="1" x14ac:dyDescent="0.25">
      <c r="A19" s="864" t="s">
        <v>236</v>
      </c>
      <c r="B19" s="865"/>
      <c r="C19" s="865"/>
      <c r="D19" s="865"/>
      <c r="E19" s="866"/>
      <c r="F19" s="682" t="s">
        <v>1509</v>
      </c>
      <c r="G19" s="806" t="s">
        <v>2205</v>
      </c>
      <c r="H19" s="807"/>
      <c r="I19" s="807"/>
      <c r="J19" s="807"/>
      <c r="K19" s="807"/>
      <c r="L19" s="807"/>
      <c r="M19" s="808"/>
    </row>
    <row r="20" spans="1:13" ht="11.65" customHeight="1" x14ac:dyDescent="0.25">
      <c r="A20" s="864" t="s">
        <v>237</v>
      </c>
      <c r="B20" s="865"/>
      <c r="C20" s="865"/>
      <c r="D20" s="865"/>
      <c r="E20" s="866"/>
      <c r="F20" s="682" t="s">
        <v>1510</v>
      </c>
      <c r="G20" s="806" t="s">
        <v>2206</v>
      </c>
      <c r="H20" s="807"/>
      <c r="I20" s="807"/>
      <c r="J20" s="807"/>
      <c r="K20" s="807"/>
      <c r="L20" s="807"/>
      <c r="M20" s="808"/>
    </row>
    <row r="21" spans="1:13" ht="11.65" customHeight="1" x14ac:dyDescent="0.25">
      <c r="A21" s="864" t="s">
        <v>238</v>
      </c>
      <c r="B21" s="865"/>
      <c r="C21" s="865"/>
      <c r="D21" s="865"/>
      <c r="E21" s="866"/>
      <c r="F21" s="682" t="s">
        <v>1510</v>
      </c>
      <c r="G21" s="806" t="s">
        <v>2207</v>
      </c>
      <c r="H21" s="807"/>
      <c r="I21" s="807"/>
      <c r="J21" s="807"/>
      <c r="K21" s="807"/>
      <c r="L21" s="807"/>
      <c r="M21" s="808"/>
    </row>
    <row r="22" spans="1:13" ht="11.65" customHeight="1" x14ac:dyDescent="0.25">
      <c r="A22" s="864" t="s">
        <v>239</v>
      </c>
      <c r="B22" s="865"/>
      <c r="C22" s="865"/>
      <c r="D22" s="865"/>
      <c r="E22" s="866"/>
      <c r="F22" s="682" t="s">
        <v>159</v>
      </c>
      <c r="G22" s="806" t="s">
        <v>1668</v>
      </c>
      <c r="H22" s="807"/>
      <c r="I22" s="807"/>
      <c r="J22" s="807"/>
      <c r="K22" s="807"/>
      <c r="L22" s="807"/>
      <c r="M22" s="808"/>
    </row>
    <row r="23" spans="1:13" ht="10.9" customHeight="1" x14ac:dyDescent="0.25">
      <c r="A23" s="864" t="s">
        <v>240</v>
      </c>
      <c r="B23" s="865"/>
      <c r="C23" s="865"/>
      <c r="D23" s="865"/>
      <c r="E23" s="866"/>
      <c r="F23" s="682" t="s">
        <v>1475</v>
      </c>
      <c r="G23" s="806" t="s">
        <v>2114</v>
      </c>
      <c r="H23" s="807"/>
      <c r="I23" s="807"/>
      <c r="J23" s="807"/>
      <c r="K23" s="807"/>
      <c r="L23" s="807"/>
      <c r="M23" s="808"/>
    </row>
    <row r="24" spans="1:13" ht="11.65" customHeight="1" x14ac:dyDescent="0.25">
      <c r="A24" s="864" t="s">
        <v>241</v>
      </c>
      <c r="B24" s="865"/>
      <c r="C24" s="865"/>
      <c r="D24" s="865"/>
      <c r="E24" s="866"/>
      <c r="F24" s="682" t="s">
        <v>1511</v>
      </c>
      <c r="G24" s="806" t="s">
        <v>2208</v>
      </c>
      <c r="H24" s="807"/>
      <c r="I24" s="807"/>
      <c r="J24" s="807"/>
      <c r="K24" s="807"/>
      <c r="L24" s="807"/>
      <c r="M24" s="808"/>
    </row>
    <row r="25" spans="1:13" ht="11.65" customHeight="1" x14ac:dyDescent="0.25">
      <c r="A25" s="864" t="s">
        <v>242</v>
      </c>
      <c r="B25" s="865"/>
      <c r="C25" s="865"/>
      <c r="D25" s="865"/>
      <c r="E25" s="866"/>
      <c r="F25" s="682" t="s">
        <v>1512</v>
      </c>
      <c r="G25" s="806" t="s">
        <v>2209</v>
      </c>
      <c r="H25" s="807"/>
      <c r="I25" s="807"/>
      <c r="J25" s="807"/>
      <c r="K25" s="807"/>
      <c r="L25" s="807"/>
      <c r="M25" s="808"/>
    </row>
    <row r="26" spans="1:13" ht="11.65" customHeight="1" x14ac:dyDescent="0.25">
      <c r="A26" s="864" t="s">
        <v>243</v>
      </c>
      <c r="B26" s="865"/>
      <c r="C26" s="865"/>
      <c r="D26" s="865"/>
      <c r="E26" s="866"/>
      <c r="F26" s="682" t="s">
        <v>1513</v>
      </c>
      <c r="G26" s="806" t="s">
        <v>2210</v>
      </c>
      <c r="H26" s="807"/>
      <c r="I26" s="807"/>
      <c r="J26" s="807"/>
      <c r="K26" s="807"/>
      <c r="L26" s="807"/>
      <c r="M26" s="808"/>
    </row>
    <row r="27" spans="1:13" ht="10.9" customHeight="1" x14ac:dyDescent="0.25">
      <c r="A27" s="864" t="s">
        <v>244</v>
      </c>
      <c r="B27" s="865"/>
      <c r="C27" s="865"/>
      <c r="D27" s="865"/>
      <c r="E27" s="866"/>
      <c r="F27" s="682" t="s">
        <v>1514</v>
      </c>
      <c r="G27" s="806" t="s">
        <v>2211</v>
      </c>
      <c r="H27" s="807"/>
      <c r="I27" s="807"/>
      <c r="J27" s="807"/>
      <c r="K27" s="807"/>
      <c r="L27" s="807"/>
      <c r="M27" s="808"/>
    </row>
    <row r="28" spans="1:13" ht="11.65" customHeight="1" x14ac:dyDescent="0.25">
      <c r="A28" s="864" t="s">
        <v>245</v>
      </c>
      <c r="B28" s="865"/>
      <c r="C28" s="865"/>
      <c r="D28" s="865"/>
      <c r="E28" s="866"/>
      <c r="F28" s="682" t="s">
        <v>1515</v>
      </c>
      <c r="G28" s="806" t="s">
        <v>2212</v>
      </c>
      <c r="H28" s="807"/>
      <c r="I28" s="807"/>
      <c r="J28" s="807"/>
      <c r="K28" s="807"/>
      <c r="L28" s="807"/>
      <c r="M28" s="808"/>
    </row>
    <row r="29" spans="1:13" ht="11.65" customHeight="1" x14ac:dyDescent="0.25">
      <c r="A29" s="864" t="s">
        <v>246</v>
      </c>
      <c r="B29" s="865"/>
      <c r="C29" s="865"/>
      <c r="D29" s="865"/>
      <c r="E29" s="866"/>
      <c r="F29" s="682" t="s">
        <v>1516</v>
      </c>
      <c r="G29" s="806" t="s">
        <v>2213</v>
      </c>
      <c r="H29" s="807"/>
      <c r="I29" s="807"/>
      <c r="J29" s="807"/>
      <c r="K29" s="807"/>
      <c r="L29" s="807"/>
      <c r="M29" s="808"/>
    </row>
    <row r="30" spans="1:13" ht="11.65" customHeight="1" x14ac:dyDescent="0.25">
      <c r="A30" s="864" t="s">
        <v>247</v>
      </c>
      <c r="B30" s="865"/>
      <c r="C30" s="865"/>
      <c r="D30" s="865"/>
      <c r="E30" s="866"/>
      <c r="F30" s="682" t="s">
        <v>1517</v>
      </c>
      <c r="G30" s="806" t="s">
        <v>2214</v>
      </c>
      <c r="H30" s="807"/>
      <c r="I30" s="807"/>
      <c r="J30" s="807"/>
      <c r="K30" s="807"/>
      <c r="L30" s="807"/>
      <c r="M30" s="808"/>
    </row>
    <row r="31" spans="1:13" ht="10.9" customHeight="1" x14ac:dyDescent="0.25">
      <c r="A31" s="864" t="s">
        <v>173</v>
      </c>
      <c r="B31" s="865"/>
      <c r="C31" s="865"/>
      <c r="D31" s="865"/>
      <c r="E31" s="866"/>
      <c r="F31" s="682" t="s">
        <v>1518</v>
      </c>
      <c r="G31" s="806" t="s">
        <v>2215</v>
      </c>
      <c r="H31" s="807"/>
      <c r="I31" s="807"/>
      <c r="J31" s="807"/>
      <c r="K31" s="807"/>
      <c r="L31" s="807"/>
      <c r="M31" s="808"/>
    </row>
    <row r="32" spans="1:13" ht="11.65" customHeight="1" x14ac:dyDescent="0.25">
      <c r="A32" s="864" t="s">
        <v>248</v>
      </c>
      <c r="B32" s="865"/>
      <c r="C32" s="865"/>
      <c r="D32" s="865"/>
      <c r="E32" s="866"/>
      <c r="F32" s="682" t="s">
        <v>1519</v>
      </c>
      <c r="G32" s="806" t="s">
        <v>2216</v>
      </c>
      <c r="H32" s="807"/>
      <c r="I32" s="807"/>
      <c r="J32" s="807"/>
      <c r="K32" s="807"/>
      <c r="L32" s="807"/>
      <c r="M32" s="808"/>
    </row>
    <row r="33" spans="1:13" ht="11.65" customHeight="1" x14ac:dyDescent="0.25">
      <c r="A33" s="864" t="s">
        <v>249</v>
      </c>
      <c r="B33" s="865"/>
      <c r="C33" s="865"/>
      <c r="D33" s="865"/>
      <c r="E33" s="866"/>
      <c r="F33" s="682" t="s">
        <v>1520</v>
      </c>
      <c r="G33" s="806" t="s">
        <v>2217</v>
      </c>
      <c r="H33" s="807"/>
      <c r="I33" s="807"/>
      <c r="J33" s="807"/>
      <c r="K33" s="807"/>
      <c r="L33" s="807"/>
      <c r="M33" s="808"/>
    </row>
    <row r="34" spans="1:13" ht="11.65" customHeight="1" x14ac:dyDescent="0.25">
      <c r="A34" s="864" t="s">
        <v>250</v>
      </c>
      <c r="B34" s="865"/>
      <c r="C34" s="865"/>
      <c r="D34" s="865"/>
      <c r="E34" s="866"/>
      <c r="F34" s="682" t="s">
        <v>1521</v>
      </c>
      <c r="G34" s="806" t="s">
        <v>2218</v>
      </c>
      <c r="H34" s="807"/>
      <c r="I34" s="807"/>
      <c r="J34" s="807"/>
      <c r="K34" s="807"/>
      <c r="L34" s="807"/>
      <c r="M34" s="808"/>
    </row>
    <row r="35" spans="1:13" ht="10.9" customHeight="1" x14ac:dyDescent="0.25">
      <c r="A35" s="864" t="s">
        <v>251</v>
      </c>
      <c r="B35" s="865"/>
      <c r="C35" s="865"/>
      <c r="D35" s="865"/>
      <c r="E35" s="866"/>
      <c r="F35" s="682" t="s">
        <v>1522</v>
      </c>
      <c r="G35" s="806" t="s">
        <v>2219</v>
      </c>
      <c r="H35" s="807"/>
      <c r="I35" s="807"/>
      <c r="J35" s="807"/>
      <c r="K35" s="807"/>
      <c r="L35" s="807"/>
      <c r="M35" s="808"/>
    </row>
    <row r="36" spans="1:13" ht="11.65" customHeight="1" x14ac:dyDescent="0.25">
      <c r="A36" s="864" t="s">
        <v>252</v>
      </c>
      <c r="B36" s="865"/>
      <c r="C36" s="865"/>
      <c r="D36" s="865"/>
      <c r="E36" s="866"/>
      <c r="F36" s="682" t="s">
        <v>1523</v>
      </c>
      <c r="G36" s="806" t="s">
        <v>2220</v>
      </c>
      <c r="H36" s="807"/>
      <c r="I36" s="807"/>
      <c r="J36" s="807"/>
      <c r="K36" s="807"/>
      <c r="L36" s="807"/>
      <c r="M36" s="808"/>
    </row>
    <row r="37" spans="1:13" ht="11.65" customHeight="1" x14ac:dyDescent="0.25">
      <c r="A37" s="864" t="s">
        <v>253</v>
      </c>
      <c r="B37" s="865"/>
      <c r="C37" s="865"/>
      <c r="D37" s="865"/>
      <c r="E37" s="866"/>
      <c r="F37" s="682" t="s">
        <v>1489</v>
      </c>
      <c r="G37" s="806" t="s">
        <v>2154</v>
      </c>
      <c r="H37" s="807"/>
      <c r="I37" s="807"/>
      <c r="J37" s="807"/>
      <c r="K37" s="807"/>
      <c r="L37" s="807"/>
      <c r="M37" s="808"/>
    </row>
    <row r="38" spans="1:13" ht="11.65" customHeight="1" x14ac:dyDescent="0.25">
      <c r="A38" s="864" t="s">
        <v>254</v>
      </c>
      <c r="B38" s="865"/>
      <c r="C38" s="865"/>
      <c r="D38" s="865"/>
      <c r="E38" s="866"/>
      <c r="F38" s="682" t="s">
        <v>1489</v>
      </c>
      <c r="G38" s="806" t="s">
        <v>159</v>
      </c>
      <c r="H38" s="807"/>
      <c r="I38" s="807"/>
      <c r="J38" s="807"/>
      <c r="K38" s="807"/>
      <c r="L38" s="807"/>
      <c r="M38" s="808"/>
    </row>
    <row r="39" spans="1:13" ht="10.9" customHeight="1" x14ac:dyDescent="0.25">
      <c r="A39" s="864" t="s">
        <v>255</v>
      </c>
      <c r="B39" s="865"/>
      <c r="C39" s="865"/>
      <c r="D39" s="865"/>
      <c r="E39" s="866"/>
      <c r="F39" s="682" t="s">
        <v>159</v>
      </c>
      <c r="G39" s="806" t="s">
        <v>2152</v>
      </c>
      <c r="H39" s="807"/>
      <c r="I39" s="807"/>
      <c r="J39" s="807"/>
      <c r="K39" s="807"/>
      <c r="L39" s="807"/>
      <c r="M39" s="808"/>
    </row>
    <row r="40" spans="1:13" ht="11.65" customHeight="1" x14ac:dyDescent="0.25">
      <c r="A40" s="864" t="s">
        <v>256</v>
      </c>
      <c r="B40" s="865"/>
      <c r="C40" s="865"/>
      <c r="D40" s="865"/>
      <c r="E40" s="866"/>
      <c r="F40" s="682" t="s">
        <v>159</v>
      </c>
      <c r="G40" s="806" t="s">
        <v>159</v>
      </c>
      <c r="H40" s="807"/>
      <c r="I40" s="807"/>
      <c r="J40" s="807"/>
      <c r="K40" s="807"/>
      <c r="L40" s="807"/>
      <c r="M40" s="808"/>
    </row>
    <row r="41" spans="1:13" ht="11.65" customHeight="1" x14ac:dyDescent="0.25">
      <c r="A41" s="864" t="s">
        <v>257</v>
      </c>
      <c r="B41" s="865"/>
      <c r="C41" s="865"/>
      <c r="D41" s="865"/>
      <c r="E41" s="866"/>
      <c r="F41" s="682" t="s">
        <v>159</v>
      </c>
      <c r="G41" s="806" t="s">
        <v>159</v>
      </c>
      <c r="H41" s="807"/>
      <c r="I41" s="807"/>
      <c r="J41" s="807"/>
      <c r="K41" s="807"/>
      <c r="L41" s="807"/>
      <c r="M41" s="808"/>
    </row>
    <row r="42" spans="1:13" ht="11.65" customHeight="1" x14ac:dyDescent="0.25">
      <c r="A42" s="864" t="s">
        <v>258</v>
      </c>
      <c r="B42" s="865"/>
      <c r="C42" s="865"/>
      <c r="D42" s="865"/>
      <c r="E42" s="866"/>
      <c r="F42" s="682" t="s">
        <v>159</v>
      </c>
      <c r="G42" s="806" t="s">
        <v>159</v>
      </c>
      <c r="H42" s="807"/>
      <c r="I42" s="807"/>
      <c r="J42" s="807"/>
      <c r="K42" s="807"/>
      <c r="L42" s="807"/>
      <c r="M42" s="808"/>
    </row>
    <row r="43" spans="1:13" ht="10.9" customHeight="1" x14ac:dyDescent="0.25">
      <c r="A43" s="864" t="s">
        <v>259</v>
      </c>
      <c r="B43" s="865"/>
      <c r="C43" s="865"/>
      <c r="D43" s="865"/>
      <c r="E43" s="866"/>
      <c r="F43" s="682" t="s">
        <v>159</v>
      </c>
      <c r="G43" s="806" t="s">
        <v>159</v>
      </c>
      <c r="H43" s="807"/>
      <c r="I43" s="807"/>
      <c r="J43" s="807"/>
      <c r="K43" s="807"/>
      <c r="L43" s="807"/>
      <c r="M43" s="808"/>
    </row>
    <row r="44" spans="1:13" ht="11.65" customHeight="1" x14ac:dyDescent="0.25">
      <c r="A44" s="864" t="s">
        <v>260</v>
      </c>
      <c r="B44" s="865"/>
      <c r="C44" s="865"/>
      <c r="D44" s="865"/>
      <c r="E44" s="866"/>
      <c r="F44" s="682" t="s">
        <v>159</v>
      </c>
      <c r="G44" s="806" t="s">
        <v>1670</v>
      </c>
      <c r="H44" s="807"/>
      <c r="I44" s="807"/>
      <c r="J44" s="807"/>
      <c r="K44" s="807"/>
      <c r="L44" s="807"/>
      <c r="M44" s="808"/>
    </row>
    <row r="45" spans="1:13" ht="11.65" customHeight="1" x14ac:dyDescent="0.25">
      <c r="A45" s="864" t="s">
        <v>261</v>
      </c>
      <c r="B45" s="865"/>
      <c r="C45" s="865"/>
      <c r="D45" s="865"/>
      <c r="E45" s="866"/>
      <c r="F45" s="682" t="s">
        <v>159</v>
      </c>
      <c r="G45" s="806" t="s">
        <v>159</v>
      </c>
      <c r="H45" s="807"/>
      <c r="I45" s="807"/>
      <c r="J45" s="807"/>
      <c r="K45" s="807"/>
      <c r="L45" s="807"/>
      <c r="M45" s="808"/>
    </row>
    <row r="46" spans="1:13" ht="11.65" customHeight="1" x14ac:dyDescent="0.25">
      <c r="A46" s="864" t="s">
        <v>262</v>
      </c>
      <c r="B46" s="865"/>
      <c r="C46" s="865"/>
      <c r="D46" s="865"/>
      <c r="E46" s="866"/>
      <c r="F46" s="682" t="s">
        <v>159</v>
      </c>
      <c r="G46" s="806" t="s">
        <v>1670</v>
      </c>
      <c r="H46" s="807"/>
      <c r="I46" s="807"/>
      <c r="J46" s="807"/>
      <c r="K46" s="807"/>
      <c r="L46" s="807"/>
      <c r="M46" s="808"/>
    </row>
    <row r="47" spans="1:13" ht="10.9" customHeight="1" x14ac:dyDescent="0.25">
      <c r="A47" s="864" t="s">
        <v>263</v>
      </c>
      <c r="B47" s="865"/>
      <c r="C47" s="865"/>
      <c r="D47" s="865"/>
      <c r="E47" s="866"/>
      <c r="F47" s="682" t="s">
        <v>159</v>
      </c>
      <c r="G47" s="806" t="s">
        <v>159</v>
      </c>
      <c r="H47" s="807"/>
      <c r="I47" s="807"/>
      <c r="J47" s="807"/>
      <c r="K47" s="807"/>
      <c r="L47" s="807"/>
      <c r="M47" s="808"/>
    </row>
    <row r="48" spans="1:13" ht="11.65" customHeight="1" x14ac:dyDescent="0.25">
      <c r="A48" s="864" t="s">
        <v>264</v>
      </c>
      <c r="B48" s="865"/>
      <c r="C48" s="865"/>
      <c r="D48" s="865"/>
      <c r="E48" s="866"/>
      <c r="F48" s="682" t="s">
        <v>159</v>
      </c>
      <c r="G48" s="806" t="s">
        <v>159</v>
      </c>
      <c r="H48" s="807"/>
      <c r="I48" s="807"/>
      <c r="J48" s="807"/>
      <c r="K48" s="807"/>
      <c r="L48" s="807"/>
      <c r="M48" s="808"/>
    </row>
    <row r="49" spans="1:13" ht="11.65" customHeight="1" x14ac:dyDescent="0.25">
      <c r="A49" s="864" t="s">
        <v>265</v>
      </c>
      <c r="B49" s="865"/>
      <c r="C49" s="865"/>
      <c r="D49" s="865"/>
      <c r="E49" s="866"/>
      <c r="F49" s="682" t="s">
        <v>159</v>
      </c>
      <c r="G49" s="806" t="s">
        <v>159</v>
      </c>
      <c r="H49" s="807"/>
      <c r="I49" s="807"/>
      <c r="J49" s="807"/>
      <c r="K49" s="807"/>
      <c r="L49" s="807"/>
      <c r="M49" s="808"/>
    </row>
    <row r="50" spans="1:13" ht="11.65" customHeight="1" x14ac:dyDescent="0.25">
      <c r="A50" s="864" t="s">
        <v>266</v>
      </c>
      <c r="B50" s="865"/>
      <c r="C50" s="865"/>
      <c r="D50" s="865"/>
      <c r="E50" s="866"/>
      <c r="F50" s="682" t="s">
        <v>159</v>
      </c>
      <c r="G50" s="806" t="s">
        <v>1670</v>
      </c>
      <c r="H50" s="807"/>
      <c r="I50" s="807"/>
      <c r="J50" s="807"/>
      <c r="K50" s="807"/>
      <c r="L50" s="807"/>
      <c r="M50" s="808"/>
    </row>
    <row r="51" spans="1:13" ht="10.9" customHeight="1" x14ac:dyDescent="0.25">
      <c r="A51" s="864" t="s">
        <v>267</v>
      </c>
      <c r="B51" s="865"/>
      <c r="C51" s="865"/>
      <c r="D51" s="865"/>
      <c r="E51" s="866"/>
      <c r="F51" s="682" t="s">
        <v>159</v>
      </c>
      <c r="G51" s="806" t="s">
        <v>159</v>
      </c>
      <c r="H51" s="807"/>
      <c r="I51" s="807"/>
      <c r="J51" s="807"/>
      <c r="K51" s="807"/>
      <c r="L51" s="807"/>
      <c r="M51" s="808"/>
    </row>
    <row r="52" spans="1:13" ht="11.65" customHeight="1" x14ac:dyDescent="0.25">
      <c r="A52" s="864" t="s">
        <v>268</v>
      </c>
      <c r="B52" s="865"/>
      <c r="C52" s="865"/>
      <c r="D52" s="865"/>
      <c r="E52" s="866"/>
      <c r="F52" s="682" t="s">
        <v>159</v>
      </c>
      <c r="G52" s="806" t="s">
        <v>159</v>
      </c>
      <c r="H52" s="807"/>
      <c r="I52" s="807"/>
      <c r="J52" s="807"/>
      <c r="K52" s="807"/>
      <c r="L52" s="807"/>
      <c r="M52" s="808"/>
    </row>
    <row r="53" spans="1:13" ht="11.65" customHeight="1" x14ac:dyDescent="0.25">
      <c r="A53" s="867" t="s">
        <v>269</v>
      </c>
      <c r="B53" s="868"/>
      <c r="C53" s="868"/>
      <c r="D53" s="868"/>
      <c r="E53" s="869"/>
      <c r="F53" s="684" t="s">
        <v>1524</v>
      </c>
      <c r="G53" s="814" t="s">
        <v>2221</v>
      </c>
      <c r="H53" s="815"/>
      <c r="I53" s="815"/>
      <c r="J53" s="815"/>
      <c r="K53" s="815"/>
      <c r="L53" s="815"/>
      <c r="M53" s="816"/>
    </row>
    <row r="54" spans="1:13" ht="11.65" customHeight="1" x14ac:dyDescent="0.25">
      <c r="A54" s="870" t="s">
        <v>270</v>
      </c>
      <c r="B54" s="871"/>
      <c r="C54" s="871"/>
      <c r="D54" s="871"/>
      <c r="E54" s="872"/>
      <c r="F54" s="696" t="s">
        <v>1521</v>
      </c>
      <c r="G54" s="834" t="s">
        <v>2222</v>
      </c>
      <c r="H54" s="835"/>
      <c r="I54" s="835"/>
      <c r="J54" s="835"/>
      <c r="K54" s="835"/>
      <c r="L54" s="835"/>
      <c r="M54" s="836"/>
    </row>
    <row r="55" spans="1:13" ht="5.85" customHeight="1" x14ac:dyDescent="0.25">
      <c r="A55" s="480"/>
      <c r="B55" s="480"/>
      <c r="C55" s="480"/>
      <c r="D55" s="480"/>
      <c r="E55" s="480"/>
      <c r="F55" s="480"/>
      <c r="G55" s="480"/>
      <c r="H55" s="480"/>
      <c r="I55" s="480"/>
      <c r="J55" s="480"/>
      <c r="K55" s="480"/>
      <c r="L55" s="480"/>
      <c r="M55" s="480"/>
    </row>
    <row r="56" spans="1:13" ht="10.9" customHeight="1" x14ac:dyDescent="0.25">
      <c r="A56" s="799" t="s">
        <v>271</v>
      </c>
      <c r="B56" s="826"/>
      <c r="C56" s="873" t="s">
        <v>19</v>
      </c>
      <c r="D56" s="801" t="s">
        <v>1503</v>
      </c>
      <c r="E56" s="802"/>
      <c r="F56" s="802"/>
      <c r="G56" s="802"/>
      <c r="H56" s="802"/>
      <c r="I56" s="802"/>
      <c r="J56" s="802"/>
      <c r="K56" s="802"/>
      <c r="L56" s="802"/>
      <c r="M56" s="803"/>
    </row>
    <row r="57" spans="1:13" ht="17.45" customHeight="1" x14ac:dyDescent="0.25">
      <c r="A57" s="854"/>
      <c r="B57" s="855"/>
      <c r="C57" s="874"/>
      <c r="D57" s="873" t="s">
        <v>20</v>
      </c>
      <c r="E57" s="876"/>
      <c r="F57" s="873" t="s">
        <v>21</v>
      </c>
      <c r="G57" s="881" t="s">
        <v>22</v>
      </c>
      <c r="H57" s="876"/>
      <c r="I57" s="881" t="s">
        <v>272</v>
      </c>
      <c r="J57" s="876"/>
      <c r="K57" s="873" t="s">
        <v>273</v>
      </c>
      <c r="L57" s="882"/>
      <c r="M57" s="883"/>
    </row>
    <row r="58" spans="1:13" ht="5.85" customHeight="1" x14ac:dyDescent="0.25">
      <c r="A58" s="854"/>
      <c r="B58" s="855"/>
      <c r="C58" s="874"/>
      <c r="D58" s="877"/>
      <c r="E58" s="878"/>
      <c r="F58" s="874"/>
      <c r="G58" s="877"/>
      <c r="H58" s="878"/>
      <c r="I58" s="877"/>
      <c r="J58" s="878"/>
      <c r="K58" s="873" t="s">
        <v>274</v>
      </c>
      <c r="L58" s="876"/>
      <c r="M58" s="873" t="s">
        <v>275</v>
      </c>
    </row>
    <row r="59" spans="1:13" ht="5.85" customHeight="1" x14ac:dyDescent="0.25">
      <c r="A59" s="827"/>
      <c r="B59" s="828"/>
      <c r="C59" s="875"/>
      <c r="D59" s="879"/>
      <c r="E59" s="880"/>
      <c r="F59" s="875"/>
      <c r="G59" s="875" t="s">
        <v>46</v>
      </c>
      <c r="H59" s="880"/>
      <c r="I59" s="875" t="s">
        <v>47</v>
      </c>
      <c r="J59" s="880"/>
      <c r="K59" s="879"/>
      <c r="L59" s="880"/>
      <c r="M59" s="875"/>
    </row>
    <row r="60" spans="1:13" ht="13.9" customHeight="1" x14ac:dyDescent="0.25">
      <c r="A60" s="829" t="s">
        <v>276</v>
      </c>
      <c r="B60" s="830"/>
      <c r="C60" s="688" t="s">
        <v>2223</v>
      </c>
      <c r="D60" s="831" t="s">
        <v>2224</v>
      </c>
      <c r="E60" s="804"/>
      <c r="F60" s="688" t="s">
        <v>2225</v>
      </c>
      <c r="G60" s="831" t="s">
        <v>2226</v>
      </c>
      <c r="H60" s="804"/>
      <c r="I60" s="831" t="s">
        <v>2227</v>
      </c>
      <c r="J60" s="804"/>
      <c r="K60" s="863" t="s">
        <v>2228</v>
      </c>
      <c r="L60" s="805"/>
      <c r="M60" s="689" t="s">
        <v>2229</v>
      </c>
    </row>
    <row r="61" spans="1:13" ht="14.45" customHeight="1" x14ac:dyDescent="0.25">
      <c r="A61" s="837" t="s">
        <v>277</v>
      </c>
      <c r="B61" s="838"/>
      <c r="C61" s="682" t="s">
        <v>2230</v>
      </c>
      <c r="D61" s="806" t="s">
        <v>2231</v>
      </c>
      <c r="E61" s="808"/>
      <c r="F61" s="682" t="s">
        <v>2232</v>
      </c>
      <c r="G61" s="806" t="s">
        <v>2233</v>
      </c>
      <c r="H61" s="808"/>
      <c r="I61" s="806" t="s">
        <v>2234</v>
      </c>
      <c r="J61" s="808"/>
      <c r="K61" s="862" t="s">
        <v>159</v>
      </c>
      <c r="L61" s="807"/>
      <c r="M61" s="683" t="s">
        <v>159</v>
      </c>
    </row>
    <row r="62" spans="1:13" ht="14.45" customHeight="1" x14ac:dyDescent="0.25">
      <c r="A62" s="837" t="s">
        <v>278</v>
      </c>
      <c r="B62" s="838"/>
      <c r="C62" s="682" t="s">
        <v>1525</v>
      </c>
      <c r="D62" s="806" t="s">
        <v>1526</v>
      </c>
      <c r="E62" s="808"/>
      <c r="F62" s="682" t="s">
        <v>2235</v>
      </c>
      <c r="G62" s="806" t="s">
        <v>2235</v>
      </c>
      <c r="H62" s="808"/>
      <c r="I62" s="806" t="s">
        <v>159</v>
      </c>
      <c r="J62" s="808"/>
      <c r="K62" s="862" t="s">
        <v>159</v>
      </c>
      <c r="L62" s="807"/>
      <c r="M62" s="683" t="s">
        <v>159</v>
      </c>
    </row>
    <row r="63" spans="1:13" ht="13.9" customHeight="1" x14ac:dyDescent="0.25">
      <c r="A63" s="837" t="s">
        <v>279</v>
      </c>
      <c r="B63" s="838"/>
      <c r="C63" s="682" t="s">
        <v>2236</v>
      </c>
      <c r="D63" s="806" t="s">
        <v>2237</v>
      </c>
      <c r="E63" s="808"/>
      <c r="F63" s="682" t="s">
        <v>2238</v>
      </c>
      <c r="G63" s="806" t="s">
        <v>2239</v>
      </c>
      <c r="H63" s="808"/>
      <c r="I63" s="806" t="s">
        <v>2240</v>
      </c>
      <c r="J63" s="808"/>
      <c r="K63" s="862" t="s">
        <v>2228</v>
      </c>
      <c r="L63" s="807"/>
      <c r="M63" s="683" t="s">
        <v>2229</v>
      </c>
    </row>
    <row r="64" spans="1:13" ht="14.45" customHeight="1" x14ac:dyDescent="0.25">
      <c r="A64" s="837" t="s">
        <v>2241</v>
      </c>
      <c r="B64" s="838"/>
      <c r="C64" s="682" t="s">
        <v>159</v>
      </c>
      <c r="D64" s="806" t="s">
        <v>159</v>
      </c>
      <c r="E64" s="808"/>
      <c r="F64" s="682" t="s">
        <v>159</v>
      </c>
      <c r="G64" s="806" t="s">
        <v>159</v>
      </c>
      <c r="H64" s="808"/>
      <c r="I64" s="806" t="s">
        <v>159</v>
      </c>
      <c r="J64" s="808"/>
      <c r="K64" s="862" t="s">
        <v>159</v>
      </c>
      <c r="L64" s="807"/>
      <c r="M64" s="683" t="s">
        <v>159</v>
      </c>
    </row>
    <row r="65" spans="1:13" ht="14.45" customHeight="1" x14ac:dyDescent="0.25">
      <c r="A65" s="837" t="s">
        <v>405</v>
      </c>
      <c r="B65" s="838"/>
      <c r="C65" s="682" t="s">
        <v>2236</v>
      </c>
      <c r="D65" s="806" t="s">
        <v>2237</v>
      </c>
      <c r="E65" s="808"/>
      <c r="F65" s="682" t="s">
        <v>2238</v>
      </c>
      <c r="G65" s="806" t="s">
        <v>2239</v>
      </c>
      <c r="H65" s="808"/>
      <c r="I65" s="806" t="s">
        <v>2240</v>
      </c>
      <c r="J65" s="808"/>
      <c r="K65" s="862" t="s">
        <v>2228</v>
      </c>
      <c r="L65" s="807"/>
      <c r="M65" s="683" t="s">
        <v>2229</v>
      </c>
    </row>
    <row r="66" spans="1:13" ht="13.9" customHeight="1" x14ac:dyDescent="0.25">
      <c r="A66" s="837" t="s">
        <v>280</v>
      </c>
      <c r="B66" s="838"/>
      <c r="C66" s="682" t="s">
        <v>2242</v>
      </c>
      <c r="D66" s="806" t="s">
        <v>2243</v>
      </c>
      <c r="E66" s="808"/>
      <c r="F66" s="682" t="s">
        <v>2244</v>
      </c>
      <c r="G66" s="806" t="s">
        <v>2245</v>
      </c>
      <c r="H66" s="808"/>
      <c r="I66" s="806" t="s">
        <v>2227</v>
      </c>
      <c r="J66" s="808"/>
      <c r="K66" s="862" t="s">
        <v>2228</v>
      </c>
      <c r="L66" s="807"/>
      <c r="M66" s="683" t="s">
        <v>2229</v>
      </c>
    </row>
    <row r="67" spans="1:13" ht="14.45" customHeight="1" x14ac:dyDescent="0.25">
      <c r="A67" s="837" t="s">
        <v>281</v>
      </c>
      <c r="B67" s="838"/>
      <c r="C67" s="682" t="s">
        <v>1527</v>
      </c>
      <c r="D67" s="806" t="s">
        <v>2246</v>
      </c>
      <c r="E67" s="808"/>
      <c r="F67" s="682" t="s">
        <v>2247</v>
      </c>
      <c r="G67" s="806" t="s">
        <v>2248</v>
      </c>
      <c r="H67" s="808"/>
      <c r="I67" s="806" t="s">
        <v>2032</v>
      </c>
      <c r="J67" s="808"/>
      <c r="K67" s="862" t="s">
        <v>1987</v>
      </c>
      <c r="L67" s="807"/>
      <c r="M67" s="683" t="s">
        <v>1987</v>
      </c>
    </row>
    <row r="68" spans="1:13" ht="8.65" customHeight="1" x14ac:dyDescent="0.25"/>
    <row r="69" spans="1:13" ht="11.65" customHeight="1" x14ac:dyDescent="0.25">
      <c r="A69" s="796" t="s">
        <v>2249</v>
      </c>
      <c r="B69" s="796"/>
      <c r="C69" s="796"/>
      <c r="D69" s="796"/>
      <c r="E69" s="796"/>
      <c r="F69" s="796"/>
      <c r="G69" s="796"/>
      <c r="H69" s="796"/>
      <c r="I69" s="796"/>
      <c r="J69" s="796"/>
      <c r="K69" s="796"/>
      <c r="L69" s="796"/>
      <c r="M69" s="796"/>
    </row>
    <row r="70" spans="1:13" ht="10.9" customHeight="1" x14ac:dyDescent="0.25">
      <c r="A70" s="797" t="s">
        <v>134</v>
      </c>
      <c r="B70" s="797"/>
      <c r="C70" s="797"/>
      <c r="D70" s="797"/>
      <c r="L70" s="798" t="s">
        <v>177</v>
      </c>
      <c r="M70" s="798"/>
    </row>
    <row r="71" spans="1:13" ht="11.65" customHeight="1" x14ac:dyDescent="0.25">
      <c r="A71" s="797" t="s">
        <v>1</v>
      </c>
      <c r="B71" s="797"/>
      <c r="C71" s="797"/>
      <c r="D71" s="797"/>
    </row>
    <row r="72" spans="1:13" ht="11.65" customHeight="1" x14ac:dyDescent="0.25">
      <c r="A72" s="839" t="s">
        <v>225</v>
      </c>
      <c r="B72" s="839"/>
      <c r="C72" s="839"/>
      <c r="D72" s="839"/>
    </row>
    <row r="73" spans="1:13" ht="11.65" customHeight="1" x14ac:dyDescent="0.25">
      <c r="A73" s="797" t="s">
        <v>219</v>
      </c>
      <c r="B73" s="797"/>
      <c r="C73" s="797"/>
      <c r="D73" s="797"/>
    </row>
    <row r="74" spans="1:13" ht="10.9" customHeight="1" x14ac:dyDescent="0.25">
      <c r="A74" s="797" t="s">
        <v>2036</v>
      </c>
      <c r="B74" s="797"/>
      <c r="C74" s="797"/>
      <c r="D74" s="797"/>
    </row>
    <row r="75" spans="1:13" ht="5.85" customHeight="1" x14ac:dyDescent="0.25"/>
    <row r="76" spans="1:13" ht="14.45" customHeight="1" x14ac:dyDescent="0.25">
      <c r="A76" s="837" t="s">
        <v>282</v>
      </c>
      <c r="B76" s="838"/>
      <c r="C76" s="682" t="s">
        <v>159</v>
      </c>
      <c r="D76" s="806" t="s">
        <v>159</v>
      </c>
      <c r="E76" s="808"/>
      <c r="F76" s="682" t="s">
        <v>159</v>
      </c>
      <c r="G76" s="806" t="s">
        <v>159</v>
      </c>
      <c r="H76" s="808"/>
      <c r="I76" s="806" t="s">
        <v>159</v>
      </c>
      <c r="J76" s="808"/>
      <c r="K76" s="862" t="s">
        <v>159</v>
      </c>
      <c r="L76" s="807"/>
      <c r="M76" s="683" t="s">
        <v>159</v>
      </c>
    </row>
    <row r="77" spans="1:13" ht="14.45" customHeight="1" x14ac:dyDescent="0.25">
      <c r="A77" s="837" t="s">
        <v>283</v>
      </c>
      <c r="B77" s="838"/>
      <c r="C77" s="682" t="s">
        <v>2250</v>
      </c>
      <c r="D77" s="806" t="s">
        <v>2251</v>
      </c>
      <c r="E77" s="808"/>
      <c r="F77" s="682" t="s">
        <v>2252</v>
      </c>
      <c r="G77" s="806" t="s">
        <v>2253</v>
      </c>
      <c r="H77" s="808"/>
      <c r="I77" s="806" t="s">
        <v>2254</v>
      </c>
      <c r="J77" s="808"/>
      <c r="K77" s="862" t="s">
        <v>2255</v>
      </c>
      <c r="L77" s="807"/>
      <c r="M77" s="683" t="s">
        <v>2256</v>
      </c>
    </row>
    <row r="78" spans="1:13" ht="13.9" customHeight="1" x14ac:dyDescent="0.25">
      <c r="A78" s="837" t="s">
        <v>284</v>
      </c>
      <c r="B78" s="838"/>
      <c r="C78" s="682" t="s">
        <v>2257</v>
      </c>
      <c r="D78" s="806" t="s">
        <v>2258</v>
      </c>
      <c r="E78" s="808"/>
      <c r="F78" s="682" t="s">
        <v>2259</v>
      </c>
      <c r="G78" s="806" t="s">
        <v>2260</v>
      </c>
      <c r="H78" s="808"/>
      <c r="I78" s="806" t="s">
        <v>2261</v>
      </c>
      <c r="J78" s="808"/>
      <c r="K78" s="862" t="s">
        <v>2255</v>
      </c>
      <c r="L78" s="807"/>
      <c r="M78" s="683" t="s">
        <v>2256</v>
      </c>
    </row>
    <row r="79" spans="1:13" ht="14.45" customHeight="1" x14ac:dyDescent="0.25">
      <c r="A79" s="837" t="s">
        <v>285</v>
      </c>
      <c r="B79" s="838"/>
      <c r="C79" s="682" t="s">
        <v>2262</v>
      </c>
      <c r="D79" s="806" t="s">
        <v>2263</v>
      </c>
      <c r="E79" s="808"/>
      <c r="F79" s="682" t="s">
        <v>1677</v>
      </c>
      <c r="G79" s="806" t="s">
        <v>1677</v>
      </c>
      <c r="H79" s="808"/>
      <c r="I79" s="806" t="s">
        <v>1306</v>
      </c>
      <c r="J79" s="808"/>
      <c r="K79" s="862" t="s">
        <v>159</v>
      </c>
      <c r="L79" s="807"/>
      <c r="M79" s="683" t="s">
        <v>159</v>
      </c>
    </row>
    <row r="80" spans="1:13" ht="14.45" customHeight="1" x14ac:dyDescent="0.25">
      <c r="A80" s="837" t="s">
        <v>286</v>
      </c>
      <c r="B80" s="838"/>
      <c r="C80" s="682" t="s">
        <v>933</v>
      </c>
      <c r="D80" s="806" t="s">
        <v>159</v>
      </c>
      <c r="E80" s="808"/>
      <c r="F80" s="682" t="s">
        <v>159</v>
      </c>
      <c r="G80" s="806" t="s">
        <v>159</v>
      </c>
      <c r="H80" s="808"/>
      <c r="I80" s="806" t="s">
        <v>159</v>
      </c>
      <c r="J80" s="808"/>
      <c r="K80" s="862" t="s">
        <v>159</v>
      </c>
      <c r="L80" s="807"/>
      <c r="M80" s="683" t="s">
        <v>159</v>
      </c>
    </row>
    <row r="81" spans="1:13" ht="13.9" customHeight="1" x14ac:dyDescent="0.25">
      <c r="A81" s="837" t="s">
        <v>287</v>
      </c>
      <c r="B81" s="838"/>
      <c r="C81" s="682" t="s">
        <v>159</v>
      </c>
      <c r="D81" s="806" t="s">
        <v>159</v>
      </c>
      <c r="E81" s="808"/>
      <c r="F81" s="682" t="s">
        <v>159</v>
      </c>
      <c r="G81" s="806" t="s">
        <v>159</v>
      </c>
      <c r="H81" s="808"/>
      <c r="I81" s="806" t="s">
        <v>159</v>
      </c>
      <c r="J81" s="808"/>
      <c r="K81" s="862" t="s">
        <v>159</v>
      </c>
      <c r="L81" s="807"/>
      <c r="M81" s="683" t="s">
        <v>159</v>
      </c>
    </row>
    <row r="82" spans="1:13" ht="14.45" customHeight="1" x14ac:dyDescent="0.25">
      <c r="A82" s="837" t="s">
        <v>288</v>
      </c>
      <c r="B82" s="838"/>
      <c r="C82" s="682" t="s">
        <v>159</v>
      </c>
      <c r="D82" s="806" t="s">
        <v>159</v>
      </c>
      <c r="E82" s="808"/>
      <c r="F82" s="682" t="s">
        <v>159</v>
      </c>
      <c r="G82" s="806" t="s">
        <v>159</v>
      </c>
      <c r="H82" s="808"/>
      <c r="I82" s="806" t="s">
        <v>159</v>
      </c>
      <c r="J82" s="808"/>
      <c r="K82" s="862" t="s">
        <v>159</v>
      </c>
      <c r="L82" s="807"/>
      <c r="M82" s="683" t="s">
        <v>159</v>
      </c>
    </row>
    <row r="83" spans="1:13" ht="14.45" customHeight="1" x14ac:dyDescent="0.25">
      <c r="A83" s="837" t="s">
        <v>289</v>
      </c>
      <c r="B83" s="838"/>
      <c r="C83" s="682" t="s">
        <v>2264</v>
      </c>
      <c r="D83" s="806" t="s">
        <v>2263</v>
      </c>
      <c r="E83" s="808"/>
      <c r="F83" s="682" t="s">
        <v>1677</v>
      </c>
      <c r="G83" s="806" t="s">
        <v>1677</v>
      </c>
      <c r="H83" s="808"/>
      <c r="I83" s="806" t="s">
        <v>1306</v>
      </c>
      <c r="J83" s="808"/>
      <c r="K83" s="862" t="s">
        <v>159</v>
      </c>
      <c r="L83" s="807"/>
      <c r="M83" s="683" t="s">
        <v>159</v>
      </c>
    </row>
    <row r="84" spans="1:13" ht="13.9" customHeight="1" x14ac:dyDescent="0.25">
      <c r="A84" s="837" t="s">
        <v>290</v>
      </c>
      <c r="B84" s="838"/>
      <c r="C84" s="682" t="s">
        <v>1528</v>
      </c>
      <c r="D84" s="806" t="s">
        <v>1529</v>
      </c>
      <c r="E84" s="808"/>
      <c r="F84" s="682" t="s">
        <v>2265</v>
      </c>
      <c r="G84" s="806" t="s">
        <v>2265</v>
      </c>
      <c r="H84" s="808"/>
      <c r="I84" s="806" t="s">
        <v>159</v>
      </c>
      <c r="J84" s="808"/>
      <c r="K84" s="862" t="s">
        <v>159</v>
      </c>
      <c r="L84" s="807"/>
      <c r="M84" s="683" t="s">
        <v>159</v>
      </c>
    </row>
    <row r="85" spans="1:13" ht="14.45" customHeight="1" x14ac:dyDescent="0.25">
      <c r="A85" s="837" t="s">
        <v>291</v>
      </c>
      <c r="B85" s="838"/>
      <c r="C85" s="682" t="s">
        <v>2266</v>
      </c>
      <c r="D85" s="806" t="s">
        <v>2267</v>
      </c>
      <c r="E85" s="808"/>
      <c r="F85" s="682" t="s">
        <v>2268</v>
      </c>
      <c r="G85" s="806" t="s">
        <v>2269</v>
      </c>
      <c r="H85" s="808"/>
      <c r="I85" s="806" t="s">
        <v>2254</v>
      </c>
      <c r="J85" s="808"/>
      <c r="K85" s="862" t="s">
        <v>2255</v>
      </c>
      <c r="L85" s="807"/>
      <c r="M85" s="683" t="s">
        <v>2256</v>
      </c>
    </row>
    <row r="86" spans="1:13" ht="14.45" customHeight="1" x14ac:dyDescent="0.25">
      <c r="A86" s="837" t="s">
        <v>292</v>
      </c>
      <c r="B86" s="838"/>
      <c r="C86" s="682" t="s">
        <v>2270</v>
      </c>
      <c r="D86" s="806" t="s">
        <v>159</v>
      </c>
      <c r="E86" s="808"/>
      <c r="F86" s="682" t="s">
        <v>159</v>
      </c>
      <c r="G86" s="806" t="s">
        <v>159</v>
      </c>
      <c r="H86" s="808"/>
      <c r="I86" s="806" t="s">
        <v>159</v>
      </c>
      <c r="J86" s="808"/>
      <c r="K86" s="862" t="s">
        <v>159</v>
      </c>
      <c r="L86" s="807"/>
      <c r="M86" s="683" t="s">
        <v>159</v>
      </c>
    </row>
    <row r="87" spans="1:13" ht="14.45" customHeight="1" x14ac:dyDescent="0.25">
      <c r="A87" s="837" t="s">
        <v>293</v>
      </c>
      <c r="B87" s="838"/>
      <c r="C87" s="682" t="s">
        <v>948</v>
      </c>
      <c r="D87" s="806" t="s">
        <v>159</v>
      </c>
      <c r="E87" s="808"/>
      <c r="F87" s="682" t="s">
        <v>159</v>
      </c>
      <c r="G87" s="806" t="s">
        <v>159</v>
      </c>
      <c r="H87" s="808"/>
      <c r="I87" s="806" t="s">
        <v>159</v>
      </c>
      <c r="J87" s="808"/>
      <c r="K87" s="862" t="s">
        <v>159</v>
      </c>
      <c r="L87" s="807"/>
      <c r="M87" s="683" t="s">
        <v>159</v>
      </c>
    </row>
    <row r="88" spans="1:13" ht="13.9" customHeight="1" x14ac:dyDescent="0.25">
      <c r="A88" s="812" t="s">
        <v>294</v>
      </c>
      <c r="B88" s="813"/>
      <c r="C88" s="684" t="s">
        <v>159</v>
      </c>
      <c r="D88" s="814" t="s">
        <v>159</v>
      </c>
      <c r="E88" s="816"/>
      <c r="F88" s="684" t="s">
        <v>159</v>
      </c>
      <c r="G88" s="814" t="s">
        <v>159</v>
      </c>
      <c r="H88" s="816"/>
      <c r="I88" s="814" t="s">
        <v>159</v>
      </c>
      <c r="J88" s="816"/>
      <c r="K88" s="859" t="s">
        <v>159</v>
      </c>
      <c r="L88" s="815"/>
      <c r="M88" s="685" t="s">
        <v>159</v>
      </c>
    </row>
    <row r="89" spans="1:13" ht="14.45" customHeight="1" x14ac:dyDescent="0.25">
      <c r="A89" s="860" t="s">
        <v>295</v>
      </c>
      <c r="B89" s="861"/>
      <c r="C89" s="696" t="s">
        <v>2271</v>
      </c>
      <c r="D89" s="834" t="s">
        <v>2272</v>
      </c>
      <c r="E89" s="836"/>
      <c r="F89" s="696" t="s">
        <v>2273</v>
      </c>
      <c r="G89" s="834" t="s">
        <v>2274</v>
      </c>
      <c r="H89" s="836"/>
      <c r="I89" s="834" t="s">
        <v>2275</v>
      </c>
      <c r="J89" s="836"/>
      <c r="K89" s="834" t="s">
        <v>2276</v>
      </c>
      <c r="L89" s="836"/>
      <c r="M89" s="696" t="s">
        <v>2277</v>
      </c>
    </row>
    <row r="90" spans="1:13" ht="14.45" customHeight="1" x14ac:dyDescent="0.25">
      <c r="A90" s="860" t="s">
        <v>296</v>
      </c>
      <c r="B90" s="861"/>
      <c r="C90" s="696" t="s">
        <v>2278</v>
      </c>
      <c r="D90" s="834" t="s">
        <v>2279</v>
      </c>
      <c r="E90" s="836"/>
      <c r="F90" s="696" t="s">
        <v>2280</v>
      </c>
      <c r="G90" s="834" t="s">
        <v>2281</v>
      </c>
      <c r="H90" s="836"/>
      <c r="I90" s="834" t="s">
        <v>2282</v>
      </c>
      <c r="J90" s="836"/>
      <c r="K90" s="834" t="s">
        <v>2283</v>
      </c>
      <c r="L90" s="836"/>
      <c r="M90" s="696" t="s">
        <v>2284</v>
      </c>
    </row>
    <row r="91" spans="1:13" ht="5.0999999999999996" customHeight="1" x14ac:dyDescent="0.25">
      <c r="A91" s="820"/>
      <c r="B91" s="821"/>
      <c r="C91" s="821"/>
      <c r="D91" s="821"/>
      <c r="E91" s="821"/>
      <c r="F91" s="821"/>
      <c r="G91" s="821"/>
      <c r="H91" s="821"/>
      <c r="I91" s="821"/>
      <c r="J91" s="821"/>
      <c r="K91" s="821"/>
      <c r="L91" s="821"/>
      <c r="M91" s="822"/>
    </row>
    <row r="92" spans="1:13" ht="17.45" customHeight="1" x14ac:dyDescent="0.25">
      <c r="A92" s="832" t="s">
        <v>297</v>
      </c>
      <c r="B92" s="833"/>
      <c r="C92" s="834" t="s">
        <v>2285</v>
      </c>
      <c r="D92" s="835"/>
      <c r="E92" s="835"/>
      <c r="F92" s="835"/>
      <c r="G92" s="835"/>
      <c r="H92" s="835"/>
      <c r="I92" s="835"/>
      <c r="J92" s="835"/>
      <c r="K92" s="835"/>
      <c r="L92" s="835"/>
      <c r="M92" s="836"/>
    </row>
    <row r="93" spans="1:13" ht="5.85" customHeight="1" x14ac:dyDescent="0.25">
      <c r="A93" s="820"/>
      <c r="B93" s="821"/>
      <c r="C93" s="821"/>
      <c r="D93" s="821"/>
      <c r="E93" s="821"/>
      <c r="F93" s="821"/>
      <c r="G93" s="821"/>
      <c r="H93" s="821"/>
      <c r="I93" s="821"/>
      <c r="J93" s="821"/>
      <c r="K93" s="821"/>
      <c r="L93" s="821"/>
      <c r="M93" s="822"/>
    </row>
    <row r="94" spans="1:13" ht="17.45" customHeight="1" x14ac:dyDescent="0.25">
      <c r="A94" s="832" t="s">
        <v>298</v>
      </c>
      <c r="B94" s="833"/>
      <c r="C94" s="834" t="s">
        <v>2286</v>
      </c>
      <c r="D94" s="835"/>
      <c r="E94" s="835"/>
      <c r="F94" s="835"/>
      <c r="G94" s="835"/>
      <c r="H94" s="835"/>
      <c r="I94" s="835"/>
      <c r="J94" s="835"/>
      <c r="K94" s="835"/>
      <c r="L94" s="835"/>
      <c r="M94" s="836"/>
    </row>
    <row r="95" spans="1:13" ht="5.0999999999999996" customHeight="1" x14ac:dyDescent="0.25">
      <c r="A95" s="480"/>
      <c r="B95" s="480"/>
      <c r="C95" s="480"/>
      <c r="D95" s="480"/>
      <c r="E95" s="480"/>
      <c r="F95" s="480"/>
      <c r="G95" s="480"/>
      <c r="H95" s="480"/>
      <c r="I95" s="480"/>
      <c r="J95" s="480"/>
      <c r="K95" s="480"/>
      <c r="L95" s="480"/>
      <c r="M95" s="480"/>
    </row>
    <row r="96" spans="1:13" ht="11.65" customHeight="1" x14ac:dyDescent="0.25">
      <c r="A96" s="799" t="s">
        <v>299</v>
      </c>
      <c r="B96" s="800"/>
      <c r="C96" s="801" t="s">
        <v>300</v>
      </c>
      <c r="D96" s="802"/>
      <c r="E96" s="802"/>
      <c r="F96" s="802"/>
      <c r="G96" s="802"/>
      <c r="H96" s="802"/>
      <c r="I96" s="802"/>
      <c r="J96" s="802"/>
      <c r="K96" s="802"/>
      <c r="L96" s="802"/>
      <c r="M96" s="803"/>
    </row>
    <row r="97" spans="1:13" ht="15.2" customHeight="1" x14ac:dyDescent="0.25">
      <c r="A97" s="824" t="s">
        <v>301</v>
      </c>
      <c r="B97" s="825"/>
      <c r="C97" s="856" t="s">
        <v>159</v>
      </c>
      <c r="D97" s="857"/>
      <c r="E97" s="857"/>
      <c r="F97" s="857"/>
      <c r="G97" s="857"/>
      <c r="H97" s="857"/>
      <c r="I97" s="857"/>
      <c r="J97" s="857"/>
      <c r="K97" s="857"/>
      <c r="L97" s="857"/>
      <c r="M97" s="858"/>
    </row>
    <row r="98" spans="1:13" ht="6.6" customHeight="1" x14ac:dyDescent="0.25">
      <c r="A98" s="480"/>
      <c r="B98" s="480"/>
      <c r="C98" s="480"/>
      <c r="D98" s="480"/>
      <c r="E98" s="480"/>
      <c r="F98" s="480"/>
      <c r="G98" s="480"/>
      <c r="H98" s="480"/>
      <c r="I98" s="480"/>
      <c r="J98" s="480"/>
      <c r="K98" s="480"/>
      <c r="L98" s="480"/>
      <c r="M98" s="480"/>
    </row>
    <row r="99" spans="1:13" ht="5.85" customHeight="1" x14ac:dyDescent="0.25">
      <c r="A99" s="799" t="s">
        <v>302</v>
      </c>
      <c r="B99" s="826"/>
      <c r="C99" s="801" t="s">
        <v>1503</v>
      </c>
      <c r="D99" s="802"/>
      <c r="E99" s="802"/>
      <c r="F99" s="802"/>
      <c r="G99" s="802"/>
      <c r="H99" s="802"/>
      <c r="I99" s="802"/>
      <c r="J99" s="802"/>
      <c r="K99" s="802"/>
      <c r="L99" s="802"/>
      <c r="M99" s="803"/>
    </row>
    <row r="100" spans="1:13" ht="11.65" customHeight="1" x14ac:dyDescent="0.25">
      <c r="A100" s="827"/>
      <c r="B100" s="828"/>
      <c r="C100" s="801" t="s">
        <v>303</v>
      </c>
      <c r="D100" s="802"/>
      <c r="E100" s="802"/>
      <c r="F100" s="802"/>
      <c r="G100" s="802"/>
      <c r="H100" s="802"/>
      <c r="I100" s="802"/>
      <c r="J100" s="802"/>
      <c r="K100" s="802"/>
      <c r="L100" s="802"/>
      <c r="M100" s="803"/>
    </row>
    <row r="101" spans="1:13" ht="10.9" customHeight="1" x14ac:dyDescent="0.25">
      <c r="A101" s="829" t="s">
        <v>304</v>
      </c>
      <c r="B101" s="830"/>
      <c r="C101" s="831" t="s">
        <v>2207</v>
      </c>
      <c r="D101" s="805"/>
      <c r="E101" s="805"/>
      <c r="F101" s="805"/>
      <c r="G101" s="805"/>
      <c r="H101" s="805"/>
      <c r="I101" s="805"/>
      <c r="J101" s="805"/>
      <c r="K101" s="805"/>
      <c r="L101" s="805"/>
      <c r="M101" s="804"/>
    </row>
    <row r="102" spans="1:13" ht="11.65" customHeight="1" x14ac:dyDescent="0.25">
      <c r="A102" s="812" t="s">
        <v>305</v>
      </c>
      <c r="B102" s="813"/>
      <c r="C102" s="814" t="s">
        <v>2287</v>
      </c>
      <c r="D102" s="815"/>
      <c r="E102" s="815"/>
      <c r="F102" s="815"/>
      <c r="G102" s="815"/>
      <c r="H102" s="815"/>
      <c r="I102" s="815"/>
      <c r="J102" s="815"/>
      <c r="K102" s="815"/>
      <c r="L102" s="815"/>
      <c r="M102" s="816"/>
    </row>
    <row r="103" spans="1:13" ht="5.85" customHeight="1" x14ac:dyDescent="0.25">
      <c r="A103" s="820"/>
      <c r="B103" s="821"/>
      <c r="C103" s="821"/>
      <c r="D103" s="821"/>
      <c r="E103" s="821"/>
      <c r="F103" s="821"/>
      <c r="G103" s="821"/>
      <c r="H103" s="821"/>
      <c r="I103" s="821"/>
      <c r="J103" s="821"/>
      <c r="K103" s="821"/>
      <c r="L103" s="821"/>
      <c r="M103" s="822"/>
    </row>
    <row r="104" spans="1:13" ht="17.45" customHeight="1" x14ac:dyDescent="0.25">
      <c r="A104" s="832" t="s">
        <v>306</v>
      </c>
      <c r="B104" s="833"/>
      <c r="C104" s="834" t="s">
        <v>2288</v>
      </c>
      <c r="D104" s="835"/>
      <c r="E104" s="835"/>
      <c r="F104" s="835"/>
      <c r="G104" s="835"/>
      <c r="H104" s="835"/>
      <c r="I104" s="835"/>
      <c r="J104" s="835"/>
      <c r="K104" s="835"/>
      <c r="L104" s="835"/>
      <c r="M104" s="836"/>
    </row>
    <row r="105" spans="1:13" ht="7.9" customHeight="1" x14ac:dyDescent="0.25">
      <c r="A105" s="820"/>
      <c r="B105" s="821"/>
      <c r="C105" s="821"/>
      <c r="D105" s="821"/>
      <c r="E105" s="821"/>
      <c r="F105" s="821"/>
      <c r="G105" s="821"/>
      <c r="H105" s="821"/>
      <c r="I105" s="821"/>
      <c r="J105" s="821"/>
      <c r="K105" s="821"/>
      <c r="L105" s="821"/>
      <c r="M105" s="822"/>
    </row>
    <row r="106" spans="1:13" ht="10.9" customHeight="1" x14ac:dyDescent="0.25">
      <c r="A106" s="799" t="s">
        <v>307</v>
      </c>
      <c r="B106" s="823"/>
      <c r="C106" s="823"/>
      <c r="D106" s="823"/>
      <c r="E106" s="823"/>
      <c r="F106" s="823"/>
      <c r="G106" s="823"/>
      <c r="H106" s="823"/>
      <c r="I106" s="823"/>
      <c r="J106" s="823"/>
      <c r="K106" s="823"/>
      <c r="L106" s="823"/>
      <c r="M106" s="800"/>
    </row>
    <row r="107" spans="1:13" ht="11.65" customHeight="1" x14ac:dyDescent="0.25">
      <c r="A107" s="799" t="s">
        <v>308</v>
      </c>
      <c r="B107" s="826"/>
      <c r="C107" s="799" t="s">
        <v>220</v>
      </c>
      <c r="D107" s="823"/>
      <c r="E107" s="823"/>
      <c r="F107" s="823"/>
      <c r="G107" s="823"/>
      <c r="H107" s="823"/>
      <c r="I107" s="823"/>
      <c r="J107" s="823"/>
      <c r="K107" s="823"/>
      <c r="L107" s="823"/>
      <c r="M107" s="800"/>
    </row>
    <row r="108" spans="1:13" ht="11.65" customHeight="1" x14ac:dyDescent="0.25">
      <c r="A108" s="854"/>
      <c r="B108" s="855"/>
      <c r="C108" s="850" t="s">
        <v>1530</v>
      </c>
      <c r="D108" s="851"/>
      <c r="E108" s="851"/>
      <c r="F108" s="851"/>
      <c r="G108" s="826"/>
      <c r="H108" s="850" t="s">
        <v>947</v>
      </c>
      <c r="I108" s="851"/>
      <c r="J108" s="851"/>
      <c r="K108" s="851"/>
      <c r="L108" s="851"/>
      <c r="M108" s="826"/>
    </row>
    <row r="109" spans="1:13" ht="11.65" customHeight="1" x14ac:dyDescent="0.25">
      <c r="A109" s="827"/>
      <c r="B109" s="828"/>
      <c r="C109" s="852" t="s">
        <v>46</v>
      </c>
      <c r="D109" s="853"/>
      <c r="E109" s="853"/>
      <c r="F109" s="853"/>
      <c r="G109" s="828"/>
      <c r="H109" s="852" t="s">
        <v>47</v>
      </c>
      <c r="I109" s="853"/>
      <c r="J109" s="853"/>
      <c r="K109" s="853"/>
      <c r="L109" s="853"/>
      <c r="M109" s="828"/>
    </row>
    <row r="110" spans="1:13" ht="10.9" customHeight="1" x14ac:dyDescent="0.25">
      <c r="A110" s="829" t="s">
        <v>309</v>
      </c>
      <c r="B110" s="830"/>
      <c r="C110" s="831" t="s">
        <v>1531</v>
      </c>
      <c r="D110" s="805"/>
      <c r="E110" s="805"/>
      <c r="F110" s="805"/>
      <c r="G110" s="804"/>
      <c r="H110" s="847">
        <v>30429822.48</v>
      </c>
      <c r="I110" s="848"/>
      <c r="J110" s="848"/>
      <c r="K110" s="848"/>
      <c r="L110" s="848"/>
      <c r="M110" s="849"/>
    </row>
    <row r="111" spans="1:13" ht="11.65" customHeight="1" x14ac:dyDescent="0.25">
      <c r="A111" s="837" t="s">
        <v>310</v>
      </c>
      <c r="B111" s="838"/>
      <c r="C111" s="806" t="s">
        <v>1678</v>
      </c>
      <c r="D111" s="807"/>
      <c r="E111" s="807"/>
      <c r="F111" s="807"/>
      <c r="G111" s="808"/>
      <c r="H111" s="809">
        <v>-18307715.57</v>
      </c>
      <c r="I111" s="810"/>
      <c r="J111" s="810"/>
      <c r="K111" s="810"/>
      <c r="L111" s="810"/>
      <c r="M111" s="811"/>
    </row>
    <row r="112" spans="1:13" ht="11.65" customHeight="1" x14ac:dyDescent="0.25">
      <c r="A112" s="837" t="s">
        <v>311</v>
      </c>
      <c r="B112" s="838"/>
      <c r="C112" s="806" t="s">
        <v>1679</v>
      </c>
      <c r="D112" s="807"/>
      <c r="E112" s="807"/>
      <c r="F112" s="807"/>
      <c r="G112" s="808"/>
      <c r="H112" s="809">
        <v>-18423159.199999999</v>
      </c>
      <c r="I112" s="810"/>
      <c r="J112" s="810"/>
      <c r="K112" s="810"/>
      <c r="L112" s="810"/>
      <c r="M112" s="811"/>
    </row>
    <row r="113" spans="1:13" ht="11.65" customHeight="1" x14ac:dyDescent="0.25">
      <c r="A113" s="837" t="s">
        <v>312</v>
      </c>
      <c r="B113" s="838"/>
      <c r="C113" s="806" t="s">
        <v>1680</v>
      </c>
      <c r="D113" s="807"/>
      <c r="E113" s="807"/>
      <c r="F113" s="807"/>
      <c r="G113" s="808"/>
      <c r="H113" s="809">
        <v>29062381.489999998</v>
      </c>
      <c r="I113" s="810"/>
      <c r="J113" s="810"/>
      <c r="K113" s="810"/>
      <c r="L113" s="810"/>
      <c r="M113" s="811"/>
    </row>
    <row r="114" spans="1:13" ht="10.9" customHeight="1" x14ac:dyDescent="0.25">
      <c r="A114" s="837" t="s">
        <v>313</v>
      </c>
      <c r="B114" s="838"/>
      <c r="C114" s="806" t="s">
        <v>1532</v>
      </c>
      <c r="D114" s="807"/>
      <c r="E114" s="807"/>
      <c r="F114" s="807"/>
      <c r="G114" s="808"/>
      <c r="H114" s="809">
        <v>44571490.590000004</v>
      </c>
      <c r="I114" s="810"/>
      <c r="J114" s="810"/>
      <c r="K114" s="810"/>
      <c r="L114" s="810"/>
      <c r="M114" s="811"/>
    </row>
    <row r="115" spans="1:13" ht="11.65" customHeight="1" x14ac:dyDescent="0.25">
      <c r="A115" s="837" t="s">
        <v>314</v>
      </c>
      <c r="B115" s="838"/>
      <c r="C115" s="806" t="s">
        <v>1533</v>
      </c>
      <c r="D115" s="807"/>
      <c r="E115" s="807"/>
      <c r="F115" s="807"/>
      <c r="G115" s="808"/>
      <c r="H115" s="809">
        <v>2914050.1</v>
      </c>
      <c r="I115" s="810"/>
      <c r="J115" s="810"/>
      <c r="K115" s="810"/>
      <c r="L115" s="810"/>
      <c r="M115" s="811"/>
    </row>
    <row r="116" spans="1:13" ht="11.65" customHeight="1" x14ac:dyDescent="0.25">
      <c r="A116" s="837" t="s">
        <v>315</v>
      </c>
      <c r="B116" s="838"/>
      <c r="C116" s="806" t="s">
        <v>1534</v>
      </c>
      <c r="D116" s="807"/>
      <c r="E116" s="807"/>
      <c r="F116" s="807"/>
      <c r="G116" s="808"/>
      <c r="H116" s="809">
        <v>115443.63</v>
      </c>
      <c r="I116" s="810"/>
      <c r="J116" s="810"/>
      <c r="K116" s="810"/>
      <c r="L116" s="810"/>
      <c r="M116" s="811"/>
    </row>
    <row r="117" spans="1:13" ht="11.65" customHeight="1" x14ac:dyDescent="0.25">
      <c r="A117" s="812" t="s">
        <v>316</v>
      </c>
      <c r="B117" s="813"/>
      <c r="C117" s="814" t="s">
        <v>1681</v>
      </c>
      <c r="D117" s="815"/>
      <c r="E117" s="815"/>
      <c r="F117" s="815"/>
      <c r="G117" s="816"/>
      <c r="H117" s="817">
        <v>48737538.049999997</v>
      </c>
      <c r="I117" s="818"/>
      <c r="J117" s="818"/>
      <c r="K117" s="818"/>
      <c r="L117" s="818"/>
      <c r="M117" s="819"/>
    </row>
    <row r="118" spans="1:13" ht="14.45" customHeight="1" x14ac:dyDescent="0.25">
      <c r="A118" s="832" t="s">
        <v>317</v>
      </c>
      <c r="B118" s="833"/>
      <c r="C118" s="841" t="s">
        <v>2289</v>
      </c>
      <c r="D118" s="842"/>
      <c r="E118" s="842"/>
      <c r="F118" s="842"/>
      <c r="G118" s="842"/>
      <c r="H118" s="842"/>
      <c r="I118" s="842"/>
      <c r="J118" s="842"/>
      <c r="K118" s="842"/>
      <c r="L118" s="842"/>
      <c r="M118" s="843"/>
    </row>
    <row r="119" spans="1:13" ht="5.85" customHeight="1" x14ac:dyDescent="0.25">
      <c r="A119" s="820"/>
      <c r="B119" s="821"/>
      <c r="C119" s="821"/>
      <c r="D119" s="821"/>
      <c r="E119" s="821"/>
      <c r="F119" s="821"/>
      <c r="G119" s="821"/>
      <c r="H119" s="821"/>
      <c r="I119" s="821"/>
      <c r="J119" s="821"/>
      <c r="K119" s="821"/>
      <c r="L119" s="821"/>
      <c r="M119" s="822"/>
    </row>
    <row r="120" spans="1:13" ht="11.65" customHeight="1" x14ac:dyDescent="0.25">
      <c r="A120" s="799" t="s">
        <v>318</v>
      </c>
      <c r="B120" s="800"/>
      <c r="C120" s="801" t="s">
        <v>300</v>
      </c>
      <c r="D120" s="802"/>
      <c r="E120" s="802"/>
      <c r="F120" s="802"/>
      <c r="G120" s="802"/>
      <c r="H120" s="802"/>
      <c r="I120" s="802"/>
      <c r="J120" s="802"/>
      <c r="K120" s="802"/>
      <c r="L120" s="802"/>
      <c r="M120" s="803"/>
    </row>
    <row r="121" spans="1:13" ht="11.65" customHeight="1" x14ac:dyDescent="0.25">
      <c r="A121" s="824" t="s">
        <v>319</v>
      </c>
      <c r="B121" s="825"/>
      <c r="C121" s="844" t="s">
        <v>159</v>
      </c>
      <c r="D121" s="845"/>
      <c r="E121" s="845"/>
      <c r="F121" s="845"/>
      <c r="G121" s="845"/>
      <c r="H121" s="845"/>
      <c r="I121" s="845"/>
      <c r="J121" s="845"/>
      <c r="K121" s="845"/>
      <c r="L121" s="845"/>
      <c r="M121" s="846"/>
    </row>
    <row r="122" spans="1:13" ht="5.0999999999999996" customHeight="1" x14ac:dyDescent="0.25">
      <c r="A122" s="480"/>
      <c r="B122" s="480"/>
      <c r="C122" s="480"/>
      <c r="D122" s="480"/>
      <c r="E122" s="480"/>
      <c r="F122" s="480"/>
      <c r="G122" s="480"/>
      <c r="H122" s="480"/>
      <c r="I122" s="480"/>
      <c r="J122" s="480"/>
      <c r="K122" s="480"/>
      <c r="L122" s="480"/>
      <c r="M122" s="480"/>
    </row>
    <row r="123" spans="1:13" ht="17.45" customHeight="1" x14ac:dyDescent="0.25">
      <c r="A123" s="799" t="s">
        <v>320</v>
      </c>
      <c r="B123" s="800"/>
      <c r="C123" s="799" t="s">
        <v>1503</v>
      </c>
      <c r="D123" s="823"/>
      <c r="E123" s="823"/>
      <c r="F123" s="823"/>
      <c r="G123" s="823"/>
      <c r="H123" s="823"/>
      <c r="I123" s="823"/>
      <c r="J123" s="823"/>
      <c r="K123" s="823"/>
      <c r="L123" s="823"/>
      <c r="M123" s="800"/>
    </row>
    <row r="124" spans="1:13" ht="11.65" customHeight="1" x14ac:dyDescent="0.25">
      <c r="A124" s="829" t="s">
        <v>2290</v>
      </c>
      <c r="B124" s="830"/>
      <c r="C124" s="481"/>
      <c r="D124" s="482"/>
      <c r="E124" s="482"/>
      <c r="F124" s="482"/>
      <c r="G124" s="482"/>
      <c r="H124" s="804" t="s">
        <v>2291</v>
      </c>
      <c r="I124" s="805"/>
      <c r="J124" s="805"/>
      <c r="K124" s="805"/>
      <c r="L124" s="805"/>
      <c r="M124" s="804"/>
    </row>
    <row r="125" spans="1:13" ht="13.9" customHeight="1" x14ac:dyDescent="0.25">
      <c r="A125" s="837" t="s">
        <v>321</v>
      </c>
      <c r="B125" s="838"/>
      <c r="C125" s="483"/>
      <c r="H125" s="808" t="s">
        <v>159</v>
      </c>
      <c r="I125" s="807"/>
      <c r="J125" s="807"/>
      <c r="K125" s="807"/>
      <c r="L125" s="807"/>
      <c r="M125" s="808"/>
    </row>
    <row r="126" spans="1:13" ht="11.65" customHeight="1" x14ac:dyDescent="0.25">
      <c r="A126" s="837" t="s">
        <v>322</v>
      </c>
      <c r="B126" s="838"/>
      <c r="C126" s="483"/>
      <c r="H126" s="808" t="s">
        <v>159</v>
      </c>
      <c r="I126" s="807"/>
      <c r="J126" s="807"/>
      <c r="K126" s="807"/>
      <c r="L126" s="807"/>
      <c r="M126" s="808"/>
    </row>
    <row r="127" spans="1:13" ht="14.45" customHeight="1" x14ac:dyDescent="0.25">
      <c r="A127" s="837" t="s">
        <v>323</v>
      </c>
      <c r="B127" s="838"/>
      <c r="C127" s="483"/>
      <c r="H127" s="808" t="s">
        <v>159</v>
      </c>
      <c r="I127" s="807"/>
      <c r="J127" s="807"/>
      <c r="K127" s="807"/>
      <c r="L127" s="807"/>
      <c r="M127" s="808"/>
    </row>
    <row r="128" spans="1:13" ht="14.45" customHeight="1" x14ac:dyDescent="0.25">
      <c r="A128" s="837" t="s">
        <v>324</v>
      </c>
      <c r="B128" s="838"/>
      <c r="C128" s="483"/>
      <c r="H128" s="808" t="s">
        <v>159</v>
      </c>
      <c r="I128" s="807"/>
      <c r="J128" s="807"/>
      <c r="K128" s="807"/>
      <c r="L128" s="807"/>
      <c r="M128" s="808"/>
    </row>
    <row r="129" spans="1:13" ht="10.9" customHeight="1" x14ac:dyDescent="0.25">
      <c r="A129" s="812" t="s">
        <v>325</v>
      </c>
      <c r="B129" s="813"/>
      <c r="C129" s="484"/>
      <c r="D129" s="479"/>
      <c r="E129" s="479"/>
      <c r="F129" s="479"/>
      <c r="G129" s="479"/>
      <c r="H129" s="816" t="s">
        <v>159</v>
      </c>
      <c r="I129" s="815"/>
      <c r="J129" s="815"/>
      <c r="K129" s="815"/>
      <c r="L129" s="815"/>
      <c r="M129" s="816"/>
    </row>
    <row r="130" spans="1:13" ht="21.75" customHeight="1" x14ac:dyDescent="0.25">
      <c r="A130" s="832" t="s">
        <v>2292</v>
      </c>
      <c r="B130" s="833"/>
      <c r="C130" s="841" t="s">
        <v>2293</v>
      </c>
      <c r="D130" s="842"/>
      <c r="E130" s="842"/>
      <c r="F130" s="842"/>
      <c r="G130" s="842"/>
      <c r="H130" s="842"/>
      <c r="I130" s="842"/>
      <c r="J130" s="842"/>
      <c r="K130" s="842"/>
      <c r="L130" s="842"/>
      <c r="M130" s="843"/>
    </row>
    <row r="131" spans="1:13" ht="11.65" customHeight="1" x14ac:dyDescent="0.25">
      <c r="A131" s="820"/>
      <c r="B131" s="821"/>
      <c r="C131" s="821"/>
      <c r="D131" s="821"/>
      <c r="E131" s="821"/>
      <c r="F131" s="821"/>
      <c r="G131" s="821"/>
      <c r="H131" s="821"/>
      <c r="I131" s="821"/>
      <c r="J131" s="821"/>
      <c r="K131" s="821"/>
      <c r="L131" s="821"/>
      <c r="M131" s="822"/>
    </row>
    <row r="132" spans="1:13" ht="14.45" customHeight="1" x14ac:dyDescent="0.25">
      <c r="A132" s="832" t="s">
        <v>326</v>
      </c>
      <c r="B132" s="833"/>
      <c r="C132" s="841" t="s">
        <v>2294</v>
      </c>
      <c r="D132" s="842"/>
      <c r="E132" s="842"/>
      <c r="F132" s="842"/>
      <c r="G132" s="842"/>
      <c r="H132" s="842"/>
      <c r="I132" s="842"/>
      <c r="J132" s="842"/>
      <c r="K132" s="842"/>
      <c r="L132" s="842"/>
      <c r="M132" s="843"/>
    </row>
    <row r="133" spans="1:13" ht="13.9" customHeight="1" x14ac:dyDescent="0.25">
      <c r="A133" s="482"/>
      <c r="B133" s="482"/>
      <c r="C133" s="482"/>
      <c r="D133" s="482"/>
      <c r="E133" s="482"/>
      <c r="F133" s="482"/>
      <c r="G133" s="482"/>
      <c r="H133" s="482"/>
      <c r="I133" s="482"/>
      <c r="J133" s="482"/>
      <c r="K133" s="482"/>
      <c r="L133" s="482"/>
      <c r="M133" s="482"/>
    </row>
    <row r="134" spans="1:13" ht="10.9" customHeight="1" x14ac:dyDescent="0.25">
      <c r="A134" s="796" t="s">
        <v>2249</v>
      </c>
      <c r="B134" s="796"/>
      <c r="C134" s="796"/>
      <c r="D134" s="796"/>
      <c r="E134" s="796"/>
      <c r="F134" s="796"/>
      <c r="G134" s="796"/>
      <c r="H134" s="796"/>
      <c r="I134" s="796"/>
      <c r="J134" s="796"/>
      <c r="K134" s="796"/>
      <c r="L134" s="796"/>
      <c r="M134" s="796"/>
    </row>
    <row r="135" spans="1:13" ht="11.65" customHeight="1" x14ac:dyDescent="0.25">
      <c r="A135" s="797" t="s">
        <v>134</v>
      </c>
      <c r="B135" s="797"/>
      <c r="C135" s="797"/>
      <c r="D135" s="797"/>
      <c r="L135" s="798" t="s">
        <v>216</v>
      </c>
      <c r="M135" s="798"/>
    </row>
    <row r="136" spans="1:13" ht="11.65" customHeight="1" x14ac:dyDescent="0.25">
      <c r="A136" s="797" t="s">
        <v>1</v>
      </c>
      <c r="B136" s="797"/>
      <c r="C136" s="797"/>
      <c r="D136" s="797"/>
    </row>
    <row r="137" spans="1:13" ht="11.65" customHeight="1" x14ac:dyDescent="0.25">
      <c r="A137" s="839" t="s">
        <v>225</v>
      </c>
      <c r="B137" s="839"/>
      <c r="C137" s="839"/>
      <c r="D137" s="839"/>
    </row>
    <row r="138" spans="1:13" ht="10.9" customHeight="1" x14ac:dyDescent="0.25">
      <c r="A138" s="797" t="s">
        <v>219</v>
      </c>
      <c r="B138" s="797"/>
      <c r="C138" s="797"/>
      <c r="D138" s="797"/>
    </row>
    <row r="139" spans="1:13" ht="11.65" customHeight="1" x14ac:dyDescent="0.25">
      <c r="A139" s="797" t="s">
        <v>2036</v>
      </c>
      <c r="B139" s="797"/>
      <c r="C139" s="797"/>
      <c r="D139" s="797"/>
    </row>
    <row r="140" spans="1:13" ht="5.85" customHeight="1" x14ac:dyDescent="0.25"/>
    <row r="141" spans="1:13" ht="5.85" customHeight="1" x14ac:dyDescent="0.25">
      <c r="A141" s="479"/>
      <c r="B141" s="479"/>
      <c r="C141" s="479"/>
      <c r="D141" s="479"/>
      <c r="E141" s="479"/>
      <c r="F141" s="479"/>
      <c r="G141" s="479"/>
      <c r="H141" s="479"/>
      <c r="I141" s="479"/>
      <c r="J141" s="479"/>
      <c r="K141" s="479"/>
      <c r="L141" s="479"/>
      <c r="M141" s="479"/>
    </row>
    <row r="142" spans="1:13" ht="16.7" customHeight="1" x14ac:dyDescent="0.25">
      <c r="A142" s="799" t="s">
        <v>327</v>
      </c>
      <c r="B142" s="800"/>
      <c r="C142" s="801" t="s">
        <v>328</v>
      </c>
      <c r="D142" s="802"/>
      <c r="E142" s="802"/>
      <c r="F142" s="802"/>
      <c r="G142" s="802"/>
      <c r="H142" s="802"/>
      <c r="I142" s="802"/>
      <c r="J142" s="802"/>
      <c r="K142" s="802"/>
      <c r="L142" s="802"/>
      <c r="M142" s="803"/>
    </row>
    <row r="143" spans="1:13" ht="11.65" customHeight="1" x14ac:dyDescent="0.25">
      <c r="A143" s="829" t="s">
        <v>329</v>
      </c>
      <c r="B143" s="830"/>
      <c r="C143" s="481"/>
      <c r="D143" s="482"/>
      <c r="E143" s="482"/>
      <c r="F143" s="482"/>
      <c r="G143" s="482"/>
      <c r="H143" s="804" t="s">
        <v>2170</v>
      </c>
      <c r="I143" s="805"/>
      <c r="J143" s="805"/>
      <c r="K143" s="805"/>
      <c r="L143" s="805"/>
      <c r="M143" s="804"/>
    </row>
    <row r="144" spans="1:13" ht="11.65" customHeight="1" x14ac:dyDescent="0.25">
      <c r="A144" s="837" t="s">
        <v>183</v>
      </c>
      <c r="B144" s="838"/>
      <c r="C144" s="483"/>
      <c r="H144" s="808" t="s">
        <v>159</v>
      </c>
      <c r="I144" s="807"/>
      <c r="J144" s="807"/>
      <c r="K144" s="807"/>
      <c r="L144" s="807"/>
      <c r="M144" s="808"/>
    </row>
    <row r="145" spans="1:13" ht="14.45" customHeight="1" x14ac:dyDescent="0.25">
      <c r="A145" s="837" t="s">
        <v>330</v>
      </c>
      <c r="B145" s="838"/>
      <c r="C145" s="483"/>
      <c r="H145" s="808" t="s">
        <v>2170</v>
      </c>
      <c r="I145" s="807"/>
      <c r="J145" s="807"/>
      <c r="K145" s="807"/>
      <c r="L145" s="807"/>
      <c r="M145" s="808"/>
    </row>
    <row r="146" spans="1:13" ht="10.9" customHeight="1" x14ac:dyDescent="0.25">
      <c r="A146" s="812" t="s">
        <v>331</v>
      </c>
      <c r="B146" s="813"/>
      <c r="C146" s="484"/>
      <c r="D146" s="479"/>
      <c r="E146" s="479"/>
      <c r="F146" s="479"/>
      <c r="G146" s="479"/>
      <c r="H146" s="816" t="s">
        <v>1535</v>
      </c>
      <c r="I146" s="815"/>
      <c r="J146" s="815"/>
      <c r="K146" s="815"/>
      <c r="L146" s="815"/>
      <c r="M146" s="816"/>
    </row>
    <row r="147" spans="1:13" ht="11.65" customHeight="1" x14ac:dyDescent="0.25">
      <c r="A147" s="482"/>
      <c r="B147" s="482"/>
      <c r="C147" s="482"/>
      <c r="D147" s="482"/>
      <c r="E147" s="482"/>
      <c r="F147" s="482"/>
      <c r="G147" s="482"/>
      <c r="H147" s="482"/>
      <c r="I147" s="482"/>
      <c r="J147" s="482"/>
      <c r="K147" s="482"/>
      <c r="L147" s="482"/>
      <c r="M147" s="482"/>
    </row>
    <row r="148" spans="1:13" ht="5.85" customHeight="1" x14ac:dyDescent="0.25"/>
    <row r="149" spans="1:13" ht="11.65" customHeight="1" x14ac:dyDescent="0.25"/>
    <row r="150" spans="1:13" ht="16.7" customHeight="1" x14ac:dyDescent="0.25"/>
    <row r="151" spans="1:13" ht="58.9" customHeight="1" x14ac:dyDescent="0.25">
      <c r="A151" s="840" t="s">
        <v>1496</v>
      </c>
      <c r="B151" s="840"/>
      <c r="C151" s="840"/>
      <c r="D151" s="840"/>
      <c r="E151" s="840"/>
      <c r="F151" s="840"/>
      <c r="G151" s="840"/>
      <c r="H151" s="840"/>
      <c r="I151" s="840"/>
      <c r="J151" s="840"/>
      <c r="K151" s="840"/>
      <c r="L151" s="840"/>
      <c r="M151" s="840"/>
    </row>
    <row r="156" spans="1:13" ht="11.65" customHeight="1" x14ac:dyDescent="0.25">
      <c r="A156" s="796" t="s">
        <v>2249</v>
      </c>
      <c r="B156" s="796"/>
      <c r="C156" s="796"/>
      <c r="D156" s="796"/>
      <c r="E156" s="796"/>
      <c r="F156" s="796"/>
      <c r="G156" s="796"/>
      <c r="H156" s="796"/>
      <c r="I156" s="796"/>
      <c r="J156" s="796"/>
      <c r="K156" s="796"/>
      <c r="L156" s="796"/>
      <c r="M156" s="796"/>
    </row>
  </sheetData>
  <mergeCells count="330">
    <mergeCell ref="A105:M105"/>
    <mergeCell ref="A106:M106"/>
    <mergeCell ref="A125:B125"/>
    <mergeCell ref="A126:B126"/>
    <mergeCell ref="H126:M126"/>
    <mergeCell ref="A127:B127"/>
    <mergeCell ref="H127:M127"/>
    <mergeCell ref="A128:B128"/>
    <mergeCell ref="A130:B130"/>
    <mergeCell ref="H128:M128"/>
    <mergeCell ref="A129:B129"/>
    <mergeCell ref="H129:M129"/>
    <mergeCell ref="A76:B76"/>
    <mergeCell ref="D76:E76"/>
    <mergeCell ref="G76:H76"/>
    <mergeCell ref="I76:J76"/>
    <mergeCell ref="K76:L76"/>
    <mergeCell ref="A77:B77"/>
    <mergeCell ref="D77:E77"/>
    <mergeCell ref="G77:H77"/>
    <mergeCell ref="I77:J77"/>
    <mergeCell ref="K77:L77"/>
    <mergeCell ref="A1:D1"/>
    <mergeCell ref="L1:M1"/>
    <mergeCell ref="A2:D2"/>
    <mergeCell ref="A3:D3"/>
    <mergeCell ref="A4:D4"/>
    <mergeCell ref="A5:D5"/>
    <mergeCell ref="J7:M7"/>
    <mergeCell ref="A8:M8"/>
    <mergeCell ref="A9:E11"/>
    <mergeCell ref="F9:F11"/>
    <mergeCell ref="G9:M9"/>
    <mergeCell ref="G10:M10"/>
    <mergeCell ref="G11:M11"/>
    <mergeCell ref="A12:E12"/>
    <mergeCell ref="G12:M12"/>
    <mergeCell ref="A13:E13"/>
    <mergeCell ref="G13:M13"/>
    <mergeCell ref="A14:E14"/>
    <mergeCell ref="G14:M14"/>
    <mergeCell ref="A15:E15"/>
    <mergeCell ref="G15:M15"/>
    <mergeCell ref="A16:E16"/>
    <mergeCell ref="G16:M16"/>
    <mergeCell ref="A17:E17"/>
    <mergeCell ref="G17:M17"/>
    <mergeCell ref="A18:E18"/>
    <mergeCell ref="G18:M18"/>
    <mergeCell ref="A19:E19"/>
    <mergeCell ref="G19:M19"/>
    <mergeCell ref="A20:E20"/>
    <mergeCell ref="G20:M20"/>
    <mergeCell ref="A21:E21"/>
    <mergeCell ref="G21:M21"/>
    <mergeCell ref="A22:E22"/>
    <mergeCell ref="G22:M22"/>
    <mergeCell ref="A23:E23"/>
    <mergeCell ref="G23:M23"/>
    <mergeCell ref="A24:E24"/>
    <mergeCell ref="G24:M24"/>
    <mergeCell ref="A25:E25"/>
    <mergeCell ref="G25:M25"/>
    <mergeCell ref="A26:E26"/>
    <mergeCell ref="G26:M26"/>
    <mergeCell ref="A27:E27"/>
    <mergeCell ref="G27:M27"/>
    <mergeCell ref="A28:E28"/>
    <mergeCell ref="G28:M28"/>
    <mergeCell ref="A29:E29"/>
    <mergeCell ref="G29:M29"/>
    <mergeCell ref="A30:E30"/>
    <mergeCell ref="G30:M30"/>
    <mergeCell ref="A31:E31"/>
    <mergeCell ref="G31:M31"/>
    <mergeCell ref="A32:E32"/>
    <mergeCell ref="G32:M32"/>
    <mergeCell ref="A33:E33"/>
    <mergeCell ref="G33:M33"/>
    <mergeCell ref="A34:E34"/>
    <mergeCell ref="G34:M34"/>
    <mergeCell ref="A35:E35"/>
    <mergeCell ref="G35:M35"/>
    <mergeCell ref="A36:E36"/>
    <mergeCell ref="G36:M36"/>
    <mergeCell ref="A37:E37"/>
    <mergeCell ref="G37:M37"/>
    <mergeCell ref="A38:E38"/>
    <mergeCell ref="G38:M38"/>
    <mergeCell ref="A39:E39"/>
    <mergeCell ref="G39:M39"/>
    <mergeCell ref="A40:E40"/>
    <mergeCell ref="G40:M40"/>
    <mergeCell ref="A41:E41"/>
    <mergeCell ref="G41:M41"/>
    <mergeCell ref="A42:E42"/>
    <mergeCell ref="G42:M42"/>
    <mergeCell ref="A43:E43"/>
    <mergeCell ref="G43:M43"/>
    <mergeCell ref="A44:E44"/>
    <mergeCell ref="G44:M44"/>
    <mergeCell ref="A45:E45"/>
    <mergeCell ref="G45:M45"/>
    <mergeCell ref="A46:E46"/>
    <mergeCell ref="G46:M46"/>
    <mergeCell ref="A47:E47"/>
    <mergeCell ref="G47:M47"/>
    <mergeCell ref="A48:E48"/>
    <mergeCell ref="G48:M48"/>
    <mergeCell ref="A49:E49"/>
    <mergeCell ref="G49:M49"/>
    <mergeCell ref="A50:E50"/>
    <mergeCell ref="G50:M50"/>
    <mergeCell ref="A51:E51"/>
    <mergeCell ref="G51:M51"/>
    <mergeCell ref="A52:E52"/>
    <mergeCell ref="G52:M52"/>
    <mergeCell ref="A53:E53"/>
    <mergeCell ref="G53:M53"/>
    <mergeCell ref="A54:E54"/>
    <mergeCell ref="G54:M54"/>
    <mergeCell ref="A56:B59"/>
    <mergeCell ref="C56:C59"/>
    <mergeCell ref="D56:M56"/>
    <mergeCell ref="D57:E59"/>
    <mergeCell ref="F57:F59"/>
    <mergeCell ref="G57:H58"/>
    <mergeCell ref="I57:J58"/>
    <mergeCell ref="K57:M57"/>
    <mergeCell ref="K58:L59"/>
    <mergeCell ref="M58:M59"/>
    <mergeCell ref="G59:H59"/>
    <mergeCell ref="I59:J59"/>
    <mergeCell ref="A60:B60"/>
    <mergeCell ref="D60:E60"/>
    <mergeCell ref="G60:H60"/>
    <mergeCell ref="I60:J60"/>
    <mergeCell ref="K60:L60"/>
    <mergeCell ref="A61:B61"/>
    <mergeCell ref="D61:E61"/>
    <mergeCell ref="G61:H61"/>
    <mergeCell ref="I61:J61"/>
    <mergeCell ref="K61:L61"/>
    <mergeCell ref="A62:B62"/>
    <mergeCell ref="D62:E62"/>
    <mergeCell ref="G62:H62"/>
    <mergeCell ref="I62:J62"/>
    <mergeCell ref="K62:L62"/>
    <mergeCell ref="A63:B63"/>
    <mergeCell ref="D63:E63"/>
    <mergeCell ref="G63:H63"/>
    <mergeCell ref="I63:J63"/>
    <mergeCell ref="K63:L63"/>
    <mergeCell ref="D64:E64"/>
    <mergeCell ref="G64:H64"/>
    <mergeCell ref="I64:J64"/>
    <mergeCell ref="K64:L64"/>
    <mergeCell ref="A66:B66"/>
    <mergeCell ref="D66:E66"/>
    <mergeCell ref="G66:H66"/>
    <mergeCell ref="I66:J66"/>
    <mergeCell ref="K66:L66"/>
    <mergeCell ref="A64:B64"/>
    <mergeCell ref="A65:B65"/>
    <mergeCell ref="D65:E65"/>
    <mergeCell ref="G65:H65"/>
    <mergeCell ref="I65:J65"/>
    <mergeCell ref="K65:L65"/>
    <mergeCell ref="D67:E67"/>
    <mergeCell ref="G67:H67"/>
    <mergeCell ref="I67:J67"/>
    <mergeCell ref="K67:L67"/>
    <mergeCell ref="A67:B67"/>
    <mergeCell ref="A69:M69"/>
    <mergeCell ref="A72:D72"/>
    <mergeCell ref="A73:D73"/>
    <mergeCell ref="A74:D74"/>
    <mergeCell ref="A70:D70"/>
    <mergeCell ref="L70:M70"/>
    <mergeCell ref="A71:D71"/>
    <mergeCell ref="A78:B78"/>
    <mergeCell ref="D78:E78"/>
    <mergeCell ref="G78:H78"/>
    <mergeCell ref="I78:J78"/>
    <mergeCell ref="K78:L78"/>
    <mergeCell ref="A79:B79"/>
    <mergeCell ref="D79:E79"/>
    <mergeCell ref="G79:H79"/>
    <mergeCell ref="I79:J79"/>
    <mergeCell ref="K79:L79"/>
    <mergeCell ref="A80:B80"/>
    <mergeCell ref="D80:E80"/>
    <mergeCell ref="G80:H80"/>
    <mergeCell ref="I80:J80"/>
    <mergeCell ref="K80:L80"/>
    <mergeCell ref="A81:B81"/>
    <mergeCell ref="D81:E81"/>
    <mergeCell ref="G81:H81"/>
    <mergeCell ref="I81:J81"/>
    <mergeCell ref="K81:L81"/>
    <mergeCell ref="A82:B82"/>
    <mergeCell ref="D82:E82"/>
    <mergeCell ref="G82:H82"/>
    <mergeCell ref="I82:J82"/>
    <mergeCell ref="K82:L82"/>
    <mergeCell ref="A83:B83"/>
    <mergeCell ref="D83:E83"/>
    <mergeCell ref="G83:H83"/>
    <mergeCell ref="I83:J83"/>
    <mergeCell ref="K83:L83"/>
    <mergeCell ref="A84:B84"/>
    <mergeCell ref="D84:E84"/>
    <mergeCell ref="G84:H84"/>
    <mergeCell ref="I84:J84"/>
    <mergeCell ref="K84:L84"/>
    <mergeCell ref="D85:E85"/>
    <mergeCell ref="G85:H85"/>
    <mergeCell ref="I85:J85"/>
    <mergeCell ref="K85:L85"/>
    <mergeCell ref="A87:B87"/>
    <mergeCell ref="D87:E87"/>
    <mergeCell ref="G87:H87"/>
    <mergeCell ref="I87:J87"/>
    <mergeCell ref="K87:L87"/>
    <mergeCell ref="A85:B85"/>
    <mergeCell ref="A86:B86"/>
    <mergeCell ref="D86:E86"/>
    <mergeCell ref="G86:H86"/>
    <mergeCell ref="I86:J86"/>
    <mergeCell ref="K86:L86"/>
    <mergeCell ref="D88:E88"/>
    <mergeCell ref="G88:H88"/>
    <mergeCell ref="I88:J88"/>
    <mergeCell ref="K88:L88"/>
    <mergeCell ref="A90:B90"/>
    <mergeCell ref="A88:B88"/>
    <mergeCell ref="A92:B92"/>
    <mergeCell ref="A91:M91"/>
    <mergeCell ref="C92:M92"/>
    <mergeCell ref="A89:B89"/>
    <mergeCell ref="D89:E89"/>
    <mergeCell ref="G89:H89"/>
    <mergeCell ref="I89:J89"/>
    <mergeCell ref="K89:L89"/>
    <mergeCell ref="D90:E90"/>
    <mergeCell ref="G90:H90"/>
    <mergeCell ref="I90:J90"/>
    <mergeCell ref="K90:L90"/>
    <mergeCell ref="C110:G110"/>
    <mergeCell ref="H110:M110"/>
    <mergeCell ref="C111:G111"/>
    <mergeCell ref="H111:M111"/>
    <mergeCell ref="A112:B112"/>
    <mergeCell ref="C112:G112"/>
    <mergeCell ref="H112:M112"/>
    <mergeCell ref="C108:G108"/>
    <mergeCell ref="H108:M108"/>
    <mergeCell ref="C109:G109"/>
    <mergeCell ref="H109:M109"/>
    <mergeCell ref="A110:B110"/>
    <mergeCell ref="A111:B111"/>
    <mergeCell ref="A107:B109"/>
    <mergeCell ref="C107:M107"/>
    <mergeCell ref="A113:B113"/>
    <mergeCell ref="C113:G113"/>
    <mergeCell ref="H113:M113"/>
    <mergeCell ref="A114:B114"/>
    <mergeCell ref="C114:G114"/>
    <mergeCell ref="H114:M114"/>
    <mergeCell ref="A115:B115"/>
    <mergeCell ref="C115:G115"/>
    <mergeCell ref="H115:M115"/>
    <mergeCell ref="A151:M151"/>
    <mergeCell ref="A156:M156"/>
    <mergeCell ref="A116:B116"/>
    <mergeCell ref="A118:B118"/>
    <mergeCell ref="C118:M118"/>
    <mergeCell ref="A123:B123"/>
    <mergeCell ref="A121:B121"/>
    <mergeCell ref="C121:M121"/>
    <mergeCell ref="A124:B124"/>
    <mergeCell ref="H124:M124"/>
    <mergeCell ref="H125:M125"/>
    <mergeCell ref="C130:M130"/>
    <mergeCell ref="A132:B132"/>
    <mergeCell ref="C132:M132"/>
    <mergeCell ref="A131:M131"/>
    <mergeCell ref="A145:B145"/>
    <mergeCell ref="H145:M145"/>
    <mergeCell ref="A146:B146"/>
    <mergeCell ref="H146:M146"/>
    <mergeCell ref="A136:D136"/>
    <mergeCell ref="A137:D137"/>
    <mergeCell ref="A138:D138"/>
    <mergeCell ref="A139:D139"/>
    <mergeCell ref="A143:B143"/>
    <mergeCell ref="A144:B144"/>
    <mergeCell ref="H144:M144"/>
    <mergeCell ref="A93:M93"/>
    <mergeCell ref="A96:B96"/>
    <mergeCell ref="C96:M96"/>
    <mergeCell ref="A97:B97"/>
    <mergeCell ref="A99:B100"/>
    <mergeCell ref="A101:B101"/>
    <mergeCell ref="C101:M101"/>
    <mergeCell ref="A104:B104"/>
    <mergeCell ref="C104:M104"/>
    <mergeCell ref="A94:B94"/>
    <mergeCell ref="C94:M94"/>
    <mergeCell ref="C99:M99"/>
    <mergeCell ref="C97:M97"/>
    <mergeCell ref="C100:M100"/>
    <mergeCell ref="A102:B102"/>
    <mergeCell ref="A103:M103"/>
    <mergeCell ref="C102:M102"/>
    <mergeCell ref="A134:M134"/>
    <mergeCell ref="A135:D135"/>
    <mergeCell ref="L135:M135"/>
    <mergeCell ref="A142:B142"/>
    <mergeCell ref="C142:M142"/>
    <mergeCell ref="H143:M143"/>
    <mergeCell ref="C116:G116"/>
    <mergeCell ref="H116:M116"/>
    <mergeCell ref="A117:B117"/>
    <mergeCell ref="C117:G117"/>
    <mergeCell ref="H117:M117"/>
    <mergeCell ref="A119:M119"/>
    <mergeCell ref="A120:B120"/>
    <mergeCell ref="C120:M120"/>
    <mergeCell ref="C123:M12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80"/>
  <sheetViews>
    <sheetView zoomScaleNormal="100" workbookViewId="0">
      <selection sqref="A1:B1"/>
    </sheetView>
  </sheetViews>
  <sheetFormatPr defaultRowHeight="15" x14ac:dyDescent="0.25"/>
  <cols>
    <col min="1" max="1" width="64.42578125" style="478" customWidth="1"/>
    <col min="2" max="2" width="13.28515625" style="478" customWidth="1"/>
    <col min="3" max="3" width="4.140625" style="478" customWidth="1"/>
    <col min="4" max="4" width="8.140625" style="478" customWidth="1"/>
    <col min="5" max="5" width="5" style="478" customWidth="1"/>
    <col min="6" max="6" width="13.42578125" style="478" customWidth="1"/>
    <col min="7" max="7" width="8.140625" style="478" customWidth="1"/>
    <col min="8" max="8" width="1" style="478" customWidth="1"/>
    <col min="9" max="9" width="4" style="478" customWidth="1"/>
    <col min="10" max="10" width="4.140625" style="478" customWidth="1"/>
    <col min="11" max="11" width="4" style="478" customWidth="1"/>
    <col min="12" max="12" width="11.28515625" style="478" customWidth="1"/>
    <col min="13" max="13" width="0.5703125" style="478" customWidth="1"/>
    <col min="14" max="16384" width="9.140625" style="478"/>
  </cols>
  <sheetData>
    <row r="1" spans="1:13" ht="11.65" customHeight="1" x14ac:dyDescent="0.25">
      <c r="A1" s="797" t="s">
        <v>134</v>
      </c>
      <c r="B1" s="797"/>
      <c r="L1" s="693" t="s">
        <v>332</v>
      </c>
    </row>
    <row r="2" spans="1:13" ht="10.9" customHeight="1" x14ac:dyDescent="0.25">
      <c r="A2" s="797" t="s">
        <v>333</v>
      </c>
      <c r="B2" s="797"/>
    </row>
    <row r="3" spans="1:13" ht="11.65" customHeight="1" x14ac:dyDescent="0.25">
      <c r="A3" s="839" t="s">
        <v>334</v>
      </c>
      <c r="B3" s="839"/>
      <c r="C3" s="839"/>
      <c r="D3" s="839"/>
      <c r="E3" s="839"/>
      <c r="F3" s="839"/>
      <c r="G3" s="839"/>
      <c r="H3" s="839"/>
    </row>
    <row r="4" spans="1:13" ht="11.65" customHeight="1" x14ac:dyDescent="0.25">
      <c r="A4" s="797" t="s">
        <v>335</v>
      </c>
      <c r="B4" s="797"/>
    </row>
    <row r="5" spans="1:13" ht="11.65" customHeight="1" x14ac:dyDescent="0.25">
      <c r="A5" s="797" t="s">
        <v>2036</v>
      </c>
      <c r="B5" s="797"/>
    </row>
    <row r="6" spans="1:13" ht="5.85" customHeight="1" x14ac:dyDescent="0.25"/>
    <row r="7" spans="1:13" ht="10.9" customHeight="1" x14ac:dyDescent="0.25">
      <c r="A7" s="902" t="s">
        <v>336</v>
      </c>
      <c r="B7" s="902"/>
      <c r="C7" s="479"/>
      <c r="D7" s="479"/>
      <c r="E7" s="479"/>
      <c r="F7" s="479"/>
      <c r="G7" s="479"/>
      <c r="H7" s="887" t="s">
        <v>5</v>
      </c>
      <c r="I7" s="887"/>
      <c r="J7" s="887"/>
      <c r="K7" s="887"/>
      <c r="L7" s="887"/>
    </row>
    <row r="8" spans="1:13" ht="11.65" customHeight="1" x14ac:dyDescent="0.25">
      <c r="A8" s="799" t="s">
        <v>337</v>
      </c>
      <c r="B8" s="823"/>
      <c r="C8" s="823"/>
      <c r="D8" s="823"/>
      <c r="E8" s="823"/>
      <c r="F8" s="823"/>
      <c r="G8" s="823"/>
      <c r="H8" s="823"/>
      <c r="I8" s="823"/>
      <c r="J8" s="823"/>
      <c r="K8" s="823"/>
      <c r="L8" s="800"/>
      <c r="M8" s="483"/>
    </row>
    <row r="9" spans="1:13" ht="11.65" customHeight="1" x14ac:dyDescent="0.25">
      <c r="A9" s="799" t="s">
        <v>338</v>
      </c>
      <c r="B9" s="823"/>
      <c r="C9" s="823"/>
      <c r="D9" s="823"/>
      <c r="E9" s="823"/>
      <c r="F9" s="823"/>
      <c r="G9" s="823"/>
      <c r="H9" s="823"/>
      <c r="I9" s="823"/>
      <c r="J9" s="823"/>
      <c r="K9" s="823"/>
      <c r="L9" s="800"/>
      <c r="M9" s="483"/>
    </row>
    <row r="10" spans="1:13" ht="28.35" customHeight="1" x14ac:dyDescent="0.25">
      <c r="A10" s="681" t="s">
        <v>339</v>
      </c>
      <c r="B10" s="909" t="s">
        <v>340</v>
      </c>
      <c r="C10" s="911"/>
      <c r="D10" s="910"/>
      <c r="E10" s="909" t="s">
        <v>341</v>
      </c>
      <c r="F10" s="911"/>
      <c r="G10" s="911"/>
      <c r="H10" s="911"/>
      <c r="I10" s="911"/>
      <c r="J10" s="911"/>
      <c r="K10" s="911"/>
      <c r="L10" s="910"/>
      <c r="M10" s="483"/>
    </row>
    <row r="11" spans="1:13" ht="11.65" customHeight="1" x14ac:dyDescent="0.25">
      <c r="A11" s="699" t="s">
        <v>342</v>
      </c>
      <c r="B11" s="929" t="s">
        <v>1536</v>
      </c>
      <c r="C11" s="930"/>
      <c r="D11" s="931"/>
      <c r="E11" s="929" t="s">
        <v>2295</v>
      </c>
      <c r="F11" s="930"/>
      <c r="G11" s="930"/>
      <c r="H11" s="930"/>
      <c r="I11" s="930"/>
      <c r="J11" s="930"/>
      <c r="K11" s="930"/>
      <c r="L11" s="931"/>
      <c r="M11" s="483"/>
    </row>
    <row r="12" spans="1:13" ht="11.65" customHeight="1" x14ac:dyDescent="0.25">
      <c r="A12" s="709" t="s">
        <v>343</v>
      </c>
      <c r="B12" s="926" t="s">
        <v>1537</v>
      </c>
      <c r="C12" s="927"/>
      <c r="D12" s="928"/>
      <c r="E12" s="926" t="s">
        <v>2296</v>
      </c>
      <c r="F12" s="927"/>
      <c r="G12" s="927"/>
      <c r="H12" s="927"/>
      <c r="I12" s="927"/>
      <c r="J12" s="927"/>
      <c r="K12" s="927"/>
      <c r="L12" s="928"/>
      <c r="M12" s="483"/>
    </row>
    <row r="13" spans="1:13" ht="10.9" customHeight="1" x14ac:dyDescent="0.25">
      <c r="A13" s="697" t="s">
        <v>344</v>
      </c>
      <c r="B13" s="806" t="s">
        <v>1538</v>
      </c>
      <c r="C13" s="807"/>
      <c r="D13" s="808"/>
      <c r="E13" s="806" t="s">
        <v>2297</v>
      </c>
      <c r="F13" s="807"/>
      <c r="G13" s="807"/>
      <c r="H13" s="807"/>
      <c r="I13" s="807"/>
      <c r="J13" s="807"/>
      <c r="K13" s="807"/>
      <c r="L13" s="808"/>
      <c r="M13" s="483"/>
    </row>
    <row r="14" spans="1:13" ht="11.65" customHeight="1" x14ac:dyDescent="0.25">
      <c r="A14" s="697" t="s">
        <v>345</v>
      </c>
      <c r="B14" s="806" t="s">
        <v>1539</v>
      </c>
      <c r="C14" s="807"/>
      <c r="D14" s="808"/>
      <c r="E14" s="806" t="s">
        <v>2298</v>
      </c>
      <c r="F14" s="807"/>
      <c r="G14" s="807"/>
      <c r="H14" s="807"/>
      <c r="I14" s="807"/>
      <c r="J14" s="807"/>
      <c r="K14" s="807"/>
      <c r="L14" s="808"/>
      <c r="M14" s="483"/>
    </row>
    <row r="15" spans="1:13" ht="11.65" customHeight="1" x14ac:dyDescent="0.25">
      <c r="A15" s="697" t="s">
        <v>346</v>
      </c>
      <c r="B15" s="806" t="s">
        <v>1540</v>
      </c>
      <c r="C15" s="807"/>
      <c r="D15" s="808"/>
      <c r="E15" s="806" t="s">
        <v>2299</v>
      </c>
      <c r="F15" s="807"/>
      <c r="G15" s="807"/>
      <c r="H15" s="807"/>
      <c r="I15" s="807"/>
      <c r="J15" s="807"/>
      <c r="K15" s="807"/>
      <c r="L15" s="808"/>
      <c r="M15" s="483"/>
    </row>
    <row r="16" spans="1:13" ht="11.65" customHeight="1" x14ac:dyDescent="0.25">
      <c r="A16" s="709" t="s">
        <v>347</v>
      </c>
      <c r="B16" s="926" t="s">
        <v>1541</v>
      </c>
      <c r="C16" s="927"/>
      <c r="D16" s="928"/>
      <c r="E16" s="926" t="s">
        <v>2300</v>
      </c>
      <c r="F16" s="927"/>
      <c r="G16" s="927"/>
      <c r="H16" s="927"/>
      <c r="I16" s="927"/>
      <c r="J16" s="927"/>
      <c r="K16" s="927"/>
      <c r="L16" s="928"/>
      <c r="M16" s="483"/>
    </row>
    <row r="17" spans="1:13" ht="10.9" customHeight="1" x14ac:dyDescent="0.25">
      <c r="A17" s="697" t="s">
        <v>344</v>
      </c>
      <c r="B17" s="806" t="s">
        <v>1542</v>
      </c>
      <c r="C17" s="807"/>
      <c r="D17" s="808"/>
      <c r="E17" s="806" t="s">
        <v>2301</v>
      </c>
      <c r="F17" s="807"/>
      <c r="G17" s="807"/>
      <c r="H17" s="807"/>
      <c r="I17" s="807"/>
      <c r="J17" s="807"/>
      <c r="K17" s="807"/>
      <c r="L17" s="808"/>
      <c r="M17" s="483"/>
    </row>
    <row r="18" spans="1:13" ht="11.65" customHeight="1" x14ac:dyDescent="0.25">
      <c r="A18" s="697" t="s">
        <v>345</v>
      </c>
      <c r="B18" s="806" t="s">
        <v>1543</v>
      </c>
      <c r="C18" s="807"/>
      <c r="D18" s="808"/>
      <c r="E18" s="806" t="s">
        <v>2302</v>
      </c>
      <c r="F18" s="807"/>
      <c r="G18" s="807"/>
      <c r="H18" s="807"/>
      <c r="I18" s="807"/>
      <c r="J18" s="807"/>
      <c r="K18" s="807"/>
      <c r="L18" s="808"/>
      <c r="M18" s="483"/>
    </row>
    <row r="19" spans="1:13" ht="11.65" customHeight="1" x14ac:dyDescent="0.25">
      <c r="A19" s="697" t="s">
        <v>346</v>
      </c>
      <c r="B19" s="806" t="s">
        <v>1544</v>
      </c>
      <c r="C19" s="807"/>
      <c r="D19" s="808"/>
      <c r="E19" s="806" t="s">
        <v>2303</v>
      </c>
      <c r="F19" s="807"/>
      <c r="G19" s="807"/>
      <c r="H19" s="807"/>
      <c r="I19" s="807"/>
      <c r="J19" s="807"/>
      <c r="K19" s="807"/>
      <c r="L19" s="808"/>
      <c r="M19" s="483"/>
    </row>
    <row r="20" spans="1:13" ht="11.65" customHeight="1" x14ac:dyDescent="0.25">
      <c r="A20" s="709" t="s">
        <v>237</v>
      </c>
      <c r="B20" s="926" t="s">
        <v>1545</v>
      </c>
      <c r="C20" s="927"/>
      <c r="D20" s="928"/>
      <c r="E20" s="926" t="s">
        <v>2304</v>
      </c>
      <c r="F20" s="927"/>
      <c r="G20" s="927"/>
      <c r="H20" s="927"/>
      <c r="I20" s="927"/>
      <c r="J20" s="927"/>
      <c r="K20" s="927"/>
      <c r="L20" s="928"/>
      <c r="M20" s="483"/>
    </row>
    <row r="21" spans="1:13" ht="10.9" customHeight="1" x14ac:dyDescent="0.25">
      <c r="A21" s="697" t="s">
        <v>348</v>
      </c>
      <c r="B21" s="806" t="s">
        <v>159</v>
      </c>
      <c r="C21" s="807"/>
      <c r="D21" s="808"/>
      <c r="E21" s="806" t="s">
        <v>159</v>
      </c>
      <c r="F21" s="807"/>
      <c r="G21" s="807"/>
      <c r="H21" s="807"/>
      <c r="I21" s="807"/>
      <c r="J21" s="807"/>
      <c r="K21" s="807"/>
      <c r="L21" s="808"/>
      <c r="M21" s="483"/>
    </row>
    <row r="22" spans="1:13" ht="11.65" customHeight="1" x14ac:dyDescent="0.25">
      <c r="A22" s="697" t="s">
        <v>349</v>
      </c>
      <c r="B22" s="806" t="s">
        <v>1545</v>
      </c>
      <c r="C22" s="807"/>
      <c r="D22" s="808"/>
      <c r="E22" s="806" t="s">
        <v>2304</v>
      </c>
      <c r="F22" s="807"/>
      <c r="G22" s="807"/>
      <c r="H22" s="807"/>
      <c r="I22" s="807"/>
      <c r="J22" s="807"/>
      <c r="K22" s="807"/>
      <c r="L22" s="808"/>
      <c r="M22" s="483"/>
    </row>
    <row r="23" spans="1:13" ht="11.65" customHeight="1" x14ac:dyDescent="0.25">
      <c r="A23" s="697" t="s">
        <v>239</v>
      </c>
      <c r="B23" s="806" t="s">
        <v>159</v>
      </c>
      <c r="C23" s="807"/>
      <c r="D23" s="808"/>
      <c r="E23" s="806" t="s">
        <v>159</v>
      </c>
      <c r="F23" s="807"/>
      <c r="G23" s="807"/>
      <c r="H23" s="807"/>
      <c r="I23" s="807"/>
      <c r="J23" s="807"/>
      <c r="K23" s="807"/>
      <c r="L23" s="808"/>
      <c r="M23" s="483"/>
    </row>
    <row r="24" spans="1:13" ht="11.65" customHeight="1" x14ac:dyDescent="0.25">
      <c r="A24" s="709" t="s">
        <v>350</v>
      </c>
      <c r="B24" s="926" t="s">
        <v>159</v>
      </c>
      <c r="C24" s="927"/>
      <c r="D24" s="928"/>
      <c r="E24" s="926" t="s">
        <v>159</v>
      </c>
      <c r="F24" s="927"/>
      <c r="G24" s="927"/>
      <c r="H24" s="927"/>
      <c r="I24" s="927"/>
      <c r="J24" s="927"/>
      <c r="K24" s="927"/>
      <c r="L24" s="928"/>
      <c r="M24" s="483"/>
    </row>
    <row r="25" spans="1:13" ht="10.9" customHeight="1" x14ac:dyDescent="0.25">
      <c r="A25" s="709" t="s">
        <v>351</v>
      </c>
      <c r="B25" s="926" t="s">
        <v>1546</v>
      </c>
      <c r="C25" s="927"/>
      <c r="D25" s="928"/>
      <c r="E25" s="926" t="s">
        <v>2305</v>
      </c>
      <c r="F25" s="927"/>
      <c r="G25" s="927"/>
      <c r="H25" s="927"/>
      <c r="I25" s="927"/>
      <c r="J25" s="927"/>
      <c r="K25" s="927"/>
      <c r="L25" s="928"/>
      <c r="M25" s="483"/>
    </row>
    <row r="26" spans="1:13" ht="11.65" customHeight="1" x14ac:dyDescent="0.25">
      <c r="A26" s="697" t="s">
        <v>352</v>
      </c>
      <c r="B26" s="806" t="s">
        <v>1547</v>
      </c>
      <c r="C26" s="807"/>
      <c r="D26" s="808"/>
      <c r="E26" s="806" t="s">
        <v>2306</v>
      </c>
      <c r="F26" s="807"/>
      <c r="G26" s="807"/>
      <c r="H26" s="807"/>
      <c r="I26" s="807"/>
      <c r="J26" s="807"/>
      <c r="K26" s="807"/>
      <c r="L26" s="808"/>
      <c r="M26" s="483"/>
    </row>
    <row r="27" spans="1:13" ht="11.65" customHeight="1" x14ac:dyDescent="0.25">
      <c r="A27" s="697" t="s">
        <v>353</v>
      </c>
      <c r="B27" s="806" t="s">
        <v>1493</v>
      </c>
      <c r="C27" s="807"/>
      <c r="D27" s="808"/>
      <c r="E27" s="806" t="s">
        <v>2178</v>
      </c>
      <c r="F27" s="807"/>
      <c r="G27" s="807"/>
      <c r="H27" s="807"/>
      <c r="I27" s="807"/>
      <c r="J27" s="807"/>
      <c r="K27" s="807"/>
      <c r="L27" s="808"/>
      <c r="M27" s="483"/>
    </row>
    <row r="28" spans="1:13" ht="11.65" customHeight="1" x14ac:dyDescent="0.25">
      <c r="A28" s="697" t="s">
        <v>173</v>
      </c>
      <c r="B28" s="806" t="s">
        <v>1548</v>
      </c>
      <c r="C28" s="807"/>
      <c r="D28" s="808"/>
      <c r="E28" s="806" t="s">
        <v>159</v>
      </c>
      <c r="F28" s="807"/>
      <c r="G28" s="807"/>
      <c r="H28" s="807"/>
      <c r="I28" s="807"/>
      <c r="J28" s="807"/>
      <c r="K28" s="807"/>
      <c r="L28" s="808"/>
      <c r="M28" s="483"/>
    </row>
    <row r="29" spans="1:13" ht="10.9" customHeight="1" x14ac:dyDescent="0.25">
      <c r="A29" s="697" t="s">
        <v>354</v>
      </c>
      <c r="B29" s="926" t="s">
        <v>159</v>
      </c>
      <c r="C29" s="927"/>
      <c r="D29" s="928"/>
      <c r="E29" s="926" t="s">
        <v>159</v>
      </c>
      <c r="F29" s="927"/>
      <c r="G29" s="927"/>
      <c r="H29" s="927"/>
      <c r="I29" s="927"/>
      <c r="J29" s="927"/>
      <c r="K29" s="927"/>
      <c r="L29" s="928"/>
      <c r="M29" s="483"/>
    </row>
    <row r="30" spans="1:13" ht="11.65" customHeight="1" x14ac:dyDescent="0.25">
      <c r="A30" s="697" t="s">
        <v>355</v>
      </c>
      <c r="B30" s="806" t="s">
        <v>159</v>
      </c>
      <c r="C30" s="807"/>
      <c r="D30" s="808"/>
      <c r="E30" s="806" t="s">
        <v>159</v>
      </c>
      <c r="F30" s="807"/>
      <c r="G30" s="807"/>
      <c r="H30" s="807"/>
      <c r="I30" s="807"/>
      <c r="J30" s="807"/>
      <c r="K30" s="807"/>
      <c r="L30" s="808"/>
      <c r="M30" s="483"/>
    </row>
    <row r="31" spans="1:13" ht="11.65" customHeight="1" x14ac:dyDescent="0.25">
      <c r="A31" s="697" t="s">
        <v>356</v>
      </c>
      <c r="B31" s="806" t="s">
        <v>159</v>
      </c>
      <c r="C31" s="807"/>
      <c r="D31" s="808"/>
      <c r="E31" s="806" t="s">
        <v>159</v>
      </c>
      <c r="F31" s="807"/>
      <c r="G31" s="807"/>
      <c r="H31" s="807"/>
      <c r="I31" s="807"/>
      <c r="J31" s="807"/>
      <c r="K31" s="807"/>
      <c r="L31" s="808"/>
      <c r="M31" s="483"/>
    </row>
    <row r="32" spans="1:13" ht="11.65" customHeight="1" x14ac:dyDescent="0.25">
      <c r="A32" s="698" t="s">
        <v>263</v>
      </c>
      <c r="B32" s="814" t="s">
        <v>159</v>
      </c>
      <c r="C32" s="815"/>
      <c r="D32" s="816"/>
      <c r="E32" s="814" t="s">
        <v>159</v>
      </c>
      <c r="F32" s="815"/>
      <c r="G32" s="815"/>
      <c r="H32" s="815"/>
      <c r="I32" s="815"/>
      <c r="J32" s="815"/>
      <c r="K32" s="815"/>
      <c r="L32" s="816"/>
      <c r="M32" s="483"/>
    </row>
    <row r="33" spans="1:13" ht="10.9" customHeight="1" x14ac:dyDescent="0.25">
      <c r="A33" s="704" t="s">
        <v>357</v>
      </c>
      <c r="B33" s="923" t="s">
        <v>1549</v>
      </c>
      <c r="C33" s="924"/>
      <c r="D33" s="925"/>
      <c r="E33" s="923" t="s">
        <v>2307</v>
      </c>
      <c r="F33" s="924"/>
      <c r="G33" s="924"/>
      <c r="H33" s="924"/>
      <c r="I33" s="924"/>
      <c r="J33" s="924"/>
      <c r="K33" s="924"/>
      <c r="L33" s="925"/>
      <c r="M33" s="483"/>
    </row>
    <row r="34" spans="1:13" ht="5.85" customHeight="1" x14ac:dyDescent="0.25">
      <c r="A34" s="480"/>
      <c r="B34" s="480"/>
      <c r="C34" s="480"/>
      <c r="D34" s="480"/>
      <c r="E34" s="480"/>
      <c r="F34" s="480"/>
      <c r="G34" s="480"/>
      <c r="H34" s="480"/>
      <c r="I34" s="480"/>
      <c r="J34" s="480"/>
      <c r="K34" s="480"/>
      <c r="L34" s="480"/>
    </row>
    <row r="35" spans="1:13" ht="34.9" customHeight="1" x14ac:dyDescent="0.25">
      <c r="A35" s="681" t="s">
        <v>358</v>
      </c>
      <c r="B35" s="909" t="s">
        <v>359</v>
      </c>
      <c r="C35" s="910"/>
      <c r="D35" s="909" t="s">
        <v>360</v>
      </c>
      <c r="E35" s="910"/>
      <c r="F35" s="679" t="s">
        <v>361</v>
      </c>
      <c r="G35" s="909" t="s">
        <v>362</v>
      </c>
      <c r="H35" s="911"/>
      <c r="I35" s="910"/>
      <c r="J35" s="909" t="s">
        <v>363</v>
      </c>
      <c r="K35" s="911"/>
      <c r="L35" s="910"/>
      <c r="M35" s="483"/>
    </row>
    <row r="36" spans="1:13" ht="10.9" customHeight="1" x14ac:dyDescent="0.25">
      <c r="A36" s="708" t="s">
        <v>364</v>
      </c>
      <c r="B36" s="912">
        <v>45776275.009999998</v>
      </c>
      <c r="C36" s="913"/>
      <c r="D36" s="912">
        <v>21438710.809999999</v>
      </c>
      <c r="E36" s="913"/>
      <c r="F36" s="690">
        <v>21438710.809999999</v>
      </c>
      <c r="G36" s="912">
        <v>21433903.809999999</v>
      </c>
      <c r="H36" s="914"/>
      <c r="I36" s="913"/>
      <c r="J36" s="912" t="s">
        <v>159</v>
      </c>
      <c r="K36" s="914"/>
      <c r="L36" s="913"/>
      <c r="M36" s="730"/>
    </row>
    <row r="37" spans="1:13" ht="11.65" customHeight="1" x14ac:dyDescent="0.25">
      <c r="A37" s="697" t="s">
        <v>365</v>
      </c>
      <c r="B37" s="903">
        <v>41257252.600000001</v>
      </c>
      <c r="C37" s="904"/>
      <c r="D37" s="903">
        <v>19336640.84</v>
      </c>
      <c r="E37" s="904"/>
      <c r="F37" s="687">
        <v>19336640.84</v>
      </c>
      <c r="G37" s="903">
        <v>19331833.84</v>
      </c>
      <c r="H37" s="905"/>
      <c r="I37" s="904"/>
      <c r="J37" s="903" t="s">
        <v>159</v>
      </c>
      <c r="K37" s="905"/>
      <c r="L37" s="904"/>
      <c r="M37" s="730"/>
    </row>
    <row r="38" spans="1:13" ht="11.65" customHeight="1" x14ac:dyDescent="0.25">
      <c r="A38" s="697" t="s">
        <v>366</v>
      </c>
      <c r="B38" s="903">
        <v>4519022.41</v>
      </c>
      <c r="C38" s="904"/>
      <c r="D38" s="903">
        <v>2102069.9700000002</v>
      </c>
      <c r="E38" s="904"/>
      <c r="F38" s="687">
        <v>2102069.9700000002</v>
      </c>
      <c r="G38" s="903">
        <v>2102069.9700000002</v>
      </c>
      <c r="H38" s="905"/>
      <c r="I38" s="904"/>
      <c r="J38" s="903" t="s">
        <v>159</v>
      </c>
      <c r="K38" s="905"/>
      <c r="L38" s="904"/>
      <c r="M38" s="730"/>
    </row>
    <row r="39" spans="1:13" ht="11.65" customHeight="1" x14ac:dyDescent="0.25">
      <c r="A39" s="709" t="s">
        <v>367</v>
      </c>
      <c r="B39" s="903">
        <v>23004</v>
      </c>
      <c r="C39" s="904"/>
      <c r="D39" s="903">
        <v>19789.64</v>
      </c>
      <c r="E39" s="904"/>
      <c r="F39" s="687">
        <v>19789.64</v>
      </c>
      <c r="G39" s="903">
        <v>16456.759999999998</v>
      </c>
      <c r="H39" s="905"/>
      <c r="I39" s="904"/>
      <c r="J39" s="903" t="s">
        <v>159</v>
      </c>
      <c r="K39" s="905"/>
      <c r="L39" s="904"/>
      <c r="M39" s="730"/>
    </row>
    <row r="40" spans="1:13" ht="10.9" customHeight="1" x14ac:dyDescent="0.25">
      <c r="A40" s="697" t="s">
        <v>352</v>
      </c>
      <c r="B40" s="903">
        <v>22997</v>
      </c>
      <c r="C40" s="904"/>
      <c r="D40" s="903">
        <v>19789.64</v>
      </c>
      <c r="E40" s="904"/>
      <c r="F40" s="687">
        <v>19789.64</v>
      </c>
      <c r="G40" s="903">
        <v>16456.759999999998</v>
      </c>
      <c r="H40" s="905"/>
      <c r="I40" s="904"/>
      <c r="J40" s="903" t="s">
        <v>159</v>
      </c>
      <c r="K40" s="905"/>
      <c r="L40" s="904"/>
      <c r="M40" s="730"/>
    </row>
    <row r="41" spans="1:13" ht="11.65" customHeight="1" x14ac:dyDescent="0.25">
      <c r="A41" s="698" t="s">
        <v>368</v>
      </c>
      <c r="B41" s="906">
        <v>7</v>
      </c>
      <c r="C41" s="907"/>
      <c r="D41" s="906" t="s">
        <v>159</v>
      </c>
      <c r="E41" s="907"/>
      <c r="F41" s="686" t="s">
        <v>159</v>
      </c>
      <c r="G41" s="906" t="s">
        <v>159</v>
      </c>
      <c r="H41" s="908"/>
      <c r="I41" s="907"/>
      <c r="J41" s="906" t="s">
        <v>159</v>
      </c>
      <c r="K41" s="908"/>
      <c r="L41" s="907"/>
      <c r="M41" s="730"/>
    </row>
    <row r="42" spans="1:13" ht="11.65" customHeight="1" x14ac:dyDescent="0.25">
      <c r="A42" s="704" t="s">
        <v>369</v>
      </c>
      <c r="B42" s="895">
        <v>45799279.009999998</v>
      </c>
      <c r="C42" s="896"/>
      <c r="D42" s="895">
        <v>21458500.449999999</v>
      </c>
      <c r="E42" s="896"/>
      <c r="F42" s="700">
        <v>21458500.449999999</v>
      </c>
      <c r="G42" s="895">
        <v>21450360.57</v>
      </c>
      <c r="H42" s="897"/>
      <c r="I42" s="896"/>
      <c r="J42" s="895" t="s">
        <v>159</v>
      </c>
      <c r="K42" s="897"/>
      <c r="L42" s="896"/>
      <c r="M42" s="730"/>
    </row>
    <row r="43" spans="1:13" ht="5.85" customHeight="1" x14ac:dyDescent="0.25">
      <c r="A43" s="480"/>
      <c r="B43" s="480"/>
      <c r="C43" s="480"/>
      <c r="D43" s="480"/>
      <c r="E43" s="480"/>
      <c r="F43" s="480"/>
      <c r="G43" s="480"/>
      <c r="H43" s="480"/>
      <c r="I43" s="480"/>
      <c r="J43" s="480"/>
      <c r="K43" s="480"/>
      <c r="L43" s="480"/>
    </row>
    <row r="44" spans="1:13" ht="10.9" customHeight="1" x14ac:dyDescent="0.25">
      <c r="A44" s="704" t="s">
        <v>370</v>
      </c>
      <c r="B44" s="895">
        <v>105666.63</v>
      </c>
      <c r="C44" s="896"/>
      <c r="D44" s="895">
        <v>-1779538.62</v>
      </c>
      <c r="E44" s="896"/>
      <c r="F44" s="700">
        <v>-1779538.62</v>
      </c>
      <c r="G44" s="895">
        <v>-1771398.74</v>
      </c>
      <c r="H44" s="897"/>
      <c r="I44" s="896"/>
      <c r="J44" s="898"/>
      <c r="K44" s="899"/>
      <c r="L44" s="900"/>
      <c r="M44" s="730"/>
    </row>
    <row r="45" spans="1:13" ht="5.85" customHeight="1" x14ac:dyDescent="0.25">
      <c r="A45" s="480"/>
      <c r="B45" s="480"/>
      <c r="C45" s="480"/>
      <c r="D45" s="480"/>
      <c r="E45" s="480"/>
      <c r="F45" s="480"/>
      <c r="G45" s="480"/>
      <c r="H45" s="480"/>
      <c r="I45" s="480"/>
      <c r="J45" s="480"/>
      <c r="K45" s="480"/>
      <c r="L45" s="480"/>
    </row>
    <row r="46" spans="1:13" ht="11.65" customHeight="1" x14ac:dyDescent="0.25">
      <c r="A46" s="885" t="s">
        <v>2308</v>
      </c>
      <c r="B46" s="885"/>
      <c r="C46" s="885"/>
      <c r="D46" s="885"/>
      <c r="E46" s="885"/>
      <c r="F46" s="885"/>
      <c r="G46" s="885"/>
      <c r="H46" s="885"/>
      <c r="I46" s="885"/>
      <c r="J46" s="885"/>
      <c r="K46" s="885"/>
      <c r="L46" s="885"/>
    </row>
    <row r="47" spans="1:13" ht="11.65" customHeight="1" x14ac:dyDescent="0.25">
      <c r="A47" s="797" t="s">
        <v>134</v>
      </c>
      <c r="B47" s="797"/>
      <c r="L47" s="693" t="s">
        <v>371</v>
      </c>
    </row>
    <row r="48" spans="1:13" ht="11.65" customHeight="1" x14ac:dyDescent="0.25">
      <c r="A48" s="797" t="s">
        <v>333</v>
      </c>
      <c r="B48" s="797"/>
    </row>
    <row r="49" spans="1:13" ht="10.9" customHeight="1" x14ac:dyDescent="0.25">
      <c r="A49" s="839" t="s">
        <v>334</v>
      </c>
      <c r="B49" s="839"/>
      <c r="C49" s="839"/>
      <c r="D49" s="839"/>
      <c r="E49" s="839"/>
      <c r="F49" s="839"/>
      <c r="G49" s="839"/>
      <c r="H49" s="839"/>
    </row>
    <row r="50" spans="1:13" ht="11.65" customHeight="1" x14ac:dyDescent="0.25">
      <c r="A50" s="797" t="s">
        <v>335</v>
      </c>
      <c r="B50" s="797"/>
    </row>
    <row r="51" spans="1:13" ht="11.65" customHeight="1" x14ac:dyDescent="0.25">
      <c r="A51" s="797" t="s">
        <v>2036</v>
      </c>
      <c r="B51" s="797"/>
    </row>
    <row r="52" spans="1:13" ht="5.85" customHeight="1" x14ac:dyDescent="0.25"/>
    <row r="53" spans="1:13" ht="10.9" customHeight="1" x14ac:dyDescent="0.25">
      <c r="A53" s="902" t="s">
        <v>336</v>
      </c>
      <c r="B53" s="902"/>
      <c r="C53" s="479"/>
      <c r="D53" s="479"/>
      <c r="E53" s="479"/>
      <c r="F53" s="479"/>
      <c r="G53" s="479"/>
      <c r="H53" s="887" t="s">
        <v>5</v>
      </c>
      <c r="I53" s="887"/>
      <c r="J53" s="887"/>
      <c r="K53" s="887"/>
      <c r="L53" s="887"/>
    </row>
    <row r="54" spans="1:13" ht="11.65" customHeight="1" x14ac:dyDescent="0.25">
      <c r="A54" s="707" t="s">
        <v>372</v>
      </c>
      <c r="B54" s="799" t="s">
        <v>328</v>
      </c>
      <c r="C54" s="823"/>
      <c r="D54" s="823"/>
      <c r="E54" s="823"/>
      <c r="F54" s="823"/>
      <c r="G54" s="823"/>
      <c r="H54" s="823"/>
      <c r="I54" s="823"/>
      <c r="J54" s="823"/>
      <c r="K54" s="823"/>
      <c r="L54" s="800"/>
      <c r="M54" s="922"/>
    </row>
    <row r="55" spans="1:13" ht="11.65" customHeight="1" x14ac:dyDescent="0.25">
      <c r="A55" s="668" t="s">
        <v>113</v>
      </c>
      <c r="B55" s="898" t="s">
        <v>159</v>
      </c>
      <c r="C55" s="899"/>
      <c r="D55" s="899"/>
      <c r="E55" s="899"/>
      <c r="F55" s="899"/>
      <c r="G55" s="899"/>
      <c r="H55" s="899"/>
      <c r="I55" s="899"/>
      <c r="J55" s="899"/>
      <c r="K55" s="899"/>
      <c r="L55" s="900"/>
      <c r="M55" s="922"/>
    </row>
    <row r="56" spans="1:13" ht="11.65" customHeight="1" x14ac:dyDescent="0.25">
      <c r="A56" s="707" t="s">
        <v>331</v>
      </c>
      <c r="B56" s="799" t="s">
        <v>328</v>
      </c>
      <c r="C56" s="823"/>
      <c r="D56" s="823"/>
      <c r="E56" s="823"/>
      <c r="F56" s="823"/>
      <c r="G56" s="823"/>
      <c r="H56" s="823"/>
      <c r="I56" s="823"/>
      <c r="J56" s="823"/>
      <c r="K56" s="823"/>
      <c r="L56" s="800"/>
      <c r="M56" s="922"/>
    </row>
    <row r="57" spans="1:13" ht="10.9" customHeight="1" x14ac:dyDescent="0.25">
      <c r="A57" s="668" t="s">
        <v>113</v>
      </c>
      <c r="B57" s="898">
        <v>9794355.9100000001</v>
      </c>
      <c r="C57" s="899"/>
      <c r="D57" s="899"/>
      <c r="E57" s="899"/>
      <c r="F57" s="899"/>
      <c r="G57" s="899"/>
      <c r="H57" s="899"/>
      <c r="I57" s="899"/>
      <c r="J57" s="899"/>
      <c r="K57" s="899"/>
      <c r="L57" s="900"/>
      <c r="M57" s="922"/>
    </row>
    <row r="58" spans="1:13" ht="23.25" customHeight="1" x14ac:dyDescent="0.25">
      <c r="A58" s="681" t="s">
        <v>373</v>
      </c>
      <c r="B58" s="799" t="s">
        <v>374</v>
      </c>
      <c r="C58" s="823"/>
      <c r="D58" s="823"/>
      <c r="E58" s="823"/>
      <c r="F58" s="823"/>
      <c r="G58" s="823"/>
      <c r="H58" s="823"/>
      <c r="I58" s="823"/>
      <c r="J58" s="823"/>
      <c r="K58" s="823"/>
      <c r="L58" s="800"/>
      <c r="M58" s="483"/>
    </row>
    <row r="59" spans="1:13" ht="11.65" customHeight="1" x14ac:dyDescent="0.25">
      <c r="A59" s="699" t="s">
        <v>375</v>
      </c>
      <c r="B59" s="912" t="s">
        <v>159</v>
      </c>
      <c r="C59" s="914"/>
      <c r="D59" s="914"/>
      <c r="E59" s="914"/>
      <c r="F59" s="914"/>
      <c r="G59" s="914"/>
      <c r="H59" s="914"/>
      <c r="I59" s="914"/>
      <c r="J59" s="914"/>
      <c r="K59" s="914"/>
      <c r="L59" s="913"/>
      <c r="M59" s="483"/>
    </row>
    <row r="60" spans="1:13" ht="10.9" customHeight="1" x14ac:dyDescent="0.25">
      <c r="A60" s="697" t="s">
        <v>376</v>
      </c>
      <c r="B60" s="903" t="s">
        <v>159</v>
      </c>
      <c r="C60" s="905"/>
      <c r="D60" s="905"/>
      <c r="E60" s="905"/>
      <c r="F60" s="905"/>
      <c r="G60" s="905"/>
      <c r="H60" s="905"/>
      <c r="I60" s="905"/>
      <c r="J60" s="905"/>
      <c r="K60" s="905"/>
      <c r="L60" s="904"/>
      <c r="M60" s="483"/>
    </row>
    <row r="61" spans="1:13" ht="11.65" customHeight="1" x14ac:dyDescent="0.25">
      <c r="A61" s="697" t="s">
        <v>377</v>
      </c>
      <c r="B61" s="903" t="s">
        <v>159</v>
      </c>
      <c r="C61" s="905"/>
      <c r="D61" s="905"/>
      <c r="E61" s="905"/>
      <c r="F61" s="905"/>
      <c r="G61" s="905"/>
      <c r="H61" s="905"/>
      <c r="I61" s="905"/>
      <c r="J61" s="905"/>
      <c r="K61" s="905"/>
      <c r="L61" s="904"/>
      <c r="M61" s="483"/>
    </row>
    <row r="62" spans="1:13" ht="11.65" customHeight="1" x14ac:dyDescent="0.25">
      <c r="A62" s="698" t="s">
        <v>378</v>
      </c>
      <c r="B62" s="906" t="s">
        <v>159</v>
      </c>
      <c r="C62" s="908"/>
      <c r="D62" s="908"/>
      <c r="E62" s="908"/>
      <c r="F62" s="908"/>
      <c r="G62" s="908"/>
      <c r="H62" s="908"/>
      <c r="I62" s="908"/>
      <c r="J62" s="908"/>
      <c r="K62" s="908"/>
      <c r="L62" s="907"/>
      <c r="M62" s="483"/>
    </row>
    <row r="63" spans="1:13" ht="5.85" customHeight="1" x14ac:dyDescent="0.25">
      <c r="A63" s="797"/>
      <c r="B63" s="821"/>
      <c r="C63" s="821"/>
      <c r="D63" s="821"/>
      <c r="E63" s="821"/>
      <c r="F63" s="821"/>
      <c r="G63" s="821"/>
      <c r="H63" s="821"/>
      <c r="I63" s="821"/>
      <c r="J63" s="821"/>
      <c r="K63" s="821"/>
      <c r="L63" s="821"/>
      <c r="M63" s="797"/>
    </row>
    <row r="64" spans="1:13" ht="10.9" customHeight="1" x14ac:dyDescent="0.25">
      <c r="A64" s="681" t="s">
        <v>379</v>
      </c>
      <c r="B64" s="799" t="s">
        <v>380</v>
      </c>
      <c r="C64" s="823"/>
      <c r="D64" s="823"/>
      <c r="E64" s="823"/>
      <c r="F64" s="823"/>
      <c r="G64" s="823"/>
      <c r="H64" s="823"/>
      <c r="I64" s="823"/>
      <c r="J64" s="823"/>
      <c r="K64" s="823"/>
      <c r="L64" s="800"/>
      <c r="M64" s="483"/>
    </row>
    <row r="65" spans="1:13" ht="11.65" customHeight="1" x14ac:dyDescent="0.25">
      <c r="A65" s="699" t="s">
        <v>381</v>
      </c>
      <c r="B65" s="912" t="s">
        <v>159</v>
      </c>
      <c r="C65" s="914"/>
      <c r="D65" s="914"/>
      <c r="E65" s="914"/>
      <c r="F65" s="914"/>
      <c r="G65" s="914"/>
      <c r="H65" s="914"/>
      <c r="I65" s="914"/>
      <c r="J65" s="914"/>
      <c r="K65" s="914"/>
      <c r="L65" s="913"/>
      <c r="M65" s="483"/>
    </row>
    <row r="66" spans="1:13" ht="11.65" customHeight="1" x14ac:dyDescent="0.25">
      <c r="A66" s="697" t="s">
        <v>382</v>
      </c>
      <c r="B66" s="903">
        <v>45375899.850000001</v>
      </c>
      <c r="C66" s="905"/>
      <c r="D66" s="905"/>
      <c r="E66" s="905"/>
      <c r="F66" s="905"/>
      <c r="G66" s="905"/>
      <c r="H66" s="905"/>
      <c r="I66" s="905"/>
      <c r="J66" s="905"/>
      <c r="K66" s="905"/>
      <c r="L66" s="904"/>
      <c r="M66" s="483"/>
    </row>
    <row r="67" spans="1:13" ht="11.65" customHeight="1" x14ac:dyDescent="0.25">
      <c r="A67" s="698" t="s">
        <v>383</v>
      </c>
      <c r="B67" s="906">
        <v>563194620.57000005</v>
      </c>
      <c r="C67" s="908"/>
      <c r="D67" s="908"/>
      <c r="E67" s="908"/>
      <c r="F67" s="908"/>
      <c r="G67" s="908"/>
      <c r="H67" s="908"/>
      <c r="I67" s="908"/>
      <c r="J67" s="908"/>
      <c r="K67" s="908"/>
      <c r="L67" s="907"/>
      <c r="M67" s="483"/>
    </row>
    <row r="68" spans="1:13" ht="5.85" customHeight="1" x14ac:dyDescent="0.25">
      <c r="A68" s="797"/>
      <c r="B68" s="921"/>
      <c r="C68" s="921"/>
      <c r="D68" s="921"/>
      <c r="E68" s="921"/>
      <c r="F68" s="921"/>
      <c r="G68" s="921"/>
      <c r="H68" s="921"/>
      <c r="I68" s="921"/>
      <c r="J68" s="921"/>
      <c r="K68" s="921"/>
      <c r="L68" s="921"/>
      <c r="M68" s="797"/>
    </row>
    <row r="70" spans="1:13" x14ac:dyDescent="0.25">
      <c r="A70" s="479"/>
      <c r="B70" s="479"/>
      <c r="C70" s="479"/>
      <c r="D70" s="479"/>
      <c r="E70" s="479"/>
      <c r="F70" s="479"/>
      <c r="G70" s="479"/>
      <c r="H70" s="479"/>
      <c r="I70" s="479"/>
      <c r="J70" s="479"/>
      <c r="K70" s="479"/>
      <c r="L70" s="479"/>
    </row>
    <row r="71" spans="1:13" ht="11.65" customHeight="1" x14ac:dyDescent="0.25">
      <c r="A71" s="885" t="s">
        <v>2308</v>
      </c>
      <c r="B71" s="885"/>
      <c r="C71" s="885"/>
      <c r="D71" s="885"/>
      <c r="E71" s="885"/>
      <c r="F71" s="885"/>
      <c r="G71" s="885"/>
      <c r="H71" s="885"/>
      <c r="I71" s="885"/>
      <c r="J71" s="885"/>
      <c r="K71" s="885"/>
      <c r="L71" s="885"/>
    </row>
    <row r="72" spans="1:13" ht="11.65" customHeight="1" x14ac:dyDescent="0.25">
      <c r="A72" s="797" t="s">
        <v>134</v>
      </c>
      <c r="B72" s="797"/>
      <c r="L72" s="693" t="s">
        <v>384</v>
      </c>
    </row>
    <row r="73" spans="1:13" ht="11.65" customHeight="1" x14ac:dyDescent="0.25">
      <c r="A73" s="797" t="s">
        <v>333</v>
      </c>
      <c r="B73" s="797"/>
    </row>
    <row r="74" spans="1:13" ht="10.9" customHeight="1" x14ac:dyDescent="0.25">
      <c r="A74" s="839" t="s">
        <v>334</v>
      </c>
      <c r="B74" s="839"/>
      <c r="C74" s="839"/>
      <c r="D74" s="839"/>
      <c r="E74" s="839"/>
      <c r="F74" s="839"/>
      <c r="G74" s="839"/>
      <c r="H74" s="839"/>
    </row>
    <row r="75" spans="1:13" ht="11.65" customHeight="1" x14ac:dyDescent="0.25">
      <c r="A75" s="797" t="s">
        <v>335</v>
      </c>
      <c r="B75" s="797"/>
    </row>
    <row r="76" spans="1:13" ht="11.65" customHeight="1" x14ac:dyDescent="0.25">
      <c r="A76" s="797" t="s">
        <v>2036</v>
      </c>
      <c r="B76" s="797"/>
    </row>
    <row r="77" spans="1:13" ht="5.85" customHeight="1" x14ac:dyDescent="0.25"/>
    <row r="78" spans="1:13" ht="10.9" customHeight="1" x14ac:dyDescent="0.25">
      <c r="A78" s="902" t="s">
        <v>336</v>
      </c>
      <c r="B78" s="902"/>
      <c r="C78" s="479"/>
      <c r="D78" s="479"/>
      <c r="E78" s="479"/>
      <c r="F78" s="479"/>
      <c r="G78" s="479"/>
      <c r="H78" s="887" t="s">
        <v>5</v>
      </c>
      <c r="I78" s="887"/>
      <c r="J78" s="887"/>
      <c r="K78" s="887"/>
      <c r="L78" s="887"/>
    </row>
    <row r="79" spans="1:13" ht="11.65" customHeight="1" x14ac:dyDescent="0.25">
      <c r="A79" s="799" t="s">
        <v>385</v>
      </c>
      <c r="B79" s="823"/>
      <c r="C79" s="823"/>
      <c r="D79" s="823"/>
      <c r="E79" s="823"/>
      <c r="F79" s="823"/>
      <c r="G79" s="823"/>
      <c r="H79" s="823"/>
      <c r="I79" s="823"/>
      <c r="J79" s="823"/>
      <c r="K79" s="823"/>
      <c r="L79" s="800"/>
      <c r="M79" s="483"/>
    </row>
    <row r="80" spans="1:13" ht="29.1" customHeight="1" x14ac:dyDescent="0.25">
      <c r="A80" s="681" t="s">
        <v>386</v>
      </c>
      <c r="B80" s="909" t="s">
        <v>340</v>
      </c>
      <c r="C80" s="910"/>
      <c r="D80" s="909" t="s">
        <v>341</v>
      </c>
      <c r="E80" s="911"/>
      <c r="F80" s="911"/>
      <c r="G80" s="911"/>
      <c r="H80" s="911"/>
      <c r="I80" s="911"/>
      <c r="J80" s="911"/>
      <c r="K80" s="911"/>
      <c r="L80" s="910"/>
      <c r="M80" s="483"/>
    </row>
    <row r="81" spans="1:13" ht="10.9" customHeight="1" x14ac:dyDescent="0.25">
      <c r="A81" s="699" t="s">
        <v>387</v>
      </c>
      <c r="B81" s="918" t="s">
        <v>159</v>
      </c>
      <c r="C81" s="919"/>
      <c r="D81" s="918" t="s">
        <v>159</v>
      </c>
      <c r="E81" s="920"/>
      <c r="F81" s="920"/>
      <c r="G81" s="920"/>
      <c r="H81" s="920"/>
      <c r="I81" s="920"/>
      <c r="J81" s="920"/>
      <c r="K81" s="920"/>
      <c r="L81" s="919"/>
      <c r="M81" s="483"/>
    </row>
    <row r="82" spans="1:13" ht="11.65" customHeight="1" x14ac:dyDescent="0.25">
      <c r="A82" s="709" t="s">
        <v>343</v>
      </c>
      <c r="B82" s="915" t="s">
        <v>159</v>
      </c>
      <c r="C82" s="916"/>
      <c r="D82" s="915" t="s">
        <v>159</v>
      </c>
      <c r="E82" s="917"/>
      <c r="F82" s="917"/>
      <c r="G82" s="917"/>
      <c r="H82" s="917"/>
      <c r="I82" s="917"/>
      <c r="J82" s="917"/>
      <c r="K82" s="917"/>
      <c r="L82" s="916"/>
      <c r="M82" s="483"/>
    </row>
    <row r="83" spans="1:13" ht="11.65" customHeight="1" x14ac:dyDescent="0.25">
      <c r="A83" s="697" t="s">
        <v>344</v>
      </c>
      <c r="B83" s="903" t="s">
        <v>159</v>
      </c>
      <c r="C83" s="904"/>
      <c r="D83" s="903" t="s">
        <v>159</v>
      </c>
      <c r="E83" s="905"/>
      <c r="F83" s="905"/>
      <c r="G83" s="905"/>
      <c r="H83" s="905"/>
      <c r="I83" s="905"/>
      <c r="J83" s="905"/>
      <c r="K83" s="905"/>
      <c r="L83" s="904"/>
      <c r="M83" s="483"/>
    </row>
    <row r="84" spans="1:13" ht="11.65" customHeight="1" x14ac:dyDescent="0.25">
      <c r="A84" s="697" t="s">
        <v>345</v>
      </c>
      <c r="B84" s="903" t="s">
        <v>159</v>
      </c>
      <c r="C84" s="904"/>
      <c r="D84" s="903" t="s">
        <v>159</v>
      </c>
      <c r="E84" s="905"/>
      <c r="F84" s="905"/>
      <c r="G84" s="905"/>
      <c r="H84" s="905"/>
      <c r="I84" s="905"/>
      <c r="J84" s="905"/>
      <c r="K84" s="905"/>
      <c r="L84" s="904"/>
      <c r="M84" s="483"/>
    </row>
    <row r="85" spans="1:13" ht="10.9" customHeight="1" x14ac:dyDescent="0.25">
      <c r="A85" s="697" t="s">
        <v>346</v>
      </c>
      <c r="B85" s="903" t="s">
        <v>159</v>
      </c>
      <c r="C85" s="904"/>
      <c r="D85" s="903" t="s">
        <v>159</v>
      </c>
      <c r="E85" s="905"/>
      <c r="F85" s="905"/>
      <c r="G85" s="905"/>
      <c r="H85" s="905"/>
      <c r="I85" s="905"/>
      <c r="J85" s="905"/>
      <c r="K85" s="905"/>
      <c r="L85" s="904"/>
      <c r="M85" s="483"/>
    </row>
    <row r="86" spans="1:13" ht="11.65" customHeight="1" x14ac:dyDescent="0.25">
      <c r="A86" s="709" t="s">
        <v>347</v>
      </c>
      <c r="B86" s="915" t="s">
        <v>159</v>
      </c>
      <c r="C86" s="916"/>
      <c r="D86" s="915" t="s">
        <v>159</v>
      </c>
      <c r="E86" s="917"/>
      <c r="F86" s="917"/>
      <c r="G86" s="917"/>
      <c r="H86" s="917"/>
      <c r="I86" s="917"/>
      <c r="J86" s="917"/>
      <c r="K86" s="917"/>
      <c r="L86" s="916"/>
      <c r="M86" s="483"/>
    </row>
    <row r="87" spans="1:13" ht="11.65" customHeight="1" x14ac:dyDescent="0.25">
      <c r="A87" s="697" t="s">
        <v>344</v>
      </c>
      <c r="B87" s="903" t="s">
        <v>159</v>
      </c>
      <c r="C87" s="904"/>
      <c r="D87" s="903" t="s">
        <v>159</v>
      </c>
      <c r="E87" s="905"/>
      <c r="F87" s="905"/>
      <c r="G87" s="905"/>
      <c r="H87" s="905"/>
      <c r="I87" s="905"/>
      <c r="J87" s="905"/>
      <c r="K87" s="905"/>
      <c r="L87" s="904"/>
      <c r="M87" s="483"/>
    </row>
    <row r="88" spans="1:13" ht="11.65" customHeight="1" x14ac:dyDescent="0.25">
      <c r="A88" s="697" t="s">
        <v>345</v>
      </c>
      <c r="B88" s="903" t="s">
        <v>159</v>
      </c>
      <c r="C88" s="904"/>
      <c r="D88" s="903" t="s">
        <v>159</v>
      </c>
      <c r="E88" s="905"/>
      <c r="F88" s="905"/>
      <c r="G88" s="905"/>
      <c r="H88" s="905"/>
      <c r="I88" s="905"/>
      <c r="J88" s="905"/>
      <c r="K88" s="905"/>
      <c r="L88" s="904"/>
      <c r="M88" s="483"/>
    </row>
    <row r="89" spans="1:13" ht="10.9" customHeight="1" x14ac:dyDescent="0.25">
      <c r="A89" s="697" t="s">
        <v>346</v>
      </c>
      <c r="B89" s="903" t="s">
        <v>159</v>
      </c>
      <c r="C89" s="904"/>
      <c r="D89" s="903" t="s">
        <v>159</v>
      </c>
      <c r="E89" s="905"/>
      <c r="F89" s="905"/>
      <c r="G89" s="905"/>
      <c r="H89" s="905"/>
      <c r="I89" s="905"/>
      <c r="J89" s="905"/>
      <c r="K89" s="905"/>
      <c r="L89" s="904"/>
      <c r="M89" s="483"/>
    </row>
    <row r="90" spans="1:13" ht="11.65" customHeight="1" x14ac:dyDescent="0.25">
      <c r="A90" s="709" t="s">
        <v>237</v>
      </c>
      <c r="B90" s="915" t="s">
        <v>159</v>
      </c>
      <c r="C90" s="916"/>
      <c r="D90" s="915" t="s">
        <v>159</v>
      </c>
      <c r="E90" s="917"/>
      <c r="F90" s="917"/>
      <c r="G90" s="917"/>
      <c r="H90" s="917"/>
      <c r="I90" s="917"/>
      <c r="J90" s="917"/>
      <c r="K90" s="917"/>
      <c r="L90" s="916"/>
      <c r="M90" s="483"/>
    </row>
    <row r="91" spans="1:13" ht="11.65" customHeight="1" x14ac:dyDescent="0.25">
      <c r="A91" s="697" t="s">
        <v>348</v>
      </c>
      <c r="B91" s="903" t="s">
        <v>159</v>
      </c>
      <c r="C91" s="904"/>
      <c r="D91" s="903" t="s">
        <v>159</v>
      </c>
      <c r="E91" s="905"/>
      <c r="F91" s="905"/>
      <c r="G91" s="905"/>
      <c r="H91" s="905"/>
      <c r="I91" s="905"/>
      <c r="J91" s="905"/>
      <c r="K91" s="905"/>
      <c r="L91" s="904"/>
      <c r="M91" s="483"/>
    </row>
    <row r="92" spans="1:13" ht="11.65" customHeight="1" x14ac:dyDescent="0.25">
      <c r="A92" s="697" t="s">
        <v>349</v>
      </c>
      <c r="B92" s="903" t="s">
        <v>159</v>
      </c>
      <c r="C92" s="904"/>
      <c r="D92" s="903" t="s">
        <v>159</v>
      </c>
      <c r="E92" s="905"/>
      <c r="F92" s="905"/>
      <c r="G92" s="905"/>
      <c r="H92" s="905"/>
      <c r="I92" s="905"/>
      <c r="J92" s="905"/>
      <c r="K92" s="905"/>
      <c r="L92" s="904"/>
      <c r="M92" s="483"/>
    </row>
    <row r="93" spans="1:13" ht="10.9" customHeight="1" x14ac:dyDescent="0.25">
      <c r="A93" s="697" t="s">
        <v>239</v>
      </c>
      <c r="B93" s="903" t="s">
        <v>159</v>
      </c>
      <c r="C93" s="904"/>
      <c r="D93" s="903" t="s">
        <v>159</v>
      </c>
      <c r="E93" s="905"/>
      <c r="F93" s="905"/>
      <c r="G93" s="905"/>
      <c r="H93" s="905"/>
      <c r="I93" s="905"/>
      <c r="J93" s="905"/>
      <c r="K93" s="905"/>
      <c r="L93" s="904"/>
      <c r="M93" s="483"/>
    </row>
    <row r="94" spans="1:13" ht="11.65" customHeight="1" x14ac:dyDescent="0.25">
      <c r="A94" s="709" t="s">
        <v>350</v>
      </c>
      <c r="B94" s="915" t="s">
        <v>159</v>
      </c>
      <c r="C94" s="916"/>
      <c r="D94" s="915" t="s">
        <v>159</v>
      </c>
      <c r="E94" s="917"/>
      <c r="F94" s="917"/>
      <c r="G94" s="917"/>
      <c r="H94" s="917"/>
      <c r="I94" s="917"/>
      <c r="J94" s="917"/>
      <c r="K94" s="917"/>
      <c r="L94" s="916"/>
      <c r="M94" s="483"/>
    </row>
    <row r="95" spans="1:13" ht="11.65" customHeight="1" x14ac:dyDescent="0.25">
      <c r="A95" s="709" t="s">
        <v>351</v>
      </c>
      <c r="B95" s="915" t="s">
        <v>159</v>
      </c>
      <c r="C95" s="916"/>
      <c r="D95" s="915" t="s">
        <v>159</v>
      </c>
      <c r="E95" s="917"/>
      <c r="F95" s="917"/>
      <c r="G95" s="917"/>
      <c r="H95" s="917"/>
      <c r="I95" s="917"/>
      <c r="J95" s="917"/>
      <c r="K95" s="917"/>
      <c r="L95" s="916"/>
      <c r="M95" s="483"/>
    </row>
    <row r="96" spans="1:13" ht="11.65" customHeight="1" x14ac:dyDescent="0.25">
      <c r="A96" s="697" t="s">
        <v>352</v>
      </c>
      <c r="B96" s="903" t="s">
        <v>159</v>
      </c>
      <c r="C96" s="904"/>
      <c r="D96" s="903" t="s">
        <v>159</v>
      </c>
      <c r="E96" s="905"/>
      <c r="F96" s="905"/>
      <c r="G96" s="905"/>
      <c r="H96" s="905"/>
      <c r="I96" s="905"/>
      <c r="J96" s="905"/>
      <c r="K96" s="905"/>
      <c r="L96" s="904"/>
      <c r="M96" s="483"/>
    </row>
    <row r="97" spans="1:13" ht="10.9" customHeight="1" x14ac:dyDescent="0.25">
      <c r="A97" s="697" t="s">
        <v>173</v>
      </c>
      <c r="B97" s="903" t="s">
        <v>159</v>
      </c>
      <c r="C97" s="904"/>
      <c r="D97" s="903" t="s">
        <v>159</v>
      </c>
      <c r="E97" s="905"/>
      <c r="F97" s="905"/>
      <c r="G97" s="905"/>
      <c r="H97" s="905"/>
      <c r="I97" s="905"/>
      <c r="J97" s="905"/>
      <c r="K97" s="905"/>
      <c r="L97" s="904"/>
      <c r="M97" s="483"/>
    </row>
    <row r="98" spans="1:13" ht="11.65" customHeight="1" x14ac:dyDescent="0.25">
      <c r="A98" s="697" t="s">
        <v>388</v>
      </c>
      <c r="B98" s="915" t="s">
        <v>159</v>
      </c>
      <c r="C98" s="916"/>
      <c r="D98" s="915" t="s">
        <v>159</v>
      </c>
      <c r="E98" s="917"/>
      <c r="F98" s="917"/>
      <c r="G98" s="917"/>
      <c r="H98" s="917"/>
      <c r="I98" s="917"/>
      <c r="J98" s="917"/>
      <c r="K98" s="917"/>
      <c r="L98" s="916"/>
      <c r="M98" s="483"/>
    </row>
    <row r="99" spans="1:13" ht="11.65" customHeight="1" x14ac:dyDescent="0.25">
      <c r="A99" s="697" t="s">
        <v>355</v>
      </c>
      <c r="B99" s="903" t="s">
        <v>159</v>
      </c>
      <c r="C99" s="904"/>
      <c r="D99" s="903" t="s">
        <v>159</v>
      </c>
      <c r="E99" s="905"/>
      <c r="F99" s="905"/>
      <c r="G99" s="905"/>
      <c r="H99" s="905"/>
      <c r="I99" s="905"/>
      <c r="J99" s="905"/>
      <c r="K99" s="905"/>
      <c r="L99" s="904"/>
      <c r="M99" s="483"/>
    </row>
    <row r="100" spans="1:13" ht="11.65" customHeight="1" x14ac:dyDescent="0.25">
      <c r="A100" s="697" t="s">
        <v>356</v>
      </c>
      <c r="B100" s="903" t="s">
        <v>159</v>
      </c>
      <c r="C100" s="904"/>
      <c r="D100" s="903" t="s">
        <v>159</v>
      </c>
      <c r="E100" s="905"/>
      <c r="F100" s="905"/>
      <c r="G100" s="905"/>
      <c r="H100" s="905"/>
      <c r="I100" s="905"/>
      <c r="J100" s="905"/>
      <c r="K100" s="905"/>
      <c r="L100" s="904"/>
      <c r="M100" s="483"/>
    </row>
    <row r="101" spans="1:13" ht="10.9" customHeight="1" x14ac:dyDescent="0.25">
      <c r="A101" s="698" t="s">
        <v>263</v>
      </c>
      <c r="B101" s="906" t="s">
        <v>159</v>
      </c>
      <c r="C101" s="907"/>
      <c r="D101" s="906" t="s">
        <v>159</v>
      </c>
      <c r="E101" s="908"/>
      <c r="F101" s="908"/>
      <c r="G101" s="908"/>
      <c r="H101" s="908"/>
      <c r="I101" s="908"/>
      <c r="J101" s="908"/>
      <c r="K101" s="908"/>
      <c r="L101" s="907"/>
      <c r="M101" s="483"/>
    </row>
    <row r="102" spans="1:13" ht="11.65" customHeight="1" x14ac:dyDescent="0.25">
      <c r="A102" s="704" t="s">
        <v>389</v>
      </c>
      <c r="B102" s="895" t="s">
        <v>159</v>
      </c>
      <c r="C102" s="896"/>
      <c r="D102" s="895" t="s">
        <v>159</v>
      </c>
      <c r="E102" s="897"/>
      <c r="F102" s="897"/>
      <c r="G102" s="897"/>
      <c r="H102" s="897"/>
      <c r="I102" s="897"/>
      <c r="J102" s="897"/>
      <c r="K102" s="897"/>
      <c r="L102" s="896"/>
      <c r="M102" s="483"/>
    </row>
    <row r="103" spans="1:13" ht="5.85" customHeight="1" x14ac:dyDescent="0.25">
      <c r="A103" s="480"/>
      <c r="B103" s="480"/>
      <c r="C103" s="480"/>
      <c r="D103" s="480"/>
      <c r="E103" s="480"/>
      <c r="F103" s="480"/>
      <c r="G103" s="480"/>
      <c r="H103" s="480"/>
      <c r="I103" s="480"/>
      <c r="J103" s="480"/>
      <c r="K103" s="480"/>
      <c r="L103" s="480"/>
    </row>
    <row r="104" spans="1:13" ht="34.15" customHeight="1" x14ac:dyDescent="0.25">
      <c r="A104" s="681" t="s">
        <v>390</v>
      </c>
      <c r="B104" s="909" t="s">
        <v>359</v>
      </c>
      <c r="C104" s="910"/>
      <c r="D104" s="909" t="s">
        <v>360</v>
      </c>
      <c r="E104" s="910"/>
      <c r="F104" s="679" t="s">
        <v>361</v>
      </c>
      <c r="G104" s="909" t="s">
        <v>391</v>
      </c>
      <c r="H104" s="911"/>
      <c r="I104" s="910"/>
      <c r="J104" s="909" t="s">
        <v>363</v>
      </c>
      <c r="K104" s="911"/>
      <c r="L104" s="910"/>
      <c r="M104" s="483"/>
    </row>
    <row r="105" spans="1:13" ht="11.65" customHeight="1" x14ac:dyDescent="0.25">
      <c r="A105" s="708" t="s">
        <v>364</v>
      </c>
      <c r="B105" s="918" t="s">
        <v>159</v>
      </c>
      <c r="C105" s="919"/>
      <c r="D105" s="918" t="s">
        <v>159</v>
      </c>
      <c r="E105" s="919"/>
      <c r="F105" s="702" t="s">
        <v>159</v>
      </c>
      <c r="G105" s="918" t="s">
        <v>159</v>
      </c>
      <c r="H105" s="920"/>
      <c r="I105" s="919"/>
      <c r="J105" s="918" t="s">
        <v>159</v>
      </c>
      <c r="K105" s="920"/>
      <c r="L105" s="919"/>
      <c r="M105" s="730"/>
    </row>
    <row r="106" spans="1:13" ht="11.65" customHeight="1" x14ac:dyDescent="0.25">
      <c r="A106" s="697" t="s">
        <v>365</v>
      </c>
      <c r="B106" s="903" t="s">
        <v>159</v>
      </c>
      <c r="C106" s="904"/>
      <c r="D106" s="903" t="s">
        <v>159</v>
      </c>
      <c r="E106" s="904"/>
      <c r="F106" s="687" t="s">
        <v>159</v>
      </c>
      <c r="G106" s="903" t="s">
        <v>159</v>
      </c>
      <c r="H106" s="905"/>
      <c r="I106" s="904"/>
      <c r="J106" s="903" t="s">
        <v>159</v>
      </c>
      <c r="K106" s="905"/>
      <c r="L106" s="904"/>
      <c r="M106" s="730"/>
    </row>
    <row r="107" spans="1:13" ht="10.9" customHeight="1" x14ac:dyDescent="0.25">
      <c r="A107" s="697" t="s">
        <v>366</v>
      </c>
      <c r="B107" s="903" t="s">
        <v>159</v>
      </c>
      <c r="C107" s="904"/>
      <c r="D107" s="903" t="s">
        <v>159</v>
      </c>
      <c r="E107" s="904"/>
      <c r="F107" s="687" t="s">
        <v>159</v>
      </c>
      <c r="G107" s="903" t="s">
        <v>159</v>
      </c>
      <c r="H107" s="905"/>
      <c r="I107" s="904"/>
      <c r="J107" s="903" t="s">
        <v>159</v>
      </c>
      <c r="K107" s="905"/>
      <c r="L107" s="904"/>
      <c r="M107" s="730"/>
    </row>
    <row r="108" spans="1:13" ht="11.65" customHeight="1" x14ac:dyDescent="0.25">
      <c r="A108" s="709" t="s">
        <v>367</v>
      </c>
      <c r="B108" s="915" t="s">
        <v>159</v>
      </c>
      <c r="C108" s="916"/>
      <c r="D108" s="915" t="s">
        <v>159</v>
      </c>
      <c r="E108" s="916"/>
      <c r="F108" s="701" t="s">
        <v>159</v>
      </c>
      <c r="G108" s="915" t="s">
        <v>159</v>
      </c>
      <c r="H108" s="917"/>
      <c r="I108" s="916"/>
      <c r="J108" s="915" t="s">
        <v>159</v>
      </c>
      <c r="K108" s="917"/>
      <c r="L108" s="916"/>
      <c r="M108" s="730"/>
    </row>
    <row r="109" spans="1:13" ht="11.65" customHeight="1" x14ac:dyDescent="0.25">
      <c r="A109" s="697" t="s">
        <v>352</v>
      </c>
      <c r="B109" s="903" t="s">
        <v>159</v>
      </c>
      <c r="C109" s="904"/>
      <c r="D109" s="903" t="s">
        <v>159</v>
      </c>
      <c r="E109" s="904"/>
      <c r="F109" s="687" t="s">
        <v>159</v>
      </c>
      <c r="G109" s="903" t="s">
        <v>159</v>
      </c>
      <c r="H109" s="905"/>
      <c r="I109" s="904"/>
      <c r="J109" s="903" t="s">
        <v>159</v>
      </c>
      <c r="K109" s="905"/>
      <c r="L109" s="904"/>
      <c r="M109" s="730"/>
    </row>
    <row r="110" spans="1:13" ht="11.65" customHeight="1" x14ac:dyDescent="0.25">
      <c r="A110" s="698" t="s">
        <v>368</v>
      </c>
      <c r="B110" s="906" t="s">
        <v>159</v>
      </c>
      <c r="C110" s="907"/>
      <c r="D110" s="906" t="s">
        <v>159</v>
      </c>
      <c r="E110" s="907"/>
      <c r="F110" s="686" t="s">
        <v>159</v>
      </c>
      <c r="G110" s="906" t="s">
        <v>159</v>
      </c>
      <c r="H110" s="908"/>
      <c r="I110" s="907"/>
      <c r="J110" s="906" t="s">
        <v>159</v>
      </c>
      <c r="K110" s="908"/>
      <c r="L110" s="907"/>
      <c r="M110" s="730"/>
    </row>
    <row r="111" spans="1:13" ht="10.9" customHeight="1" x14ac:dyDescent="0.25">
      <c r="A111" s="704" t="s">
        <v>392</v>
      </c>
      <c r="B111" s="895" t="s">
        <v>159</v>
      </c>
      <c r="C111" s="896"/>
      <c r="D111" s="895" t="s">
        <v>159</v>
      </c>
      <c r="E111" s="896"/>
      <c r="F111" s="700" t="s">
        <v>159</v>
      </c>
      <c r="G111" s="895" t="s">
        <v>159</v>
      </c>
      <c r="H111" s="897"/>
      <c r="I111" s="896"/>
      <c r="J111" s="895" t="s">
        <v>159</v>
      </c>
      <c r="K111" s="897"/>
      <c r="L111" s="896"/>
      <c r="M111" s="730"/>
    </row>
    <row r="112" spans="1:13" ht="5.85" customHeight="1" x14ac:dyDescent="0.25">
      <c r="A112" s="480"/>
      <c r="B112" s="480"/>
      <c r="C112" s="480"/>
      <c r="D112" s="480"/>
      <c r="E112" s="480"/>
      <c r="F112" s="480"/>
      <c r="G112" s="480"/>
      <c r="H112" s="480"/>
      <c r="I112" s="480"/>
      <c r="J112" s="480"/>
      <c r="K112" s="480"/>
      <c r="L112" s="480"/>
    </row>
    <row r="113" spans="1:13" ht="11.65" customHeight="1" x14ac:dyDescent="0.25">
      <c r="A113" s="704" t="s">
        <v>393</v>
      </c>
      <c r="B113" s="895" t="s">
        <v>159</v>
      </c>
      <c r="C113" s="896"/>
      <c r="D113" s="895" t="s">
        <v>159</v>
      </c>
      <c r="E113" s="896"/>
      <c r="F113" s="700" t="s">
        <v>159</v>
      </c>
      <c r="G113" s="895" t="s">
        <v>159</v>
      </c>
      <c r="H113" s="897"/>
      <c r="I113" s="896"/>
      <c r="J113" s="898"/>
      <c r="K113" s="899"/>
      <c r="L113" s="900"/>
      <c r="M113" s="730"/>
    </row>
    <row r="114" spans="1:13" ht="28.35" customHeight="1" x14ac:dyDescent="0.25">
      <c r="A114" s="480"/>
      <c r="B114" s="480"/>
      <c r="C114" s="480"/>
      <c r="D114" s="480"/>
      <c r="E114" s="480"/>
      <c r="F114" s="480"/>
      <c r="G114" s="480"/>
      <c r="H114" s="480"/>
      <c r="I114" s="480"/>
      <c r="J114" s="480"/>
      <c r="K114" s="480"/>
      <c r="L114" s="480"/>
    </row>
    <row r="115" spans="1:13" ht="11.65" customHeight="1" x14ac:dyDescent="0.25">
      <c r="A115" s="885" t="s">
        <v>2308</v>
      </c>
      <c r="B115" s="885"/>
      <c r="C115" s="885"/>
      <c r="D115" s="885"/>
      <c r="E115" s="885"/>
      <c r="F115" s="885"/>
      <c r="G115" s="885"/>
      <c r="H115" s="885"/>
      <c r="I115" s="885"/>
      <c r="J115" s="885"/>
      <c r="K115" s="885"/>
      <c r="L115" s="885"/>
    </row>
    <row r="116" spans="1:13" ht="11.65" customHeight="1" x14ac:dyDescent="0.25">
      <c r="A116" s="797" t="s">
        <v>134</v>
      </c>
      <c r="B116" s="797"/>
      <c r="L116" s="693" t="s">
        <v>394</v>
      </c>
    </row>
    <row r="117" spans="1:13" ht="11.65" customHeight="1" x14ac:dyDescent="0.25">
      <c r="A117" s="797" t="s">
        <v>333</v>
      </c>
      <c r="B117" s="797"/>
    </row>
    <row r="118" spans="1:13" ht="10.9" customHeight="1" x14ac:dyDescent="0.25">
      <c r="A118" s="839" t="s">
        <v>334</v>
      </c>
      <c r="B118" s="839"/>
      <c r="C118" s="839"/>
      <c r="D118" s="839"/>
      <c r="E118" s="839"/>
      <c r="F118" s="839"/>
      <c r="G118" s="839"/>
      <c r="H118" s="839"/>
    </row>
    <row r="119" spans="1:13" ht="11.65" customHeight="1" x14ac:dyDescent="0.25">
      <c r="A119" s="797" t="s">
        <v>335</v>
      </c>
      <c r="B119" s="797"/>
    </row>
    <row r="120" spans="1:13" ht="11.65" customHeight="1" x14ac:dyDescent="0.25">
      <c r="A120" s="797" t="s">
        <v>2036</v>
      </c>
      <c r="B120" s="797"/>
    </row>
    <row r="121" spans="1:13" ht="5.85" customHeight="1" x14ac:dyDescent="0.25"/>
    <row r="122" spans="1:13" ht="10.9" customHeight="1" x14ac:dyDescent="0.25">
      <c r="A122" s="902" t="s">
        <v>336</v>
      </c>
      <c r="B122" s="902"/>
      <c r="C122" s="479"/>
      <c r="D122" s="479"/>
      <c r="E122" s="479"/>
      <c r="F122" s="479"/>
      <c r="G122" s="479"/>
      <c r="H122" s="887" t="s">
        <v>5</v>
      </c>
      <c r="I122" s="887"/>
      <c r="J122" s="887"/>
      <c r="K122" s="887"/>
      <c r="L122" s="887"/>
    </row>
    <row r="123" spans="1:13" ht="23.25" customHeight="1" x14ac:dyDescent="0.25">
      <c r="A123" s="681" t="s">
        <v>395</v>
      </c>
      <c r="B123" s="799" t="s">
        <v>374</v>
      </c>
      <c r="C123" s="823"/>
      <c r="D123" s="823"/>
      <c r="E123" s="823"/>
      <c r="F123" s="823"/>
      <c r="G123" s="823"/>
      <c r="H123" s="823"/>
      <c r="I123" s="823"/>
      <c r="J123" s="823"/>
      <c r="K123" s="823"/>
      <c r="L123" s="800"/>
      <c r="M123" s="483"/>
    </row>
    <row r="124" spans="1:13" ht="11.65" customHeight="1" x14ac:dyDescent="0.25">
      <c r="A124" s="699" t="s">
        <v>396</v>
      </c>
      <c r="B124" s="912" t="s">
        <v>159</v>
      </c>
      <c r="C124" s="914"/>
      <c r="D124" s="914"/>
      <c r="E124" s="914"/>
      <c r="F124" s="914"/>
      <c r="G124" s="914"/>
      <c r="H124" s="914"/>
      <c r="I124" s="914"/>
      <c r="J124" s="914"/>
      <c r="K124" s="914"/>
      <c r="L124" s="913"/>
      <c r="M124" s="483"/>
    </row>
    <row r="125" spans="1:13" ht="10.9" customHeight="1" x14ac:dyDescent="0.25">
      <c r="A125" s="698" t="s">
        <v>397</v>
      </c>
      <c r="B125" s="906" t="s">
        <v>159</v>
      </c>
      <c r="C125" s="908"/>
      <c r="D125" s="908"/>
      <c r="E125" s="908"/>
      <c r="F125" s="908"/>
      <c r="G125" s="908"/>
      <c r="H125" s="908"/>
      <c r="I125" s="908"/>
      <c r="J125" s="908"/>
      <c r="K125" s="908"/>
      <c r="L125" s="907"/>
      <c r="M125" s="483"/>
    </row>
    <row r="126" spans="1:13" ht="5.85" customHeight="1" x14ac:dyDescent="0.25">
      <c r="A126" s="480"/>
      <c r="B126" s="480"/>
      <c r="C126" s="480"/>
      <c r="D126" s="480"/>
      <c r="E126" s="480"/>
      <c r="F126" s="480"/>
      <c r="G126" s="480"/>
      <c r="H126" s="480"/>
      <c r="I126" s="480"/>
      <c r="J126" s="480"/>
      <c r="K126" s="480"/>
      <c r="L126" s="480"/>
    </row>
    <row r="127" spans="1:13" ht="23.25" customHeight="1" x14ac:dyDescent="0.25">
      <c r="A127" s="681" t="s">
        <v>398</v>
      </c>
      <c r="B127" s="799" t="s">
        <v>380</v>
      </c>
      <c r="C127" s="823"/>
      <c r="D127" s="823"/>
      <c r="E127" s="823"/>
      <c r="F127" s="823"/>
      <c r="G127" s="823"/>
      <c r="H127" s="823"/>
      <c r="I127" s="823"/>
      <c r="J127" s="823"/>
      <c r="K127" s="823"/>
      <c r="L127" s="800"/>
      <c r="M127" s="483"/>
    </row>
    <row r="128" spans="1:13" ht="11.65" customHeight="1" x14ac:dyDescent="0.25">
      <c r="A128" s="699" t="s">
        <v>381</v>
      </c>
      <c r="B128" s="912" t="s">
        <v>159</v>
      </c>
      <c r="C128" s="914"/>
      <c r="D128" s="914"/>
      <c r="E128" s="914"/>
      <c r="F128" s="914"/>
      <c r="G128" s="914"/>
      <c r="H128" s="914"/>
      <c r="I128" s="914"/>
      <c r="J128" s="914"/>
      <c r="K128" s="914"/>
      <c r="L128" s="913"/>
      <c r="M128" s="483"/>
    </row>
    <row r="129" spans="1:13" ht="10.9" customHeight="1" x14ac:dyDescent="0.25">
      <c r="A129" s="697" t="s">
        <v>382</v>
      </c>
      <c r="B129" s="903">
        <v>16455317.970000001</v>
      </c>
      <c r="C129" s="905"/>
      <c r="D129" s="905"/>
      <c r="E129" s="905"/>
      <c r="F129" s="905"/>
      <c r="G129" s="905"/>
      <c r="H129" s="905"/>
      <c r="I129" s="905"/>
      <c r="J129" s="905"/>
      <c r="K129" s="905"/>
      <c r="L129" s="904"/>
      <c r="M129" s="483"/>
    </row>
    <row r="130" spans="1:13" ht="11.65" customHeight="1" x14ac:dyDescent="0.25">
      <c r="A130" s="698" t="s">
        <v>383</v>
      </c>
      <c r="B130" s="906" t="s">
        <v>159</v>
      </c>
      <c r="C130" s="908"/>
      <c r="D130" s="908"/>
      <c r="E130" s="908"/>
      <c r="F130" s="908"/>
      <c r="G130" s="908"/>
      <c r="H130" s="908"/>
      <c r="I130" s="908"/>
      <c r="J130" s="908"/>
      <c r="K130" s="908"/>
      <c r="L130" s="907"/>
      <c r="M130" s="483"/>
    </row>
    <row r="131" spans="1:13" ht="5.85" customHeight="1" x14ac:dyDescent="0.25">
      <c r="A131" s="480"/>
      <c r="B131" s="480"/>
      <c r="C131" s="480"/>
      <c r="D131" s="480"/>
      <c r="E131" s="480"/>
      <c r="F131" s="480"/>
      <c r="G131" s="480"/>
      <c r="H131" s="480"/>
      <c r="I131" s="480"/>
      <c r="J131" s="480"/>
      <c r="K131" s="480"/>
      <c r="L131" s="480"/>
    </row>
    <row r="132" spans="1:13" ht="11.65" customHeight="1" x14ac:dyDescent="0.25">
      <c r="A132" s="799" t="s">
        <v>2309</v>
      </c>
      <c r="B132" s="823"/>
      <c r="C132" s="823"/>
      <c r="D132" s="823"/>
      <c r="E132" s="823"/>
      <c r="F132" s="823"/>
      <c r="G132" s="823"/>
      <c r="H132" s="823"/>
      <c r="I132" s="823"/>
      <c r="J132" s="823"/>
      <c r="K132" s="823"/>
      <c r="L132" s="800"/>
      <c r="M132" s="483"/>
    </row>
    <row r="133" spans="1:13" ht="28.35" customHeight="1" x14ac:dyDescent="0.25">
      <c r="A133" s="681" t="s">
        <v>399</v>
      </c>
      <c r="B133" s="909" t="s">
        <v>140</v>
      </c>
      <c r="C133" s="910"/>
      <c r="D133" s="909" t="s">
        <v>341</v>
      </c>
      <c r="E133" s="911"/>
      <c r="F133" s="911"/>
      <c r="G133" s="911"/>
      <c r="H133" s="911"/>
      <c r="I133" s="911"/>
      <c r="J133" s="911"/>
      <c r="K133" s="911"/>
      <c r="L133" s="910"/>
      <c r="M133" s="483"/>
    </row>
    <row r="134" spans="1:13" ht="11.65" customHeight="1" x14ac:dyDescent="0.25">
      <c r="A134" s="664" t="s">
        <v>400</v>
      </c>
      <c r="B134" s="898">
        <v>79995</v>
      </c>
      <c r="C134" s="900"/>
      <c r="D134" s="898">
        <v>122565.25</v>
      </c>
      <c r="E134" s="899"/>
      <c r="F134" s="899"/>
      <c r="G134" s="899"/>
      <c r="H134" s="899"/>
      <c r="I134" s="899"/>
      <c r="J134" s="899"/>
      <c r="K134" s="899"/>
      <c r="L134" s="900"/>
      <c r="M134" s="483"/>
    </row>
    <row r="135" spans="1:13" ht="11.65" customHeight="1" x14ac:dyDescent="0.25">
      <c r="A135" s="704" t="s">
        <v>401</v>
      </c>
      <c r="B135" s="895">
        <v>79995</v>
      </c>
      <c r="C135" s="896"/>
      <c r="D135" s="895">
        <v>122565.25</v>
      </c>
      <c r="E135" s="897"/>
      <c r="F135" s="897"/>
      <c r="G135" s="897"/>
      <c r="H135" s="897"/>
      <c r="I135" s="897"/>
      <c r="J135" s="897"/>
      <c r="K135" s="897"/>
      <c r="L135" s="896"/>
      <c r="M135" s="483"/>
    </row>
    <row r="136" spans="1:13" ht="5.0999999999999996" customHeight="1" x14ac:dyDescent="0.25">
      <c r="A136" s="480"/>
      <c r="B136" s="480"/>
      <c r="C136" s="480"/>
      <c r="D136" s="480"/>
      <c r="E136" s="480"/>
      <c r="F136" s="480"/>
      <c r="G136" s="480"/>
      <c r="H136" s="480"/>
      <c r="I136" s="480"/>
      <c r="J136" s="480"/>
      <c r="K136" s="480"/>
      <c r="L136" s="480"/>
    </row>
    <row r="137" spans="1:13" ht="34.9" customHeight="1" x14ac:dyDescent="0.25">
      <c r="A137" s="681" t="s">
        <v>402</v>
      </c>
      <c r="B137" s="909" t="s">
        <v>403</v>
      </c>
      <c r="C137" s="910"/>
      <c r="D137" s="909" t="s">
        <v>360</v>
      </c>
      <c r="E137" s="910"/>
      <c r="F137" s="679" t="s">
        <v>361</v>
      </c>
      <c r="G137" s="909" t="s">
        <v>362</v>
      </c>
      <c r="H137" s="911"/>
      <c r="I137" s="910"/>
      <c r="J137" s="909" t="s">
        <v>363</v>
      </c>
      <c r="K137" s="911"/>
      <c r="L137" s="910"/>
      <c r="M137" s="483"/>
    </row>
    <row r="138" spans="1:13" ht="10.9" customHeight="1" x14ac:dyDescent="0.25">
      <c r="A138" s="699" t="s">
        <v>404</v>
      </c>
      <c r="B138" s="912">
        <v>66515</v>
      </c>
      <c r="C138" s="913"/>
      <c r="D138" s="912">
        <v>5417.61</v>
      </c>
      <c r="E138" s="913"/>
      <c r="F138" s="690">
        <v>4475</v>
      </c>
      <c r="G138" s="912">
        <v>4475</v>
      </c>
      <c r="H138" s="914"/>
      <c r="I138" s="913"/>
      <c r="J138" s="912" t="s">
        <v>159</v>
      </c>
      <c r="K138" s="914"/>
      <c r="L138" s="913"/>
      <c r="M138" s="730"/>
    </row>
    <row r="139" spans="1:13" ht="11.65" customHeight="1" x14ac:dyDescent="0.25">
      <c r="A139" s="697" t="s">
        <v>277</v>
      </c>
      <c r="B139" s="903">
        <v>10</v>
      </c>
      <c r="C139" s="904"/>
      <c r="D139" s="903" t="s">
        <v>159</v>
      </c>
      <c r="E139" s="904"/>
      <c r="F139" s="687" t="s">
        <v>159</v>
      </c>
      <c r="G139" s="903" t="s">
        <v>159</v>
      </c>
      <c r="H139" s="905"/>
      <c r="I139" s="904"/>
      <c r="J139" s="903" t="s">
        <v>159</v>
      </c>
      <c r="K139" s="905"/>
      <c r="L139" s="904"/>
      <c r="M139" s="730"/>
    </row>
    <row r="140" spans="1:13" ht="11.65" customHeight="1" x14ac:dyDescent="0.25">
      <c r="A140" s="697" t="s">
        <v>405</v>
      </c>
      <c r="B140" s="903">
        <v>66505</v>
      </c>
      <c r="C140" s="904"/>
      <c r="D140" s="903">
        <v>5417.61</v>
      </c>
      <c r="E140" s="904"/>
      <c r="F140" s="687">
        <v>4475</v>
      </c>
      <c r="G140" s="903">
        <v>4475</v>
      </c>
      <c r="H140" s="905"/>
      <c r="I140" s="904"/>
      <c r="J140" s="903" t="s">
        <v>159</v>
      </c>
      <c r="K140" s="905"/>
      <c r="L140" s="904"/>
      <c r="M140" s="730"/>
    </row>
    <row r="141" spans="1:13" ht="11.65" customHeight="1" x14ac:dyDescent="0.25">
      <c r="A141" s="698" t="s">
        <v>406</v>
      </c>
      <c r="B141" s="906">
        <v>13480</v>
      </c>
      <c r="C141" s="907"/>
      <c r="D141" s="906" t="s">
        <v>159</v>
      </c>
      <c r="E141" s="907"/>
      <c r="F141" s="686" t="s">
        <v>159</v>
      </c>
      <c r="G141" s="906" t="s">
        <v>159</v>
      </c>
      <c r="H141" s="908"/>
      <c r="I141" s="907"/>
      <c r="J141" s="906" t="s">
        <v>159</v>
      </c>
      <c r="K141" s="908"/>
      <c r="L141" s="907"/>
      <c r="M141" s="730"/>
    </row>
    <row r="142" spans="1:13" ht="10.9" customHeight="1" x14ac:dyDescent="0.25">
      <c r="A142" s="704" t="s">
        <v>407</v>
      </c>
      <c r="B142" s="895">
        <v>79995</v>
      </c>
      <c r="C142" s="896"/>
      <c r="D142" s="895">
        <v>5417.61</v>
      </c>
      <c r="E142" s="896"/>
      <c r="F142" s="700">
        <v>4475</v>
      </c>
      <c r="G142" s="895">
        <v>4475</v>
      </c>
      <c r="H142" s="897"/>
      <c r="I142" s="896"/>
      <c r="J142" s="895" t="s">
        <v>159</v>
      </c>
      <c r="K142" s="897"/>
      <c r="L142" s="896"/>
      <c r="M142" s="730"/>
    </row>
    <row r="143" spans="1:13" ht="5.85" customHeight="1" x14ac:dyDescent="0.25">
      <c r="A143" s="480"/>
      <c r="B143" s="480"/>
      <c r="C143" s="480"/>
      <c r="D143" s="480"/>
      <c r="E143" s="480"/>
      <c r="F143" s="480"/>
      <c r="G143" s="480"/>
      <c r="H143" s="480"/>
      <c r="I143" s="480"/>
      <c r="J143" s="480"/>
      <c r="K143" s="480"/>
      <c r="L143" s="480"/>
    </row>
    <row r="144" spans="1:13" ht="11.65" customHeight="1" x14ac:dyDescent="0.25">
      <c r="A144" s="704" t="s">
        <v>408</v>
      </c>
      <c r="B144" s="895" t="s">
        <v>159</v>
      </c>
      <c r="C144" s="896"/>
      <c r="D144" s="895">
        <v>117147.64</v>
      </c>
      <c r="E144" s="896"/>
      <c r="F144" s="700">
        <v>118090.25</v>
      </c>
      <c r="G144" s="895">
        <v>118090.25</v>
      </c>
      <c r="H144" s="897"/>
      <c r="I144" s="896"/>
      <c r="J144" s="898"/>
      <c r="K144" s="899"/>
      <c r="L144" s="900"/>
      <c r="M144" s="730"/>
    </row>
    <row r="145" spans="1:13" ht="23.25" customHeight="1" x14ac:dyDescent="0.25">
      <c r="A145" s="681" t="s">
        <v>409</v>
      </c>
      <c r="B145" s="799" t="s">
        <v>380</v>
      </c>
      <c r="C145" s="823"/>
      <c r="D145" s="823"/>
      <c r="E145" s="823"/>
      <c r="F145" s="823"/>
      <c r="G145" s="823"/>
      <c r="H145" s="823"/>
      <c r="I145" s="823"/>
      <c r="J145" s="823"/>
      <c r="K145" s="823"/>
      <c r="L145" s="800"/>
      <c r="M145" s="483"/>
    </row>
    <row r="146" spans="1:13" ht="10.9" customHeight="1" x14ac:dyDescent="0.25">
      <c r="A146" s="699" t="s">
        <v>381</v>
      </c>
      <c r="B146" s="912" t="s">
        <v>159</v>
      </c>
      <c r="C146" s="914"/>
      <c r="D146" s="914"/>
      <c r="E146" s="914"/>
      <c r="F146" s="914"/>
      <c r="G146" s="914"/>
      <c r="H146" s="914"/>
      <c r="I146" s="914"/>
      <c r="J146" s="914"/>
      <c r="K146" s="914"/>
      <c r="L146" s="913"/>
      <c r="M146" s="483"/>
    </row>
    <row r="147" spans="1:13" ht="11.65" customHeight="1" x14ac:dyDescent="0.25">
      <c r="A147" s="697" t="s">
        <v>382</v>
      </c>
      <c r="B147" s="903">
        <v>290930.53000000003</v>
      </c>
      <c r="C147" s="905"/>
      <c r="D147" s="905"/>
      <c r="E147" s="905"/>
      <c r="F147" s="905"/>
      <c r="G147" s="905"/>
      <c r="H147" s="905"/>
      <c r="I147" s="905"/>
      <c r="J147" s="905"/>
      <c r="K147" s="905"/>
      <c r="L147" s="904"/>
      <c r="M147" s="483"/>
    </row>
    <row r="148" spans="1:13" ht="11.65" customHeight="1" x14ac:dyDescent="0.25">
      <c r="A148" s="698" t="s">
        <v>383</v>
      </c>
      <c r="B148" s="906" t="s">
        <v>159</v>
      </c>
      <c r="C148" s="908"/>
      <c r="D148" s="908"/>
      <c r="E148" s="908"/>
      <c r="F148" s="908"/>
      <c r="G148" s="908"/>
      <c r="H148" s="908"/>
      <c r="I148" s="908"/>
      <c r="J148" s="908"/>
      <c r="K148" s="908"/>
      <c r="L148" s="907"/>
      <c r="M148" s="483"/>
    </row>
    <row r="149" spans="1:13" ht="5.85" customHeight="1" x14ac:dyDescent="0.25">
      <c r="A149" s="480"/>
      <c r="B149" s="480"/>
      <c r="C149" s="480"/>
      <c r="D149" s="480"/>
      <c r="E149" s="480"/>
      <c r="F149" s="480"/>
      <c r="G149" s="480"/>
      <c r="H149" s="480"/>
      <c r="I149" s="480"/>
      <c r="J149" s="480"/>
      <c r="K149" s="480"/>
      <c r="L149" s="480"/>
    </row>
    <row r="150" spans="1:13" ht="10.9" customHeight="1" x14ac:dyDescent="0.25">
      <c r="A150" s="799" t="s">
        <v>410</v>
      </c>
      <c r="B150" s="823"/>
      <c r="C150" s="823"/>
      <c r="D150" s="823"/>
      <c r="E150" s="823"/>
      <c r="F150" s="823"/>
      <c r="G150" s="823"/>
      <c r="H150" s="823"/>
      <c r="I150" s="823"/>
      <c r="J150" s="823"/>
      <c r="K150" s="823"/>
      <c r="L150" s="800"/>
      <c r="M150" s="483"/>
    </row>
    <row r="151" spans="1:13" ht="29.1" customHeight="1" x14ac:dyDescent="0.25">
      <c r="A151" s="681" t="s">
        <v>411</v>
      </c>
      <c r="B151" s="909" t="s">
        <v>140</v>
      </c>
      <c r="C151" s="910"/>
      <c r="D151" s="909" t="s">
        <v>341</v>
      </c>
      <c r="E151" s="911"/>
      <c r="F151" s="911"/>
      <c r="G151" s="911"/>
      <c r="H151" s="911"/>
      <c r="I151" s="911"/>
      <c r="J151" s="911"/>
      <c r="K151" s="911"/>
      <c r="L151" s="910"/>
      <c r="M151" s="483"/>
    </row>
    <row r="152" spans="1:13" ht="11.65" customHeight="1" x14ac:dyDescent="0.25">
      <c r="A152" s="699" t="s">
        <v>412</v>
      </c>
      <c r="B152" s="912" t="s">
        <v>159</v>
      </c>
      <c r="C152" s="913"/>
      <c r="D152" s="912" t="s">
        <v>159</v>
      </c>
      <c r="E152" s="914"/>
      <c r="F152" s="914"/>
      <c r="G152" s="914"/>
      <c r="H152" s="914"/>
      <c r="I152" s="914"/>
      <c r="J152" s="914"/>
      <c r="K152" s="914"/>
      <c r="L152" s="913"/>
      <c r="M152" s="483"/>
    </row>
    <row r="153" spans="1:13" ht="10.9" customHeight="1" x14ac:dyDescent="0.25">
      <c r="A153" s="698" t="s">
        <v>413</v>
      </c>
      <c r="B153" s="906" t="s">
        <v>159</v>
      </c>
      <c r="C153" s="907"/>
      <c r="D153" s="906" t="s">
        <v>159</v>
      </c>
      <c r="E153" s="908"/>
      <c r="F153" s="908"/>
      <c r="G153" s="908"/>
      <c r="H153" s="908"/>
      <c r="I153" s="908"/>
      <c r="J153" s="908"/>
      <c r="K153" s="908"/>
      <c r="L153" s="907"/>
      <c r="M153" s="483"/>
    </row>
    <row r="154" spans="1:13" ht="11.65" customHeight="1" x14ac:dyDescent="0.25">
      <c r="A154" s="704" t="s">
        <v>414</v>
      </c>
      <c r="B154" s="895" t="s">
        <v>159</v>
      </c>
      <c r="C154" s="896"/>
      <c r="D154" s="895" t="s">
        <v>159</v>
      </c>
      <c r="E154" s="897"/>
      <c r="F154" s="897"/>
      <c r="G154" s="897"/>
      <c r="H154" s="897"/>
      <c r="I154" s="897"/>
      <c r="J154" s="897"/>
      <c r="K154" s="897"/>
      <c r="L154" s="896"/>
      <c r="M154" s="483"/>
    </row>
    <row r="155" spans="1:13" ht="28.35" customHeight="1" x14ac:dyDescent="0.25">
      <c r="A155" s="480"/>
      <c r="B155" s="480"/>
      <c r="C155" s="480"/>
      <c r="D155" s="480"/>
      <c r="E155" s="480"/>
      <c r="F155" s="480"/>
      <c r="G155" s="480"/>
      <c r="H155" s="480"/>
      <c r="I155" s="480"/>
      <c r="J155" s="480"/>
      <c r="K155" s="480"/>
      <c r="L155" s="480"/>
    </row>
    <row r="156" spans="1:13" ht="11.65" customHeight="1" x14ac:dyDescent="0.25">
      <c r="A156" s="885" t="s">
        <v>2308</v>
      </c>
      <c r="B156" s="885"/>
      <c r="C156" s="885"/>
      <c r="D156" s="885"/>
      <c r="E156" s="885"/>
      <c r="F156" s="885"/>
      <c r="G156" s="885"/>
      <c r="H156" s="885"/>
      <c r="I156" s="885"/>
      <c r="J156" s="885"/>
      <c r="K156" s="885"/>
      <c r="L156" s="885"/>
    </row>
    <row r="157" spans="1:13" ht="11.65" customHeight="1" x14ac:dyDescent="0.25">
      <c r="A157" s="797" t="s">
        <v>134</v>
      </c>
      <c r="B157" s="797"/>
      <c r="L157" s="693" t="s">
        <v>415</v>
      </c>
    </row>
    <row r="158" spans="1:13" ht="11.65" customHeight="1" x14ac:dyDescent="0.25">
      <c r="A158" s="797" t="s">
        <v>333</v>
      </c>
      <c r="B158" s="797"/>
    </row>
    <row r="159" spans="1:13" ht="10.9" customHeight="1" x14ac:dyDescent="0.25">
      <c r="A159" s="839" t="s">
        <v>334</v>
      </c>
      <c r="B159" s="839"/>
      <c r="C159" s="839"/>
      <c r="D159" s="839"/>
      <c r="E159" s="839"/>
      <c r="F159" s="839"/>
      <c r="G159" s="839"/>
      <c r="H159" s="839"/>
    </row>
    <row r="160" spans="1:13" ht="11.65" customHeight="1" x14ac:dyDescent="0.25">
      <c r="A160" s="797" t="s">
        <v>335</v>
      </c>
      <c r="B160" s="797"/>
    </row>
    <row r="161" spans="1:13" ht="11.65" customHeight="1" x14ac:dyDescent="0.25">
      <c r="A161" s="797" t="s">
        <v>2036</v>
      </c>
      <c r="B161" s="797"/>
    </row>
    <row r="162" spans="1:13" ht="5.85" customHeight="1" x14ac:dyDescent="0.25"/>
    <row r="163" spans="1:13" ht="10.9" customHeight="1" x14ac:dyDescent="0.25">
      <c r="A163" s="902" t="s">
        <v>336</v>
      </c>
      <c r="B163" s="902"/>
      <c r="C163" s="479"/>
      <c r="D163" s="479"/>
      <c r="E163" s="479"/>
      <c r="F163" s="479"/>
      <c r="G163" s="479"/>
      <c r="H163" s="887" t="s">
        <v>5</v>
      </c>
      <c r="I163" s="887"/>
      <c r="J163" s="887"/>
      <c r="K163" s="887"/>
      <c r="L163" s="887"/>
    </row>
    <row r="164" spans="1:13" ht="34.9" customHeight="1" x14ac:dyDescent="0.25">
      <c r="A164" s="681" t="s">
        <v>416</v>
      </c>
      <c r="B164" s="909" t="s">
        <v>403</v>
      </c>
      <c r="C164" s="910"/>
      <c r="D164" s="909" t="s">
        <v>360</v>
      </c>
      <c r="E164" s="910"/>
      <c r="F164" s="679" t="s">
        <v>361</v>
      </c>
      <c r="G164" s="909" t="s">
        <v>362</v>
      </c>
      <c r="H164" s="911"/>
      <c r="I164" s="910"/>
      <c r="J164" s="909" t="s">
        <v>363</v>
      </c>
      <c r="K164" s="911"/>
      <c r="L164" s="910"/>
      <c r="M164" s="483"/>
    </row>
    <row r="165" spans="1:13" ht="10.9" customHeight="1" x14ac:dyDescent="0.25">
      <c r="A165" s="699" t="s">
        <v>365</v>
      </c>
      <c r="B165" s="912" t="s">
        <v>159</v>
      </c>
      <c r="C165" s="913"/>
      <c r="D165" s="912" t="s">
        <v>159</v>
      </c>
      <c r="E165" s="913"/>
      <c r="F165" s="690" t="s">
        <v>159</v>
      </c>
      <c r="G165" s="912" t="s">
        <v>159</v>
      </c>
      <c r="H165" s="914"/>
      <c r="I165" s="913"/>
      <c r="J165" s="912" t="s">
        <v>159</v>
      </c>
      <c r="K165" s="914"/>
      <c r="L165" s="913"/>
      <c r="M165" s="483"/>
    </row>
    <row r="166" spans="1:13" ht="11.65" customHeight="1" x14ac:dyDescent="0.25">
      <c r="A166" s="697" t="s">
        <v>417</v>
      </c>
      <c r="B166" s="903" t="s">
        <v>159</v>
      </c>
      <c r="C166" s="904"/>
      <c r="D166" s="903" t="s">
        <v>159</v>
      </c>
      <c r="E166" s="904"/>
      <c r="F166" s="687" t="s">
        <v>159</v>
      </c>
      <c r="G166" s="903" t="s">
        <v>159</v>
      </c>
      <c r="H166" s="905"/>
      <c r="I166" s="904"/>
      <c r="J166" s="903" t="s">
        <v>159</v>
      </c>
      <c r="K166" s="905"/>
      <c r="L166" s="904"/>
      <c r="M166" s="483"/>
    </row>
    <row r="167" spans="1:13" ht="11.65" customHeight="1" x14ac:dyDescent="0.25">
      <c r="A167" s="698" t="s">
        <v>367</v>
      </c>
      <c r="B167" s="906" t="s">
        <v>159</v>
      </c>
      <c r="C167" s="907"/>
      <c r="D167" s="906" t="s">
        <v>159</v>
      </c>
      <c r="E167" s="907"/>
      <c r="F167" s="686" t="s">
        <v>159</v>
      </c>
      <c r="G167" s="906" t="s">
        <v>159</v>
      </c>
      <c r="H167" s="908"/>
      <c r="I167" s="907"/>
      <c r="J167" s="906" t="s">
        <v>159</v>
      </c>
      <c r="K167" s="908"/>
      <c r="L167" s="907"/>
      <c r="M167" s="483"/>
    </row>
    <row r="168" spans="1:13" ht="11.65" customHeight="1" x14ac:dyDescent="0.25">
      <c r="A168" s="704" t="s">
        <v>418</v>
      </c>
      <c r="B168" s="895" t="s">
        <v>159</v>
      </c>
      <c r="C168" s="896"/>
      <c r="D168" s="895" t="s">
        <v>159</v>
      </c>
      <c r="E168" s="896"/>
      <c r="F168" s="700" t="s">
        <v>159</v>
      </c>
      <c r="G168" s="895" t="s">
        <v>159</v>
      </c>
      <c r="H168" s="897"/>
      <c r="I168" s="896"/>
      <c r="J168" s="895" t="s">
        <v>159</v>
      </c>
      <c r="K168" s="897"/>
      <c r="L168" s="896"/>
      <c r="M168" s="483"/>
    </row>
    <row r="169" spans="1:13" ht="5.85" customHeight="1" x14ac:dyDescent="0.25">
      <c r="A169" s="480"/>
      <c r="B169" s="480"/>
      <c r="C169" s="480"/>
      <c r="D169" s="480"/>
      <c r="E169" s="480"/>
      <c r="F169" s="480"/>
      <c r="G169" s="480"/>
      <c r="H169" s="480"/>
      <c r="I169" s="480"/>
      <c r="J169" s="480"/>
      <c r="K169" s="480"/>
      <c r="L169" s="480"/>
    </row>
    <row r="170" spans="1:13" ht="10.9" customHeight="1" x14ac:dyDescent="0.25">
      <c r="A170" s="704" t="s">
        <v>419</v>
      </c>
      <c r="B170" s="895" t="s">
        <v>159</v>
      </c>
      <c r="C170" s="896"/>
      <c r="D170" s="895" t="s">
        <v>159</v>
      </c>
      <c r="E170" s="896"/>
      <c r="F170" s="700" t="s">
        <v>159</v>
      </c>
      <c r="G170" s="895" t="s">
        <v>159</v>
      </c>
      <c r="H170" s="897"/>
      <c r="I170" s="896"/>
      <c r="J170" s="898"/>
      <c r="K170" s="899"/>
      <c r="L170" s="900"/>
      <c r="M170" s="483"/>
    </row>
    <row r="171" spans="1:13" ht="11.65" customHeight="1" x14ac:dyDescent="0.25">
      <c r="A171" s="482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</row>
    <row r="172" spans="1:13" ht="23.25" customHeight="1" x14ac:dyDescent="0.25">
      <c r="A172" s="901" t="s">
        <v>420</v>
      </c>
      <c r="B172" s="901"/>
      <c r="C172" s="901"/>
      <c r="D172" s="901"/>
      <c r="E172" s="901"/>
      <c r="F172" s="901"/>
      <c r="G172" s="901"/>
      <c r="H172" s="901"/>
      <c r="I172" s="901"/>
      <c r="J172" s="901"/>
    </row>
    <row r="173" spans="1:13" ht="5.0999999999999996" customHeight="1" x14ac:dyDescent="0.25"/>
    <row r="174" spans="1:13" ht="11.65" customHeight="1" x14ac:dyDescent="0.25"/>
    <row r="175" spans="1:13" ht="17.45" customHeight="1" x14ac:dyDescent="0.25"/>
    <row r="176" spans="1:13" ht="11.65" customHeight="1" x14ac:dyDescent="0.25"/>
    <row r="177" spans="1:12" ht="10.9" customHeight="1" x14ac:dyDescent="0.25"/>
    <row r="179" spans="1:12" x14ac:dyDescent="0.25">
      <c r="A179" s="479"/>
      <c r="B179" s="479"/>
      <c r="C179" s="479"/>
      <c r="D179" s="479"/>
      <c r="E179" s="479"/>
      <c r="F179" s="479"/>
      <c r="G179" s="479"/>
      <c r="H179" s="479"/>
      <c r="I179" s="479"/>
      <c r="J179" s="479"/>
      <c r="K179" s="479"/>
      <c r="L179" s="479"/>
    </row>
    <row r="180" spans="1:12" ht="11.65" customHeight="1" x14ac:dyDescent="0.25">
      <c r="A180" s="885" t="s">
        <v>2308</v>
      </c>
      <c r="B180" s="885"/>
      <c r="C180" s="885"/>
      <c r="D180" s="885"/>
      <c r="E180" s="885"/>
      <c r="F180" s="885"/>
      <c r="G180" s="885"/>
      <c r="H180" s="885"/>
      <c r="I180" s="885"/>
      <c r="J180" s="885"/>
      <c r="K180" s="885"/>
      <c r="L180" s="885"/>
    </row>
  </sheetData>
  <mergeCells count="306">
    <mergeCell ref="A1:B1"/>
    <mergeCell ref="A2:B2"/>
    <mergeCell ref="A3:H3"/>
    <mergeCell ref="A4:B4"/>
    <mergeCell ref="A5:B5"/>
    <mergeCell ref="A7:B7"/>
    <mergeCell ref="H7:L7"/>
    <mergeCell ref="A8:L8"/>
    <mergeCell ref="A9:L9"/>
    <mergeCell ref="B10:D10"/>
    <mergeCell ref="E10:L10"/>
    <mergeCell ref="B11:D11"/>
    <mergeCell ref="E11:L11"/>
    <mergeCell ref="B12:D12"/>
    <mergeCell ref="E12:L12"/>
    <mergeCell ref="B13:D13"/>
    <mergeCell ref="E13:L13"/>
    <mergeCell ref="B14:D14"/>
    <mergeCell ref="E14:L14"/>
    <mergeCell ref="B15:D15"/>
    <mergeCell ref="E15:L15"/>
    <mergeCell ref="B16:D16"/>
    <mergeCell ref="E16:L16"/>
    <mergeCell ref="B17:D17"/>
    <mergeCell ref="E17:L17"/>
    <mergeCell ref="B18:D18"/>
    <mergeCell ref="E18:L18"/>
    <mergeCell ref="B19:D19"/>
    <mergeCell ref="E19:L19"/>
    <mergeCell ref="B20:D20"/>
    <mergeCell ref="E20:L20"/>
    <mergeCell ref="B21:D21"/>
    <mergeCell ref="E21:L21"/>
    <mergeCell ref="B22:D22"/>
    <mergeCell ref="E22:L22"/>
    <mergeCell ref="B23:D23"/>
    <mergeCell ref="E23:L23"/>
    <mergeCell ref="B24:D24"/>
    <mergeCell ref="E24:L24"/>
    <mergeCell ref="B25:D25"/>
    <mergeCell ref="E25:L25"/>
    <mergeCell ref="B26:D26"/>
    <mergeCell ref="E26:L26"/>
    <mergeCell ref="B27:D27"/>
    <mergeCell ref="E27:L27"/>
    <mergeCell ref="B28:D28"/>
    <mergeCell ref="E28:L28"/>
    <mergeCell ref="B29:D29"/>
    <mergeCell ref="E29:L29"/>
    <mergeCell ref="B30:D30"/>
    <mergeCell ref="E30:L30"/>
    <mergeCell ref="B31:D31"/>
    <mergeCell ref="E31:L31"/>
    <mergeCell ref="B32:D32"/>
    <mergeCell ref="E32:L32"/>
    <mergeCell ref="B33:D33"/>
    <mergeCell ref="E33:L33"/>
    <mergeCell ref="B35:C35"/>
    <mergeCell ref="D35:E35"/>
    <mergeCell ref="G35:I35"/>
    <mergeCell ref="J35:L35"/>
    <mergeCell ref="B36:C36"/>
    <mergeCell ref="D36:E36"/>
    <mergeCell ref="G36:I36"/>
    <mergeCell ref="J36:L36"/>
    <mergeCell ref="B37:C37"/>
    <mergeCell ref="D37:E37"/>
    <mergeCell ref="G37:I37"/>
    <mergeCell ref="J37:L37"/>
    <mergeCell ref="B38:C38"/>
    <mergeCell ref="D38:E38"/>
    <mergeCell ref="G38:I38"/>
    <mergeCell ref="J38:L38"/>
    <mergeCell ref="B39:C39"/>
    <mergeCell ref="D39:E39"/>
    <mergeCell ref="G39:I39"/>
    <mergeCell ref="J39:L39"/>
    <mergeCell ref="B40:C40"/>
    <mergeCell ref="D40:E40"/>
    <mergeCell ref="G40:I40"/>
    <mergeCell ref="J40:L40"/>
    <mergeCell ref="B41:C41"/>
    <mergeCell ref="D41:E41"/>
    <mergeCell ref="G41:I41"/>
    <mergeCell ref="J41:L41"/>
    <mergeCell ref="B42:C42"/>
    <mergeCell ref="D42:E42"/>
    <mergeCell ref="G42:I42"/>
    <mergeCell ref="J42:L42"/>
    <mergeCell ref="B44:C44"/>
    <mergeCell ref="D44:E44"/>
    <mergeCell ref="G44:I44"/>
    <mergeCell ref="J44:L44"/>
    <mergeCell ref="A46:L46"/>
    <mergeCell ref="A47:B47"/>
    <mergeCell ref="A48:B48"/>
    <mergeCell ref="A49:H49"/>
    <mergeCell ref="A50:B50"/>
    <mergeCell ref="A51:B51"/>
    <mergeCell ref="A53:B53"/>
    <mergeCell ref="H53:L53"/>
    <mergeCell ref="B54:L54"/>
    <mergeCell ref="M54:M55"/>
    <mergeCell ref="B55:L55"/>
    <mergeCell ref="B56:L56"/>
    <mergeCell ref="M56:M57"/>
    <mergeCell ref="B57:L57"/>
    <mergeCell ref="B58:L58"/>
    <mergeCell ref="B59:L59"/>
    <mergeCell ref="B60:L60"/>
    <mergeCell ref="B61:L61"/>
    <mergeCell ref="B62:L62"/>
    <mergeCell ref="A63:M63"/>
    <mergeCell ref="B64:L64"/>
    <mergeCell ref="B65:L65"/>
    <mergeCell ref="B66:L66"/>
    <mergeCell ref="B67:L67"/>
    <mergeCell ref="A68:M68"/>
    <mergeCell ref="A75:B75"/>
    <mergeCell ref="A71:L71"/>
    <mergeCell ref="A72:B72"/>
    <mergeCell ref="A73:B73"/>
    <mergeCell ref="A74:H74"/>
    <mergeCell ref="A76:B76"/>
    <mergeCell ref="A78:B78"/>
    <mergeCell ref="B82:C82"/>
    <mergeCell ref="D82:L82"/>
    <mergeCell ref="B83:C83"/>
    <mergeCell ref="D83:L83"/>
    <mergeCell ref="H78:L78"/>
    <mergeCell ref="A79:L79"/>
    <mergeCell ref="B80:C80"/>
    <mergeCell ref="D80:L80"/>
    <mergeCell ref="B81:C81"/>
    <mergeCell ref="D81:L81"/>
    <mergeCell ref="B84:C84"/>
    <mergeCell ref="D84:L84"/>
    <mergeCell ref="B85:C85"/>
    <mergeCell ref="D85:L85"/>
    <mergeCell ref="B86:C86"/>
    <mergeCell ref="D86:L86"/>
    <mergeCell ref="B87:C87"/>
    <mergeCell ref="D87:L87"/>
    <mergeCell ref="B88:C88"/>
    <mergeCell ref="D88:L88"/>
    <mergeCell ref="B89:C89"/>
    <mergeCell ref="D89:L89"/>
    <mergeCell ref="B90:C90"/>
    <mergeCell ref="D90:L90"/>
    <mergeCell ref="B91:C91"/>
    <mergeCell ref="D91:L91"/>
    <mergeCell ref="B92:C92"/>
    <mergeCell ref="D92:L92"/>
    <mergeCell ref="B93:C93"/>
    <mergeCell ref="D93:L93"/>
    <mergeCell ref="B94:C94"/>
    <mergeCell ref="D94:L94"/>
    <mergeCell ref="B95:C95"/>
    <mergeCell ref="D95:L95"/>
    <mergeCell ref="B96:C96"/>
    <mergeCell ref="D96:L96"/>
    <mergeCell ref="B97:C97"/>
    <mergeCell ref="D97:L97"/>
    <mergeCell ref="B98:C98"/>
    <mergeCell ref="D98:L98"/>
    <mergeCell ref="B99:C99"/>
    <mergeCell ref="D99:L99"/>
    <mergeCell ref="B100:C100"/>
    <mergeCell ref="D100:L100"/>
    <mergeCell ref="B101:C101"/>
    <mergeCell ref="D101:L101"/>
    <mergeCell ref="B102:C102"/>
    <mergeCell ref="D102:L102"/>
    <mergeCell ref="B104:C104"/>
    <mergeCell ref="B106:C106"/>
    <mergeCell ref="D106:E106"/>
    <mergeCell ref="G106:I106"/>
    <mergeCell ref="J106:L106"/>
    <mergeCell ref="B107:C107"/>
    <mergeCell ref="D107:E107"/>
    <mergeCell ref="G107:I107"/>
    <mergeCell ref="J107:L107"/>
    <mergeCell ref="D104:E104"/>
    <mergeCell ref="G104:I104"/>
    <mergeCell ref="J104:L104"/>
    <mergeCell ref="B105:C105"/>
    <mergeCell ref="D105:E105"/>
    <mergeCell ref="G105:I105"/>
    <mergeCell ref="J105:L105"/>
    <mergeCell ref="B108:C108"/>
    <mergeCell ref="D108:E108"/>
    <mergeCell ref="G108:I108"/>
    <mergeCell ref="J108:L108"/>
    <mergeCell ref="B109:C109"/>
    <mergeCell ref="D109:E109"/>
    <mergeCell ref="G109:I109"/>
    <mergeCell ref="J109:L109"/>
    <mergeCell ref="B110:C110"/>
    <mergeCell ref="D110:E110"/>
    <mergeCell ref="G110:I110"/>
    <mergeCell ref="J110:L110"/>
    <mergeCell ref="B111:C111"/>
    <mergeCell ref="D111:E111"/>
    <mergeCell ref="G111:I111"/>
    <mergeCell ref="J111:L111"/>
    <mergeCell ref="B113:C113"/>
    <mergeCell ref="D113:E113"/>
    <mergeCell ref="G113:I113"/>
    <mergeCell ref="J113:L113"/>
    <mergeCell ref="A119:B119"/>
    <mergeCell ref="A115:L115"/>
    <mergeCell ref="A116:B116"/>
    <mergeCell ref="A117:B117"/>
    <mergeCell ref="A118:H118"/>
    <mergeCell ref="A120:B120"/>
    <mergeCell ref="A122:B122"/>
    <mergeCell ref="B125:L125"/>
    <mergeCell ref="B127:L127"/>
    <mergeCell ref="B129:L129"/>
    <mergeCell ref="B130:L130"/>
    <mergeCell ref="H122:L122"/>
    <mergeCell ref="B123:L123"/>
    <mergeCell ref="B124:L124"/>
    <mergeCell ref="B128:L128"/>
    <mergeCell ref="B135:C135"/>
    <mergeCell ref="D135:L135"/>
    <mergeCell ref="B137:C137"/>
    <mergeCell ref="B139:C139"/>
    <mergeCell ref="D139:E139"/>
    <mergeCell ref="G139:I139"/>
    <mergeCell ref="J139:L139"/>
    <mergeCell ref="A132:L132"/>
    <mergeCell ref="B133:C133"/>
    <mergeCell ref="D133:L133"/>
    <mergeCell ref="B134:C134"/>
    <mergeCell ref="D134:L134"/>
    <mergeCell ref="D137:E137"/>
    <mergeCell ref="G137:I137"/>
    <mergeCell ref="J137:L137"/>
    <mergeCell ref="B138:C138"/>
    <mergeCell ref="D138:E138"/>
    <mergeCell ref="G138:I138"/>
    <mergeCell ref="J138:L138"/>
    <mergeCell ref="B140:C140"/>
    <mergeCell ref="D140:E140"/>
    <mergeCell ref="G140:I140"/>
    <mergeCell ref="J140:L140"/>
    <mergeCell ref="B141:C141"/>
    <mergeCell ref="D141:E141"/>
    <mergeCell ref="G141:I141"/>
    <mergeCell ref="J141:L141"/>
    <mergeCell ref="B142:C142"/>
    <mergeCell ref="D142:E142"/>
    <mergeCell ref="G142:I142"/>
    <mergeCell ref="J142:L142"/>
    <mergeCell ref="B144:C144"/>
    <mergeCell ref="D144:E144"/>
    <mergeCell ref="G144:I144"/>
    <mergeCell ref="J144:L144"/>
    <mergeCell ref="B145:L145"/>
    <mergeCell ref="B146:L146"/>
    <mergeCell ref="B147:L147"/>
    <mergeCell ref="B148:L148"/>
    <mergeCell ref="B153:C153"/>
    <mergeCell ref="D153:L153"/>
    <mergeCell ref="B154:C154"/>
    <mergeCell ref="D154:L154"/>
    <mergeCell ref="A150:L150"/>
    <mergeCell ref="B151:C151"/>
    <mergeCell ref="D151:L151"/>
    <mergeCell ref="B152:C152"/>
    <mergeCell ref="D152:L152"/>
    <mergeCell ref="A160:B160"/>
    <mergeCell ref="A156:L156"/>
    <mergeCell ref="A157:B157"/>
    <mergeCell ref="A158:B158"/>
    <mergeCell ref="A159:H159"/>
    <mergeCell ref="A161:B161"/>
    <mergeCell ref="A163:B163"/>
    <mergeCell ref="B166:C166"/>
    <mergeCell ref="D166:E166"/>
    <mergeCell ref="G166:I166"/>
    <mergeCell ref="J166:L166"/>
    <mergeCell ref="B167:C167"/>
    <mergeCell ref="D167:E167"/>
    <mergeCell ref="G167:I167"/>
    <mergeCell ref="J167:L167"/>
    <mergeCell ref="H163:L163"/>
    <mergeCell ref="B164:C164"/>
    <mergeCell ref="D164:E164"/>
    <mergeCell ref="G164:I164"/>
    <mergeCell ref="J164:L164"/>
    <mergeCell ref="B165:C165"/>
    <mergeCell ref="D165:E165"/>
    <mergeCell ref="G165:I165"/>
    <mergeCell ref="J165:L165"/>
    <mergeCell ref="A180:L180"/>
    <mergeCell ref="B168:C168"/>
    <mergeCell ref="D168:E168"/>
    <mergeCell ref="G168:I168"/>
    <mergeCell ref="J168:L168"/>
    <mergeCell ref="B170:C170"/>
    <mergeCell ref="D170:E170"/>
    <mergeCell ref="G170:I170"/>
    <mergeCell ref="J170:L170"/>
    <mergeCell ref="A172:J172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0EB1-ED9C-4339-ABA2-F9D9C43683BE}">
  <dimension ref="A1:E220"/>
  <sheetViews>
    <sheetView zoomScale="118" zoomScaleNormal="118" workbookViewId="0">
      <selection activeCell="E34" sqref="E34"/>
    </sheetView>
  </sheetViews>
  <sheetFormatPr defaultRowHeight="11.25" x14ac:dyDescent="0.2"/>
  <cols>
    <col min="1" max="1" width="9.140625" style="417"/>
    <col min="2" max="2" width="14.7109375" style="417" bestFit="1" customWidth="1"/>
    <col min="3" max="4" width="13.7109375" style="417" bestFit="1" customWidth="1"/>
    <col min="5" max="5" width="30" style="417" bestFit="1" customWidth="1"/>
    <col min="6" max="16384" width="9.140625" style="417"/>
  </cols>
  <sheetData>
    <row r="1" spans="1:5" x14ac:dyDescent="0.2">
      <c r="A1" s="417" t="s">
        <v>453</v>
      </c>
    </row>
    <row r="2" spans="1:5" x14ac:dyDescent="0.2">
      <c r="A2" s="417" t="s">
        <v>333</v>
      </c>
    </row>
    <row r="3" spans="1:5" x14ac:dyDescent="0.2">
      <c r="A3" s="417" t="s">
        <v>1150</v>
      </c>
    </row>
    <row r="4" spans="1:5" x14ac:dyDescent="0.2">
      <c r="A4" s="417" t="s">
        <v>1151</v>
      </c>
    </row>
    <row r="5" spans="1:5" x14ac:dyDescent="0.2">
      <c r="A5" s="417" t="s">
        <v>105</v>
      </c>
    </row>
    <row r="6" spans="1:5" x14ac:dyDescent="0.2">
      <c r="A6" s="417" t="s">
        <v>1152</v>
      </c>
    </row>
    <row r="7" spans="1:5" x14ac:dyDescent="0.2">
      <c r="A7" s="417" t="s">
        <v>1153</v>
      </c>
      <c r="E7" s="417" t="s">
        <v>5</v>
      </c>
    </row>
    <row r="8" spans="1:5" x14ac:dyDescent="0.2">
      <c r="A8" s="417" t="s">
        <v>1154</v>
      </c>
    </row>
    <row r="9" spans="1:5" x14ac:dyDescent="0.2">
      <c r="A9" s="417" t="s">
        <v>475</v>
      </c>
      <c r="B9" s="417" t="s">
        <v>11</v>
      </c>
      <c r="C9" s="417" t="s">
        <v>17</v>
      </c>
      <c r="D9" s="417" t="s">
        <v>1155</v>
      </c>
      <c r="E9" s="417" t="s">
        <v>1156</v>
      </c>
    </row>
    <row r="10" spans="1:5" x14ac:dyDescent="0.2">
      <c r="B10" s="417" t="s">
        <v>1157</v>
      </c>
      <c r="C10" s="417" t="s">
        <v>1157</v>
      </c>
      <c r="D10" s="417" t="s">
        <v>1158</v>
      </c>
      <c r="E10" s="417" t="s">
        <v>1159</v>
      </c>
    </row>
    <row r="11" spans="1:5" x14ac:dyDescent="0.2">
      <c r="B11" s="417" t="s">
        <v>46</v>
      </c>
      <c r="C11" s="417" t="s">
        <v>47</v>
      </c>
      <c r="D11" s="417" t="s">
        <v>223</v>
      </c>
      <c r="E11" s="417" t="s">
        <v>1160</v>
      </c>
    </row>
    <row r="12" spans="1:5" x14ac:dyDescent="0.2">
      <c r="A12" s="417">
        <v>2023</v>
      </c>
      <c r="B12" s="474">
        <v>0</v>
      </c>
      <c r="C12" s="474">
        <v>0</v>
      </c>
      <c r="D12" s="474">
        <v>0</v>
      </c>
      <c r="E12" s="474">
        <v>88391550.939999998</v>
      </c>
    </row>
    <row r="13" spans="1:5" x14ac:dyDescent="0.2">
      <c r="A13" s="417">
        <v>2024</v>
      </c>
      <c r="B13" s="474">
        <v>52925559.219999999</v>
      </c>
      <c r="C13" s="474">
        <v>45508297.939999998</v>
      </c>
      <c r="D13" s="474">
        <v>7417261.2800000003</v>
      </c>
      <c r="E13" s="474">
        <v>95808812.219999999</v>
      </c>
    </row>
    <row r="14" spans="1:5" x14ac:dyDescent="0.2">
      <c r="A14" s="417">
        <v>2025</v>
      </c>
      <c r="B14" s="474">
        <v>53398386.759999998</v>
      </c>
      <c r="C14" s="474">
        <v>45574095.789999999</v>
      </c>
      <c r="D14" s="474">
        <v>7824290.9699999997</v>
      </c>
      <c r="E14" s="474">
        <v>103633103.19</v>
      </c>
    </row>
    <row r="15" spans="1:5" x14ac:dyDescent="0.2">
      <c r="A15" s="417">
        <v>2026</v>
      </c>
      <c r="B15" s="474">
        <v>53693021.909999996</v>
      </c>
      <c r="C15" s="474">
        <v>46421465.049999997</v>
      </c>
      <c r="D15" s="474">
        <v>7271556.8600000003</v>
      </c>
      <c r="E15" s="474">
        <v>110904660.05</v>
      </c>
    </row>
    <row r="16" spans="1:5" x14ac:dyDescent="0.2">
      <c r="A16" s="417">
        <v>2027</v>
      </c>
      <c r="B16" s="474">
        <v>53975336.030000001</v>
      </c>
      <c r="C16" s="474">
        <v>46817130.439999998</v>
      </c>
      <c r="D16" s="474">
        <v>7158205.5899999999</v>
      </c>
      <c r="E16" s="474">
        <v>118062865.64</v>
      </c>
    </row>
    <row r="17" spans="1:5" x14ac:dyDescent="0.2">
      <c r="A17" s="417">
        <v>2028</v>
      </c>
      <c r="B17" s="474">
        <v>54055809.18</v>
      </c>
      <c r="C17" s="474">
        <v>48027124.460000001</v>
      </c>
      <c r="D17" s="474">
        <v>6028684.7199999997</v>
      </c>
      <c r="E17" s="474">
        <v>124091550.36</v>
      </c>
    </row>
    <row r="18" spans="1:5" x14ac:dyDescent="0.2">
      <c r="A18" s="417">
        <v>2029</v>
      </c>
      <c r="B18" s="474">
        <v>54265025.280000001</v>
      </c>
      <c r="C18" s="474">
        <v>47962963.130000003</v>
      </c>
      <c r="D18" s="474">
        <v>6302062.1500000004</v>
      </c>
      <c r="E18" s="474">
        <v>130393612.51000001</v>
      </c>
    </row>
    <row r="19" spans="1:5" x14ac:dyDescent="0.2">
      <c r="A19" s="417">
        <v>2030</v>
      </c>
      <c r="B19" s="474">
        <v>53282126.829999998</v>
      </c>
      <c r="C19" s="474">
        <v>48073858.380000003</v>
      </c>
      <c r="D19" s="474">
        <v>5208268.45</v>
      </c>
      <c r="E19" s="474">
        <v>135601880.96000001</v>
      </c>
    </row>
    <row r="20" spans="1:5" x14ac:dyDescent="0.2">
      <c r="A20" s="417">
        <v>2031</v>
      </c>
      <c r="B20" s="474">
        <v>53890306.539999999</v>
      </c>
      <c r="C20" s="474">
        <v>47845148.939999998</v>
      </c>
      <c r="D20" s="474">
        <v>6045157.5999999996</v>
      </c>
      <c r="E20" s="474">
        <v>141647038.56</v>
      </c>
    </row>
    <row r="21" spans="1:5" x14ac:dyDescent="0.2">
      <c r="A21" s="417">
        <v>2032</v>
      </c>
      <c r="B21" s="474">
        <v>54308953.189999998</v>
      </c>
      <c r="C21" s="474">
        <v>50259801.439999998</v>
      </c>
      <c r="D21" s="474">
        <v>4049151.75</v>
      </c>
      <c r="E21" s="474">
        <v>145696190.31</v>
      </c>
    </row>
    <row r="22" spans="1:5" x14ac:dyDescent="0.2">
      <c r="A22" s="417">
        <v>2033</v>
      </c>
      <c r="B22" s="474">
        <v>55363359.259999998</v>
      </c>
      <c r="C22" s="474">
        <v>50279494.469999999</v>
      </c>
      <c r="D22" s="474">
        <v>5083864.79</v>
      </c>
      <c r="E22" s="474">
        <v>150780055.09999999</v>
      </c>
    </row>
    <row r="23" spans="1:5" x14ac:dyDescent="0.2">
      <c r="A23" s="417">
        <v>2034</v>
      </c>
      <c r="B23" s="474">
        <v>56598255.829999998</v>
      </c>
      <c r="C23" s="474">
        <v>49799289.840000004</v>
      </c>
      <c r="D23" s="474">
        <v>6798965.9900000002</v>
      </c>
      <c r="E23" s="474">
        <v>157579021.09</v>
      </c>
    </row>
    <row r="24" spans="1:5" x14ac:dyDescent="0.2">
      <c r="A24" s="417">
        <v>2035</v>
      </c>
      <c r="B24" s="474">
        <v>57896294.409999996</v>
      </c>
      <c r="C24" s="474">
        <v>49461698.289999999</v>
      </c>
      <c r="D24" s="474">
        <v>8434596.1199999992</v>
      </c>
      <c r="E24" s="474">
        <v>166013617.21000001</v>
      </c>
    </row>
    <row r="25" spans="1:5" x14ac:dyDescent="0.2">
      <c r="A25" s="417">
        <v>2036</v>
      </c>
      <c r="B25" s="474">
        <v>59293938.18</v>
      </c>
      <c r="C25" s="474">
        <v>49318997.590000004</v>
      </c>
      <c r="D25" s="474">
        <v>9974940.5899999999</v>
      </c>
      <c r="E25" s="474">
        <v>175988557.80000001</v>
      </c>
    </row>
    <row r="26" spans="1:5" x14ac:dyDescent="0.2">
      <c r="A26" s="417">
        <v>2037</v>
      </c>
      <c r="B26" s="474">
        <v>60543257.810000002</v>
      </c>
      <c r="C26" s="474">
        <v>50134039.710000001</v>
      </c>
      <c r="D26" s="474">
        <v>10409218.1</v>
      </c>
      <c r="E26" s="474">
        <v>186397775.90000001</v>
      </c>
    </row>
    <row r="27" spans="1:5" x14ac:dyDescent="0.2">
      <c r="A27" s="417">
        <v>2038</v>
      </c>
      <c r="B27" s="474">
        <v>61995679.850000001</v>
      </c>
      <c r="C27" s="474">
        <v>50530563.920000002</v>
      </c>
      <c r="D27" s="474">
        <v>11465115.93</v>
      </c>
      <c r="E27" s="474">
        <v>197862891.83000001</v>
      </c>
    </row>
    <row r="28" spans="1:5" x14ac:dyDescent="0.2">
      <c r="A28" s="417">
        <v>2039</v>
      </c>
      <c r="B28" s="474">
        <v>63632185.890000001</v>
      </c>
      <c r="C28" s="474">
        <v>50125536.490000002</v>
      </c>
      <c r="D28" s="474">
        <v>13506649.4</v>
      </c>
      <c r="E28" s="474">
        <v>211369541.22999999</v>
      </c>
    </row>
    <row r="29" spans="1:5" x14ac:dyDescent="0.2">
      <c r="A29" s="417">
        <v>2040</v>
      </c>
      <c r="B29" s="474">
        <v>65237712.979999997</v>
      </c>
      <c r="C29" s="474">
        <v>50542283.840000004</v>
      </c>
      <c r="D29" s="474">
        <v>14695429.140000001</v>
      </c>
      <c r="E29" s="474">
        <v>226064970.37</v>
      </c>
    </row>
    <row r="30" spans="1:5" x14ac:dyDescent="0.2">
      <c r="A30" s="417">
        <v>2041</v>
      </c>
      <c r="B30" s="474">
        <v>67115801.359999999</v>
      </c>
      <c r="C30" s="474">
        <v>49986188.460000001</v>
      </c>
      <c r="D30" s="474">
        <v>17129612.899999999</v>
      </c>
      <c r="E30" s="474">
        <v>243194583.27000001</v>
      </c>
    </row>
    <row r="31" spans="1:5" x14ac:dyDescent="0.2">
      <c r="A31" s="417">
        <v>2042</v>
      </c>
      <c r="B31" s="474">
        <v>69059117.659999996</v>
      </c>
      <c r="C31" s="474">
        <v>49972363.729999997</v>
      </c>
      <c r="D31" s="474">
        <v>19086753.93</v>
      </c>
      <c r="E31" s="474">
        <v>262281337.19999999</v>
      </c>
    </row>
    <row r="32" spans="1:5" x14ac:dyDescent="0.2">
      <c r="A32" s="417">
        <v>2043</v>
      </c>
      <c r="B32" s="474">
        <v>71282788.25</v>
      </c>
      <c r="C32" s="474">
        <v>49153692.189999998</v>
      </c>
      <c r="D32" s="474">
        <v>22129096.059999999</v>
      </c>
      <c r="E32" s="474">
        <v>284410433.25999999</v>
      </c>
    </row>
    <row r="33" spans="1:5" x14ac:dyDescent="0.2">
      <c r="A33" s="417">
        <v>2044</v>
      </c>
      <c r="B33" s="474">
        <v>73518978.189999998</v>
      </c>
      <c r="C33" s="474">
        <v>49491088.719999999</v>
      </c>
      <c r="D33" s="474">
        <v>24027889.469999999</v>
      </c>
      <c r="E33" s="474">
        <v>308438322.73000002</v>
      </c>
    </row>
    <row r="34" spans="1:5" x14ac:dyDescent="0.2">
      <c r="A34" s="417">
        <v>2045</v>
      </c>
      <c r="B34" s="474">
        <v>76145992.680000007</v>
      </c>
      <c r="C34" s="474">
        <v>48354314.689999998</v>
      </c>
      <c r="D34" s="474">
        <v>27791677.989999998</v>
      </c>
      <c r="E34" s="474">
        <v>336230000.72000003</v>
      </c>
    </row>
    <row r="35" spans="1:5" x14ac:dyDescent="0.2">
      <c r="A35" s="417">
        <v>2046</v>
      </c>
      <c r="B35" s="474">
        <v>78889991.489999995</v>
      </c>
      <c r="C35" s="474">
        <v>47917212.469999999</v>
      </c>
      <c r="D35" s="474">
        <v>30972779.02</v>
      </c>
      <c r="E35" s="474">
        <v>367202779.74000001</v>
      </c>
    </row>
    <row r="36" spans="1:5" x14ac:dyDescent="0.2">
      <c r="A36" s="417">
        <v>2047</v>
      </c>
      <c r="B36" s="474">
        <v>82002532.219999999</v>
      </c>
      <c r="C36" s="474">
        <v>46619690.439999998</v>
      </c>
      <c r="D36" s="474">
        <v>35382841.780000001</v>
      </c>
      <c r="E36" s="474">
        <v>402585621.51999998</v>
      </c>
    </row>
    <row r="37" spans="1:5" x14ac:dyDescent="0.2">
      <c r="A37" s="417">
        <v>2048</v>
      </c>
      <c r="B37" s="474">
        <v>85448684.879999995</v>
      </c>
      <c r="C37" s="474">
        <v>45149054.810000002</v>
      </c>
      <c r="D37" s="474">
        <v>40299630.07</v>
      </c>
      <c r="E37" s="474">
        <v>442885251.58999997</v>
      </c>
    </row>
    <row r="38" spans="1:5" x14ac:dyDescent="0.2">
      <c r="A38" s="417">
        <v>2049</v>
      </c>
      <c r="B38" s="474">
        <v>89214804.280000001</v>
      </c>
      <c r="C38" s="474">
        <v>43641489.289999999</v>
      </c>
      <c r="D38" s="474">
        <v>45573314.990000002</v>
      </c>
      <c r="E38" s="474">
        <v>488458566.57999998</v>
      </c>
    </row>
    <row r="39" spans="1:5" x14ac:dyDescent="0.2">
      <c r="A39" s="417">
        <v>2050</v>
      </c>
      <c r="B39" s="474">
        <v>93288841.400000006</v>
      </c>
      <c r="C39" s="474">
        <v>42309117.740000002</v>
      </c>
      <c r="D39" s="474">
        <v>50979723.659999996</v>
      </c>
      <c r="E39" s="474">
        <v>539438290.24000001</v>
      </c>
    </row>
    <row r="40" spans="1:5" x14ac:dyDescent="0.2">
      <c r="A40" s="417">
        <v>2051</v>
      </c>
      <c r="B40" s="474">
        <v>97739341.530000001</v>
      </c>
      <c r="C40" s="474">
        <v>40822757.68</v>
      </c>
      <c r="D40" s="474">
        <v>56916583.850000001</v>
      </c>
      <c r="E40" s="474">
        <v>596354874.09000003</v>
      </c>
    </row>
    <row r="41" spans="1:5" x14ac:dyDescent="0.2">
      <c r="A41" s="417">
        <v>2052</v>
      </c>
      <c r="B41" s="474">
        <v>102584866.27</v>
      </c>
      <c r="C41" s="474">
        <v>39247579.420000002</v>
      </c>
      <c r="D41" s="474">
        <v>63337286.850000001</v>
      </c>
      <c r="E41" s="474">
        <v>659692160.94000006</v>
      </c>
    </row>
    <row r="42" spans="1:5" x14ac:dyDescent="0.2">
      <c r="A42" s="417">
        <v>2053</v>
      </c>
      <c r="B42" s="474">
        <v>107867881.11</v>
      </c>
      <c r="C42" s="474">
        <v>37559026.210000001</v>
      </c>
      <c r="D42" s="474">
        <v>70308854.900000006</v>
      </c>
      <c r="E42" s="474">
        <v>730001015.84000003</v>
      </c>
    </row>
    <row r="43" spans="1:5" x14ac:dyDescent="0.2">
      <c r="A43" s="417">
        <v>2054</v>
      </c>
      <c r="B43" s="474">
        <v>113546143.98</v>
      </c>
      <c r="C43" s="474">
        <v>36057825.399999999</v>
      </c>
      <c r="D43" s="474">
        <v>77488318.579999998</v>
      </c>
      <c r="E43" s="474">
        <v>807489334.41999996</v>
      </c>
    </row>
    <row r="46" spans="1:5" x14ac:dyDescent="0.2">
      <c r="A46" s="417" t="s">
        <v>453</v>
      </c>
    </row>
    <row r="47" spans="1:5" x14ac:dyDescent="0.2">
      <c r="A47" s="417" t="s">
        <v>333</v>
      </c>
    </row>
    <row r="48" spans="1:5" x14ac:dyDescent="0.2">
      <c r="A48" s="417" t="s">
        <v>1150</v>
      </c>
    </row>
    <row r="49" spans="1:5" x14ac:dyDescent="0.2">
      <c r="A49" s="417" t="s">
        <v>1151</v>
      </c>
    </row>
    <row r="50" spans="1:5" x14ac:dyDescent="0.2">
      <c r="A50" s="417" t="s">
        <v>105</v>
      </c>
    </row>
    <row r="51" spans="1:5" x14ac:dyDescent="0.2">
      <c r="A51" s="417" t="s">
        <v>1152</v>
      </c>
    </row>
    <row r="52" spans="1:5" x14ac:dyDescent="0.2">
      <c r="A52" s="417" t="s">
        <v>1153</v>
      </c>
      <c r="E52" s="417" t="s">
        <v>5</v>
      </c>
    </row>
    <row r="53" spans="1:5" x14ac:dyDescent="0.2">
      <c r="A53" s="417" t="s">
        <v>1154</v>
      </c>
    </row>
    <row r="54" spans="1:5" x14ac:dyDescent="0.2">
      <c r="A54" s="417" t="s">
        <v>475</v>
      </c>
      <c r="B54" s="417" t="s">
        <v>11</v>
      </c>
      <c r="C54" s="417" t="s">
        <v>17</v>
      </c>
      <c r="D54" s="417" t="s">
        <v>1155</v>
      </c>
      <c r="E54" s="417" t="s">
        <v>1156</v>
      </c>
    </row>
    <row r="55" spans="1:5" x14ac:dyDescent="0.2">
      <c r="B55" s="417" t="s">
        <v>1157</v>
      </c>
      <c r="C55" s="417" t="s">
        <v>1157</v>
      </c>
      <c r="D55" s="417" t="s">
        <v>1158</v>
      </c>
      <c r="E55" s="417" t="s">
        <v>1159</v>
      </c>
    </row>
    <row r="56" spans="1:5" x14ac:dyDescent="0.2">
      <c r="B56" s="417" t="s">
        <v>46</v>
      </c>
      <c r="C56" s="417" t="s">
        <v>47</v>
      </c>
      <c r="D56" s="417" t="s">
        <v>223</v>
      </c>
      <c r="E56" s="417" t="s">
        <v>1160</v>
      </c>
    </row>
    <row r="57" spans="1:5" x14ac:dyDescent="0.2">
      <c r="A57" s="417">
        <v>2055</v>
      </c>
      <c r="B57" s="417">
        <v>44837093.350000001</v>
      </c>
      <c r="C57" s="417">
        <v>34691457.789999999</v>
      </c>
      <c r="D57" s="417">
        <v>10145635.560000001</v>
      </c>
      <c r="E57" s="417">
        <v>817634969.98000002</v>
      </c>
    </row>
    <row r="58" spans="1:5" x14ac:dyDescent="0.2">
      <c r="A58" s="417">
        <v>2056</v>
      </c>
      <c r="B58" s="417">
        <v>45119762.560000002</v>
      </c>
      <c r="C58" s="417">
        <v>33214499.260000002</v>
      </c>
      <c r="D58" s="417">
        <v>11905263.300000001</v>
      </c>
      <c r="E58" s="417">
        <v>829540233.27999997</v>
      </c>
    </row>
    <row r="59" spans="1:5" x14ac:dyDescent="0.2">
      <c r="A59" s="417">
        <v>2057</v>
      </c>
      <c r="B59" s="417">
        <v>45503259.280000001</v>
      </c>
      <c r="C59" s="417">
        <v>31742803.210000001</v>
      </c>
      <c r="D59" s="417">
        <v>13760456.07</v>
      </c>
      <c r="E59" s="417">
        <v>843300689.35000002</v>
      </c>
    </row>
    <row r="60" spans="1:5" x14ac:dyDescent="0.2">
      <c r="A60" s="417">
        <v>2058</v>
      </c>
      <c r="B60" s="417">
        <v>46029788.969999999</v>
      </c>
      <c r="C60" s="417">
        <v>30099909.449999999</v>
      </c>
      <c r="D60" s="417">
        <v>15929879.52</v>
      </c>
      <c r="E60" s="417">
        <v>859230568.87</v>
      </c>
    </row>
    <row r="61" spans="1:5" x14ac:dyDescent="0.2">
      <c r="A61" s="417">
        <v>2059</v>
      </c>
      <c r="B61" s="417">
        <v>46671909.969999999</v>
      </c>
      <c r="C61" s="417">
        <v>28495893.530000001</v>
      </c>
      <c r="D61" s="417">
        <v>18176016.440000001</v>
      </c>
      <c r="E61" s="417">
        <v>877406585.30999994</v>
      </c>
    </row>
    <row r="62" spans="1:5" x14ac:dyDescent="0.2">
      <c r="A62" s="417">
        <v>2060</v>
      </c>
      <c r="B62" s="417">
        <v>47433581.090000004</v>
      </c>
      <c r="C62" s="417">
        <v>26932079.510000002</v>
      </c>
      <c r="D62" s="417">
        <v>20501501.579999998</v>
      </c>
      <c r="E62" s="417">
        <v>897908086.88999999</v>
      </c>
    </row>
    <row r="63" spans="1:5" x14ac:dyDescent="0.2">
      <c r="A63" s="417">
        <v>2061</v>
      </c>
      <c r="B63" s="417">
        <v>48318708.799999997</v>
      </c>
      <c r="C63" s="417">
        <v>25408601.420000002</v>
      </c>
      <c r="D63" s="417">
        <v>22910107.379999999</v>
      </c>
      <c r="E63" s="417">
        <v>920818194.26999998</v>
      </c>
    </row>
    <row r="64" spans="1:5" x14ac:dyDescent="0.2">
      <c r="A64" s="417">
        <v>2062</v>
      </c>
      <c r="B64" s="417">
        <v>49301524.479999997</v>
      </c>
      <c r="C64" s="417">
        <v>24059715.280000001</v>
      </c>
      <c r="D64" s="417">
        <v>25241809.199999999</v>
      </c>
      <c r="E64" s="417">
        <v>946060003.47000003</v>
      </c>
    </row>
    <row r="65" spans="1:5" x14ac:dyDescent="0.2">
      <c r="A65" s="417">
        <v>2063</v>
      </c>
      <c r="B65" s="417">
        <v>50436951.280000001</v>
      </c>
      <c r="C65" s="417">
        <v>22613468.530000001</v>
      </c>
      <c r="D65" s="417">
        <v>27823482.75</v>
      </c>
      <c r="E65" s="417">
        <v>973883486.22000003</v>
      </c>
    </row>
    <row r="66" spans="1:5" x14ac:dyDescent="0.2">
      <c r="A66" s="417">
        <v>2064</v>
      </c>
      <c r="B66" s="417">
        <v>51708385.619999997</v>
      </c>
      <c r="C66" s="417">
        <v>21205243.59</v>
      </c>
      <c r="D66" s="417">
        <v>30503142.030000001</v>
      </c>
      <c r="E66" s="417">
        <v>1004386628.25</v>
      </c>
    </row>
    <row r="67" spans="1:5" x14ac:dyDescent="0.2">
      <c r="A67" s="417">
        <v>2065</v>
      </c>
      <c r="B67" s="417">
        <v>53120624.039999999</v>
      </c>
      <c r="C67" s="417">
        <v>19834133.300000001</v>
      </c>
      <c r="D67" s="417">
        <v>33286490.739999998</v>
      </c>
      <c r="E67" s="417">
        <v>1037673118.99</v>
      </c>
    </row>
    <row r="68" spans="1:5" x14ac:dyDescent="0.2">
      <c r="A68" s="417">
        <v>2066</v>
      </c>
      <c r="B68" s="417">
        <v>54678951.579999998</v>
      </c>
      <c r="C68" s="417">
        <v>18501129.34</v>
      </c>
      <c r="D68" s="417">
        <v>36177822.240000002</v>
      </c>
      <c r="E68" s="417">
        <v>1073850941.23</v>
      </c>
    </row>
    <row r="69" spans="1:5" x14ac:dyDescent="0.2">
      <c r="A69" s="417">
        <v>2067</v>
      </c>
      <c r="B69" s="417">
        <v>56388827.880000003</v>
      </c>
      <c r="C69" s="417">
        <v>17206815.699999999</v>
      </c>
      <c r="D69" s="417">
        <v>39182012.18</v>
      </c>
      <c r="E69" s="417">
        <v>1113032953.4100001</v>
      </c>
    </row>
    <row r="70" spans="1:5" x14ac:dyDescent="0.2">
      <c r="A70" s="417">
        <v>2068</v>
      </c>
      <c r="B70" s="417">
        <v>58256055.68</v>
      </c>
      <c r="C70" s="417">
        <v>15952611.720000001</v>
      </c>
      <c r="D70" s="417">
        <v>42303443.960000001</v>
      </c>
      <c r="E70" s="417">
        <v>1155336397.3699999</v>
      </c>
    </row>
    <row r="71" spans="1:5" x14ac:dyDescent="0.2">
      <c r="A71" s="417">
        <v>2069</v>
      </c>
      <c r="B71" s="417">
        <v>60286516.460000001</v>
      </c>
      <c r="C71" s="417">
        <v>14738436.82</v>
      </c>
      <c r="D71" s="417">
        <v>45548079.640000001</v>
      </c>
      <c r="E71" s="417">
        <v>1200884477.01</v>
      </c>
    </row>
    <row r="72" spans="1:5" x14ac:dyDescent="0.2">
      <c r="A72" s="417">
        <v>2070</v>
      </c>
      <c r="B72" s="417">
        <v>62486517.640000001</v>
      </c>
      <c r="C72" s="417">
        <v>13565426.560000001</v>
      </c>
      <c r="D72" s="417">
        <v>48921091.079999998</v>
      </c>
      <c r="E72" s="417">
        <v>1249805568.0899999</v>
      </c>
    </row>
    <row r="73" spans="1:5" x14ac:dyDescent="0.2">
      <c r="A73" s="417">
        <v>2071</v>
      </c>
      <c r="B73" s="417">
        <v>64862748.740000002</v>
      </c>
      <c r="C73" s="417">
        <v>12435593.970000001</v>
      </c>
      <c r="D73" s="417">
        <v>52427154.770000003</v>
      </c>
      <c r="E73" s="417">
        <v>1302232722.8599999</v>
      </c>
    </row>
    <row r="74" spans="1:5" x14ac:dyDescent="0.2">
      <c r="A74" s="417">
        <v>2072</v>
      </c>
      <c r="B74" s="417">
        <v>67422106.859999999</v>
      </c>
      <c r="C74" s="417">
        <v>11350600.24</v>
      </c>
      <c r="D74" s="417">
        <v>56071506.619999997</v>
      </c>
      <c r="E74" s="417">
        <v>1358304229.48</v>
      </c>
    </row>
    <row r="75" spans="1:5" x14ac:dyDescent="0.2">
      <c r="A75" s="417">
        <v>2073</v>
      </c>
      <c r="B75" s="417">
        <v>70171625.319999993</v>
      </c>
      <c r="C75" s="417">
        <v>10310760.550000001</v>
      </c>
      <c r="D75" s="417">
        <v>59860864.770000003</v>
      </c>
      <c r="E75" s="417">
        <v>1418165094.25</v>
      </c>
    </row>
    <row r="76" spans="1:5" x14ac:dyDescent="0.2">
      <c r="A76" s="417">
        <v>2074</v>
      </c>
      <c r="B76" s="417">
        <v>73118960.400000006</v>
      </c>
      <c r="C76" s="417">
        <v>9319186.0500000007</v>
      </c>
      <c r="D76" s="417">
        <v>63799774.350000001</v>
      </c>
      <c r="E76" s="417">
        <v>1481964868.5999999</v>
      </c>
    </row>
    <row r="77" spans="1:5" x14ac:dyDescent="0.2">
      <c r="A77" s="417">
        <v>2075</v>
      </c>
      <c r="B77" s="417">
        <v>76271962.340000004</v>
      </c>
      <c r="C77" s="417">
        <v>8378569.8799999999</v>
      </c>
      <c r="D77" s="417">
        <v>67893392.459999993</v>
      </c>
      <c r="E77" s="417">
        <v>1549858261.0599999</v>
      </c>
    </row>
    <row r="78" spans="1:5" x14ac:dyDescent="0.2">
      <c r="A78" s="417">
        <v>2076</v>
      </c>
      <c r="B78" s="417">
        <v>79638582.469999999</v>
      </c>
      <c r="C78" s="417">
        <v>7489952.8700000001</v>
      </c>
      <c r="D78" s="417">
        <v>72148629.599999994</v>
      </c>
      <c r="E78" s="417">
        <v>1622006890.6600001</v>
      </c>
    </row>
    <row r="79" spans="1:5" x14ac:dyDescent="0.2">
      <c r="A79" s="417">
        <v>2077</v>
      </c>
      <c r="B79" s="417">
        <v>83227344.140000001</v>
      </c>
      <c r="C79" s="417">
        <v>6656450.6600000001</v>
      </c>
      <c r="D79" s="417">
        <v>76570893.480000004</v>
      </c>
      <c r="E79" s="417">
        <v>1698577784.1400001</v>
      </c>
    </row>
    <row r="80" spans="1:5" x14ac:dyDescent="0.2">
      <c r="A80" s="417">
        <v>2078</v>
      </c>
      <c r="B80" s="417">
        <v>87046665.790000007</v>
      </c>
      <c r="C80" s="417">
        <v>5877490.4500000002</v>
      </c>
      <c r="D80" s="417">
        <v>81169175.340000004</v>
      </c>
      <c r="E80" s="417">
        <v>1779746959.48</v>
      </c>
    </row>
    <row r="81" spans="1:5" x14ac:dyDescent="0.2">
      <c r="A81" s="417">
        <v>2079</v>
      </c>
      <c r="B81" s="417">
        <v>91105698.349999994</v>
      </c>
      <c r="C81" s="417">
        <v>5155036.41</v>
      </c>
      <c r="D81" s="417">
        <v>85950661.939999998</v>
      </c>
      <c r="E81" s="417">
        <v>1865697621.4200001</v>
      </c>
    </row>
    <row r="82" spans="1:5" x14ac:dyDescent="0.2">
      <c r="A82" s="417">
        <v>2080</v>
      </c>
      <c r="B82" s="417">
        <v>95413861.780000001</v>
      </c>
      <c r="C82" s="417">
        <v>4489973.1900000004</v>
      </c>
      <c r="D82" s="417">
        <v>90923888.590000004</v>
      </c>
      <c r="E82" s="417">
        <v>1956621510.01</v>
      </c>
    </row>
    <row r="83" spans="1:5" x14ac:dyDescent="0.2">
      <c r="A83" s="417">
        <v>2081</v>
      </c>
      <c r="B83" s="417">
        <v>99980968.75</v>
      </c>
      <c r="C83" s="417">
        <v>3882804.02</v>
      </c>
      <c r="D83" s="417">
        <v>96098164.730000004</v>
      </c>
      <c r="E83" s="417">
        <v>2052719674.74</v>
      </c>
    </row>
    <row r="84" spans="1:5" x14ac:dyDescent="0.2">
      <c r="A84" s="417">
        <v>2082</v>
      </c>
      <c r="B84" s="417">
        <v>104817287.01000001</v>
      </c>
      <c r="C84" s="417">
        <v>3333813.4</v>
      </c>
      <c r="D84" s="417">
        <v>101483473.61</v>
      </c>
      <c r="E84" s="417">
        <v>2154203148.3499999</v>
      </c>
    </row>
    <row r="85" spans="1:5" x14ac:dyDescent="0.2">
      <c r="A85" s="417">
        <v>2083</v>
      </c>
      <c r="B85" s="417">
        <v>109933322.68000001</v>
      </c>
      <c r="C85" s="417">
        <v>2840631.81</v>
      </c>
      <c r="D85" s="417">
        <v>107092690.87</v>
      </c>
      <c r="E85" s="417">
        <v>2261295839.2199998</v>
      </c>
    </row>
    <row r="86" spans="1:5" x14ac:dyDescent="0.2">
      <c r="A86" s="417">
        <v>2084</v>
      </c>
      <c r="B86" s="417">
        <v>115340272.76000001</v>
      </c>
      <c r="C86" s="417">
        <v>2401217.25</v>
      </c>
      <c r="D86" s="417">
        <v>112939055.51000001</v>
      </c>
      <c r="E86" s="417">
        <v>2374234894.73</v>
      </c>
    </row>
    <row r="87" spans="1:5" x14ac:dyDescent="0.2">
      <c r="A87" s="417">
        <v>2085</v>
      </c>
      <c r="B87" s="417">
        <v>121049908.2</v>
      </c>
      <c r="C87" s="417">
        <v>2012563.83</v>
      </c>
      <c r="D87" s="417">
        <v>119037344.37</v>
      </c>
      <c r="E87" s="417">
        <v>2493272239.0999999</v>
      </c>
    </row>
    <row r="88" spans="1:5" x14ac:dyDescent="0.2">
      <c r="A88" s="417">
        <v>2086</v>
      </c>
      <c r="B88" s="417">
        <v>127074748.59</v>
      </c>
      <c r="C88" s="417">
        <v>1671704.72</v>
      </c>
      <c r="D88" s="417">
        <v>125403043.87</v>
      </c>
      <c r="E88" s="417">
        <v>2618675282.9699998</v>
      </c>
    </row>
    <row r="91" spans="1:5" x14ac:dyDescent="0.2">
      <c r="A91" s="417" t="s">
        <v>453</v>
      </c>
    </row>
    <row r="92" spans="1:5" x14ac:dyDescent="0.2">
      <c r="A92" s="417" t="s">
        <v>333</v>
      </c>
    </row>
    <row r="93" spans="1:5" x14ac:dyDescent="0.2">
      <c r="A93" s="417" t="s">
        <v>1150</v>
      </c>
    </row>
    <row r="94" spans="1:5" x14ac:dyDescent="0.2">
      <c r="A94" s="417" t="s">
        <v>1151</v>
      </c>
    </row>
    <row r="95" spans="1:5" x14ac:dyDescent="0.2">
      <c r="A95" s="417" t="s">
        <v>105</v>
      </c>
    </row>
    <row r="96" spans="1:5" x14ac:dyDescent="0.2">
      <c r="A96" s="417" t="s">
        <v>1152</v>
      </c>
    </row>
    <row r="97" spans="1:5" x14ac:dyDescent="0.2">
      <c r="A97" s="417" t="s">
        <v>1153</v>
      </c>
      <c r="E97" s="417" t="s">
        <v>5</v>
      </c>
    </row>
    <row r="98" spans="1:5" x14ac:dyDescent="0.2">
      <c r="A98" s="417" t="s">
        <v>1154</v>
      </c>
    </row>
    <row r="99" spans="1:5" x14ac:dyDescent="0.2">
      <c r="A99" s="417" t="s">
        <v>475</v>
      </c>
      <c r="B99" s="417" t="s">
        <v>11</v>
      </c>
      <c r="C99" s="417" t="s">
        <v>17</v>
      </c>
      <c r="D99" s="417" t="s">
        <v>1155</v>
      </c>
      <c r="E99" s="417" t="s">
        <v>1156</v>
      </c>
    </row>
    <row r="100" spans="1:5" x14ac:dyDescent="0.2">
      <c r="B100" s="417" t="s">
        <v>1157</v>
      </c>
      <c r="C100" s="417" t="s">
        <v>1157</v>
      </c>
      <c r="D100" s="417" t="s">
        <v>1158</v>
      </c>
      <c r="E100" s="417" t="s">
        <v>1159</v>
      </c>
    </row>
    <row r="101" spans="1:5" x14ac:dyDescent="0.2">
      <c r="B101" s="417" t="s">
        <v>46</v>
      </c>
      <c r="C101" s="417" t="s">
        <v>47</v>
      </c>
      <c r="D101" s="417" t="s">
        <v>223</v>
      </c>
      <c r="E101" s="417" t="s">
        <v>1160</v>
      </c>
    </row>
    <row r="102" spans="1:5" x14ac:dyDescent="0.2">
      <c r="A102" s="417">
        <v>2087</v>
      </c>
      <c r="B102" s="417">
        <v>133428034.11</v>
      </c>
      <c r="C102" s="417">
        <v>1375016.26</v>
      </c>
      <c r="D102" s="417">
        <v>132053017.84999999</v>
      </c>
      <c r="E102" s="417">
        <v>2750728300.8200002</v>
      </c>
    </row>
    <row r="103" spans="1:5" x14ac:dyDescent="0.2">
      <c r="A103" s="417">
        <v>2088</v>
      </c>
      <c r="B103" s="417">
        <v>140123890.78</v>
      </c>
      <c r="C103" s="417">
        <v>1119059.8600000001</v>
      </c>
      <c r="D103" s="417">
        <v>139004830.91999999</v>
      </c>
      <c r="E103" s="417">
        <v>2889733131.7399998</v>
      </c>
    </row>
    <row r="104" spans="1:5" x14ac:dyDescent="0.2">
      <c r="A104" s="417">
        <v>2089</v>
      </c>
      <c r="B104" s="417">
        <v>147177369.61000001</v>
      </c>
      <c r="C104" s="417">
        <v>900737.85</v>
      </c>
      <c r="D104" s="417">
        <v>146276631.75999999</v>
      </c>
      <c r="E104" s="417">
        <v>3036009763.5</v>
      </c>
    </row>
    <row r="105" spans="1:5" x14ac:dyDescent="0.2">
      <c r="A105" s="417">
        <v>2090</v>
      </c>
      <c r="B105" s="417">
        <v>154604399.63999999</v>
      </c>
      <c r="C105" s="417">
        <v>716476.61</v>
      </c>
      <c r="D105" s="417">
        <v>153887923.03</v>
      </c>
      <c r="E105" s="417">
        <v>3189897686.5300002</v>
      </c>
    </row>
    <row r="106" spans="1:5" x14ac:dyDescent="0.2">
      <c r="A106" s="417">
        <v>2091</v>
      </c>
      <c r="B106" s="417">
        <v>162421942.50999999</v>
      </c>
      <c r="C106" s="417">
        <v>563103.18999999994</v>
      </c>
      <c r="D106" s="417">
        <v>161858839.31999999</v>
      </c>
      <c r="E106" s="417">
        <v>3351756525.8499999</v>
      </c>
    </row>
    <row r="107" spans="1:5" x14ac:dyDescent="0.2">
      <c r="A107" s="417">
        <v>2092</v>
      </c>
      <c r="B107" s="417">
        <v>170647971.94</v>
      </c>
      <c r="C107" s="417">
        <v>437318.33</v>
      </c>
      <c r="D107" s="417">
        <v>170210653.61000001</v>
      </c>
      <c r="E107" s="417">
        <v>3521967179.46</v>
      </c>
    </row>
    <row r="108" spans="1:5" x14ac:dyDescent="0.2">
      <c r="A108" s="417">
        <v>2093</v>
      </c>
      <c r="B108" s="417">
        <v>179301488.63</v>
      </c>
      <c r="C108" s="417">
        <v>335264.58</v>
      </c>
      <c r="D108" s="417">
        <v>178966224.05000001</v>
      </c>
      <c r="E108" s="417">
        <v>3700933403.5100002</v>
      </c>
    </row>
    <row r="109" spans="1:5" x14ac:dyDescent="0.2">
      <c r="A109" s="417">
        <v>2094</v>
      </c>
      <c r="B109" s="417">
        <v>188402715.40000001</v>
      </c>
      <c r="C109" s="417">
        <v>253679.39</v>
      </c>
      <c r="D109" s="417">
        <v>188149036.00999999</v>
      </c>
      <c r="E109" s="417">
        <v>3889082439.52</v>
      </c>
    </row>
    <row r="110" spans="1:5" x14ac:dyDescent="0.2">
      <c r="A110" s="417">
        <v>2095</v>
      </c>
      <c r="B110" s="417">
        <v>197973123.27000001</v>
      </c>
      <c r="C110" s="417">
        <v>189814.3</v>
      </c>
      <c r="D110" s="417">
        <v>197783308.97</v>
      </c>
      <c r="E110" s="417">
        <v>4086865748.4899998</v>
      </c>
    </row>
    <row r="111" spans="1:5" x14ac:dyDescent="0.2">
      <c r="A111" s="417">
        <v>2096</v>
      </c>
      <c r="B111" s="417">
        <v>208035377.28</v>
      </c>
      <c r="C111" s="417">
        <v>140518.17000000001</v>
      </c>
      <c r="D111" s="417">
        <v>207894859.11000001</v>
      </c>
      <c r="E111" s="417">
        <v>4294760607.5999999</v>
      </c>
    </row>
    <row r="112" spans="1:5" x14ac:dyDescent="0.2">
      <c r="A112" s="417">
        <v>2097</v>
      </c>
      <c r="B112" s="417">
        <v>218613505.56999999</v>
      </c>
      <c r="C112" s="417">
        <v>103145.97</v>
      </c>
      <c r="D112" s="417">
        <v>218510359.59999999</v>
      </c>
      <c r="E112" s="417">
        <v>4513270967.1999998</v>
      </c>
    </row>
    <row r="113" spans="1:5" x14ac:dyDescent="0.2">
      <c r="A113" s="417">
        <v>2098</v>
      </c>
      <c r="B113" s="417">
        <v>229732910.81999999</v>
      </c>
      <c r="C113" s="417">
        <v>75225.649999999994</v>
      </c>
      <c r="D113" s="417">
        <v>229657685.16999999</v>
      </c>
      <c r="E113" s="417">
        <v>4742928652.3699999</v>
      </c>
    </row>
    <row r="115" spans="1:5" x14ac:dyDescent="0.2">
      <c r="A115" s="417" t="s">
        <v>1161</v>
      </c>
    </row>
    <row r="116" spans="1:5" x14ac:dyDescent="0.2">
      <c r="A116" s="417" t="s">
        <v>475</v>
      </c>
      <c r="B116" s="417" t="s">
        <v>11</v>
      </c>
      <c r="C116" s="417" t="s">
        <v>17</v>
      </c>
      <c r="D116" s="417" t="s">
        <v>1155</v>
      </c>
      <c r="E116" s="417" t="s">
        <v>1156</v>
      </c>
    </row>
    <row r="117" spans="1:5" x14ac:dyDescent="0.2">
      <c r="B117" s="417" t="s">
        <v>1157</v>
      </c>
      <c r="C117" s="417" t="s">
        <v>1157</v>
      </c>
      <c r="D117" s="417" t="s">
        <v>1158</v>
      </c>
      <c r="E117" s="417" t="s">
        <v>1159</v>
      </c>
    </row>
    <row r="118" spans="1:5" x14ac:dyDescent="0.2">
      <c r="B118" s="417" t="s">
        <v>46</v>
      </c>
      <c r="C118" s="417" t="s">
        <v>47</v>
      </c>
      <c r="D118" s="417" t="s">
        <v>223</v>
      </c>
      <c r="E118" s="417" t="s">
        <v>1160</v>
      </c>
    </row>
    <row r="119" spans="1:5" x14ac:dyDescent="0.2">
      <c r="A119" s="417">
        <v>2023</v>
      </c>
      <c r="B119" s="417">
        <v>0</v>
      </c>
      <c r="C119" s="417">
        <v>0</v>
      </c>
      <c r="D119" s="417">
        <v>0</v>
      </c>
      <c r="E119" s="417">
        <v>0</v>
      </c>
    </row>
    <row r="120" spans="1:5" x14ac:dyDescent="0.2">
      <c r="A120" s="417">
        <v>2024</v>
      </c>
      <c r="B120" s="417">
        <v>0</v>
      </c>
      <c r="C120" s="417">
        <v>0</v>
      </c>
      <c r="D120" s="417">
        <v>0</v>
      </c>
      <c r="E120" s="417">
        <v>0</v>
      </c>
    </row>
    <row r="121" spans="1:5" x14ac:dyDescent="0.2">
      <c r="A121" s="417">
        <v>2025</v>
      </c>
      <c r="B121" s="417">
        <v>0</v>
      </c>
      <c r="C121" s="417">
        <v>0</v>
      </c>
      <c r="D121" s="417">
        <v>0</v>
      </c>
      <c r="E121" s="417">
        <v>0</v>
      </c>
    </row>
    <row r="122" spans="1:5" x14ac:dyDescent="0.2">
      <c r="A122" s="417">
        <v>2026</v>
      </c>
      <c r="B122" s="417">
        <v>0</v>
      </c>
      <c r="C122" s="417">
        <v>0</v>
      </c>
      <c r="D122" s="417">
        <v>0</v>
      </c>
      <c r="E122" s="417">
        <v>0</v>
      </c>
    </row>
    <row r="123" spans="1:5" x14ac:dyDescent="0.2">
      <c r="A123" s="417">
        <v>2027</v>
      </c>
      <c r="B123" s="417">
        <v>0</v>
      </c>
      <c r="C123" s="417">
        <v>0</v>
      </c>
      <c r="D123" s="417">
        <v>0</v>
      </c>
      <c r="E123" s="417">
        <v>0</v>
      </c>
    </row>
    <row r="124" spans="1:5" x14ac:dyDescent="0.2">
      <c r="A124" s="417">
        <v>2028</v>
      </c>
      <c r="B124" s="417">
        <v>0</v>
      </c>
      <c r="C124" s="417">
        <v>0</v>
      </c>
      <c r="D124" s="417">
        <v>0</v>
      </c>
      <c r="E124" s="417">
        <v>0</v>
      </c>
    </row>
    <row r="125" spans="1:5" x14ac:dyDescent="0.2">
      <c r="A125" s="417">
        <v>2029</v>
      </c>
      <c r="B125" s="417">
        <v>0</v>
      </c>
      <c r="C125" s="417">
        <v>0</v>
      </c>
      <c r="D125" s="417">
        <v>0</v>
      </c>
      <c r="E125" s="417">
        <v>0</v>
      </c>
    </row>
    <row r="126" spans="1:5" x14ac:dyDescent="0.2">
      <c r="A126" s="417">
        <v>2030</v>
      </c>
      <c r="B126" s="417">
        <v>0</v>
      </c>
      <c r="C126" s="417">
        <v>0</v>
      </c>
      <c r="D126" s="417">
        <v>0</v>
      </c>
      <c r="E126" s="417">
        <v>0</v>
      </c>
    </row>
    <row r="127" spans="1:5" x14ac:dyDescent="0.2">
      <c r="A127" s="417">
        <v>2031</v>
      </c>
      <c r="B127" s="417">
        <v>0</v>
      </c>
      <c r="C127" s="417">
        <v>0</v>
      </c>
      <c r="D127" s="417">
        <v>0</v>
      </c>
      <c r="E127" s="417">
        <v>0</v>
      </c>
    </row>
    <row r="128" spans="1:5" x14ac:dyDescent="0.2">
      <c r="A128" s="417">
        <v>2032</v>
      </c>
      <c r="B128" s="417">
        <v>0</v>
      </c>
      <c r="C128" s="417">
        <v>0</v>
      </c>
      <c r="D128" s="417">
        <v>0</v>
      </c>
      <c r="E128" s="417">
        <v>0</v>
      </c>
    </row>
    <row r="129" spans="1:5" x14ac:dyDescent="0.2">
      <c r="A129" s="417">
        <v>2033</v>
      </c>
      <c r="B129" s="417">
        <v>0</v>
      </c>
      <c r="C129" s="417">
        <v>0</v>
      </c>
      <c r="D129" s="417">
        <v>0</v>
      </c>
      <c r="E129" s="417">
        <v>0</v>
      </c>
    </row>
    <row r="130" spans="1:5" x14ac:dyDescent="0.2">
      <c r="A130" s="417">
        <v>2034</v>
      </c>
      <c r="B130" s="417">
        <v>0</v>
      </c>
      <c r="C130" s="417">
        <v>0</v>
      </c>
      <c r="D130" s="417">
        <v>0</v>
      </c>
      <c r="E130" s="417">
        <v>0</v>
      </c>
    </row>
    <row r="131" spans="1:5" x14ac:dyDescent="0.2">
      <c r="A131" s="417">
        <v>2035</v>
      </c>
      <c r="B131" s="417">
        <v>0</v>
      </c>
      <c r="C131" s="417">
        <v>0</v>
      </c>
      <c r="D131" s="417">
        <v>0</v>
      </c>
      <c r="E131" s="417">
        <v>0</v>
      </c>
    </row>
    <row r="132" spans="1:5" x14ac:dyDescent="0.2">
      <c r="A132" s="417">
        <v>2036</v>
      </c>
      <c r="B132" s="417">
        <v>0</v>
      </c>
      <c r="C132" s="417">
        <v>0</v>
      </c>
      <c r="D132" s="417">
        <v>0</v>
      </c>
      <c r="E132" s="417">
        <v>0</v>
      </c>
    </row>
    <row r="133" spans="1:5" x14ac:dyDescent="0.2">
      <c r="A133" s="417">
        <v>2037</v>
      </c>
      <c r="B133" s="417">
        <v>0</v>
      </c>
      <c r="C133" s="417">
        <v>0</v>
      </c>
      <c r="D133" s="417">
        <v>0</v>
      </c>
      <c r="E133" s="417">
        <v>0</v>
      </c>
    </row>
    <row r="136" spans="1:5" x14ac:dyDescent="0.2">
      <c r="A136" s="417" t="s">
        <v>453</v>
      </c>
    </row>
    <row r="137" spans="1:5" x14ac:dyDescent="0.2">
      <c r="A137" s="417" t="s">
        <v>333</v>
      </c>
    </row>
    <row r="138" spans="1:5" x14ac:dyDescent="0.2">
      <c r="A138" s="417" t="s">
        <v>1150</v>
      </c>
    </row>
    <row r="139" spans="1:5" x14ac:dyDescent="0.2">
      <c r="A139" s="417" t="s">
        <v>1151</v>
      </c>
    </row>
    <row r="140" spans="1:5" x14ac:dyDescent="0.2">
      <c r="A140" s="417" t="s">
        <v>105</v>
      </c>
    </row>
    <row r="141" spans="1:5" x14ac:dyDescent="0.2">
      <c r="A141" s="417" t="s">
        <v>1152</v>
      </c>
    </row>
    <row r="142" spans="1:5" x14ac:dyDescent="0.2">
      <c r="A142" s="417" t="s">
        <v>1153</v>
      </c>
      <c r="E142" s="417" t="s">
        <v>5</v>
      </c>
    </row>
    <row r="143" spans="1:5" x14ac:dyDescent="0.2">
      <c r="A143" s="417" t="s">
        <v>1161</v>
      </c>
    </row>
    <row r="144" spans="1:5" x14ac:dyDescent="0.2">
      <c r="A144" s="417" t="s">
        <v>475</v>
      </c>
      <c r="B144" s="417" t="s">
        <v>11</v>
      </c>
      <c r="C144" s="417" t="s">
        <v>17</v>
      </c>
      <c r="D144" s="417" t="s">
        <v>1155</v>
      </c>
      <c r="E144" s="417" t="s">
        <v>1156</v>
      </c>
    </row>
    <row r="145" spans="1:5" x14ac:dyDescent="0.2">
      <c r="B145" s="417" t="s">
        <v>1157</v>
      </c>
      <c r="C145" s="417" t="s">
        <v>1157</v>
      </c>
      <c r="D145" s="417" t="s">
        <v>1158</v>
      </c>
      <c r="E145" s="417" t="s">
        <v>1159</v>
      </c>
    </row>
    <row r="146" spans="1:5" x14ac:dyDescent="0.2">
      <c r="B146" s="417" t="s">
        <v>46</v>
      </c>
      <c r="C146" s="417" t="s">
        <v>47</v>
      </c>
      <c r="D146" s="417" t="s">
        <v>223</v>
      </c>
      <c r="E146" s="417" t="s">
        <v>1160</v>
      </c>
    </row>
    <row r="147" spans="1:5" x14ac:dyDescent="0.2">
      <c r="A147" s="417">
        <v>2038</v>
      </c>
      <c r="B147" s="417">
        <v>0</v>
      </c>
      <c r="C147" s="417">
        <v>0</v>
      </c>
      <c r="D147" s="417">
        <v>0</v>
      </c>
      <c r="E147" s="417">
        <v>0</v>
      </c>
    </row>
    <row r="148" spans="1:5" x14ac:dyDescent="0.2">
      <c r="A148" s="417">
        <v>2039</v>
      </c>
      <c r="B148" s="417">
        <v>0</v>
      </c>
      <c r="C148" s="417">
        <v>0</v>
      </c>
      <c r="D148" s="417">
        <v>0</v>
      </c>
      <c r="E148" s="417">
        <v>0</v>
      </c>
    </row>
    <row r="149" spans="1:5" x14ac:dyDescent="0.2">
      <c r="A149" s="417">
        <v>2040</v>
      </c>
      <c r="B149" s="417">
        <v>0</v>
      </c>
      <c r="C149" s="417">
        <v>0</v>
      </c>
      <c r="D149" s="417">
        <v>0</v>
      </c>
      <c r="E149" s="417">
        <v>0</v>
      </c>
    </row>
    <row r="150" spans="1:5" x14ac:dyDescent="0.2">
      <c r="A150" s="417">
        <v>2041</v>
      </c>
      <c r="B150" s="417">
        <v>0</v>
      </c>
      <c r="C150" s="417">
        <v>0</v>
      </c>
      <c r="D150" s="417">
        <v>0</v>
      </c>
      <c r="E150" s="417">
        <v>0</v>
      </c>
    </row>
    <row r="151" spans="1:5" x14ac:dyDescent="0.2">
      <c r="A151" s="417">
        <v>2042</v>
      </c>
      <c r="B151" s="417">
        <v>0</v>
      </c>
      <c r="C151" s="417">
        <v>0</v>
      </c>
      <c r="D151" s="417">
        <v>0</v>
      </c>
      <c r="E151" s="417">
        <v>0</v>
      </c>
    </row>
    <row r="152" spans="1:5" x14ac:dyDescent="0.2">
      <c r="A152" s="417">
        <v>2043</v>
      </c>
      <c r="B152" s="417">
        <v>0</v>
      </c>
      <c r="C152" s="417">
        <v>0</v>
      </c>
      <c r="D152" s="417">
        <v>0</v>
      </c>
      <c r="E152" s="417">
        <v>0</v>
      </c>
    </row>
    <row r="153" spans="1:5" x14ac:dyDescent="0.2">
      <c r="A153" s="417">
        <v>2044</v>
      </c>
      <c r="B153" s="417">
        <v>0</v>
      </c>
      <c r="C153" s="417">
        <v>0</v>
      </c>
      <c r="D153" s="417">
        <v>0</v>
      </c>
      <c r="E153" s="417">
        <v>0</v>
      </c>
    </row>
    <row r="154" spans="1:5" x14ac:dyDescent="0.2">
      <c r="A154" s="417">
        <v>2045</v>
      </c>
      <c r="B154" s="417">
        <v>0</v>
      </c>
      <c r="C154" s="417">
        <v>0</v>
      </c>
      <c r="D154" s="417">
        <v>0</v>
      </c>
      <c r="E154" s="417">
        <v>0</v>
      </c>
    </row>
    <row r="155" spans="1:5" x14ac:dyDescent="0.2">
      <c r="A155" s="417">
        <v>2046</v>
      </c>
      <c r="B155" s="417">
        <v>0</v>
      </c>
      <c r="C155" s="417">
        <v>0</v>
      </c>
      <c r="D155" s="417">
        <v>0</v>
      </c>
      <c r="E155" s="417">
        <v>0</v>
      </c>
    </row>
    <row r="156" spans="1:5" x14ac:dyDescent="0.2">
      <c r="A156" s="417">
        <v>2047</v>
      </c>
      <c r="B156" s="417">
        <v>0</v>
      </c>
      <c r="C156" s="417">
        <v>0</v>
      </c>
      <c r="D156" s="417">
        <v>0</v>
      </c>
      <c r="E156" s="417">
        <v>0</v>
      </c>
    </row>
    <row r="157" spans="1:5" x14ac:dyDescent="0.2">
      <c r="A157" s="417">
        <v>2048</v>
      </c>
      <c r="B157" s="417">
        <v>0</v>
      </c>
      <c r="C157" s="417">
        <v>0</v>
      </c>
      <c r="D157" s="417">
        <v>0</v>
      </c>
      <c r="E157" s="417">
        <v>0</v>
      </c>
    </row>
    <row r="158" spans="1:5" x14ac:dyDescent="0.2">
      <c r="A158" s="417">
        <v>2049</v>
      </c>
      <c r="B158" s="417">
        <v>0</v>
      </c>
      <c r="C158" s="417">
        <v>0</v>
      </c>
      <c r="D158" s="417">
        <v>0</v>
      </c>
      <c r="E158" s="417">
        <v>0</v>
      </c>
    </row>
    <row r="159" spans="1:5" x14ac:dyDescent="0.2">
      <c r="A159" s="417">
        <v>2050</v>
      </c>
      <c r="B159" s="417">
        <v>0</v>
      </c>
      <c r="C159" s="417">
        <v>0</v>
      </c>
      <c r="D159" s="417">
        <v>0</v>
      </c>
      <c r="E159" s="417">
        <v>0</v>
      </c>
    </row>
    <row r="160" spans="1:5" x14ac:dyDescent="0.2">
      <c r="A160" s="417">
        <v>2051</v>
      </c>
      <c r="B160" s="417">
        <v>0</v>
      </c>
      <c r="C160" s="417">
        <v>0</v>
      </c>
      <c r="D160" s="417">
        <v>0</v>
      </c>
      <c r="E160" s="417">
        <v>0</v>
      </c>
    </row>
    <row r="161" spans="1:5" x14ac:dyDescent="0.2">
      <c r="A161" s="417">
        <v>2052</v>
      </c>
      <c r="B161" s="417">
        <v>0</v>
      </c>
      <c r="C161" s="417">
        <v>0</v>
      </c>
      <c r="D161" s="417">
        <v>0</v>
      </c>
      <c r="E161" s="417">
        <v>0</v>
      </c>
    </row>
    <row r="162" spans="1:5" x14ac:dyDescent="0.2">
      <c r="A162" s="417">
        <v>2053</v>
      </c>
      <c r="B162" s="417">
        <v>0</v>
      </c>
      <c r="C162" s="417">
        <v>0</v>
      </c>
      <c r="D162" s="417">
        <v>0</v>
      </c>
      <c r="E162" s="417">
        <v>0</v>
      </c>
    </row>
    <row r="163" spans="1:5" x14ac:dyDescent="0.2">
      <c r="A163" s="417">
        <v>2054</v>
      </c>
      <c r="B163" s="417">
        <v>0</v>
      </c>
      <c r="C163" s="417">
        <v>0</v>
      </c>
      <c r="D163" s="417">
        <v>0</v>
      </c>
      <c r="E163" s="417">
        <v>0</v>
      </c>
    </row>
    <row r="164" spans="1:5" x14ac:dyDescent="0.2">
      <c r="A164" s="417">
        <v>2055</v>
      </c>
      <c r="B164" s="417">
        <v>0</v>
      </c>
      <c r="C164" s="417">
        <v>0</v>
      </c>
      <c r="D164" s="417">
        <v>0</v>
      </c>
      <c r="E164" s="417">
        <v>0</v>
      </c>
    </row>
    <row r="165" spans="1:5" x14ac:dyDescent="0.2">
      <c r="A165" s="417">
        <v>2056</v>
      </c>
      <c r="B165" s="417">
        <v>0</v>
      </c>
      <c r="C165" s="417">
        <v>0</v>
      </c>
      <c r="D165" s="417">
        <v>0</v>
      </c>
      <c r="E165" s="417">
        <v>0</v>
      </c>
    </row>
    <row r="166" spans="1:5" x14ac:dyDescent="0.2">
      <c r="A166" s="417">
        <v>2057</v>
      </c>
      <c r="B166" s="417">
        <v>0</v>
      </c>
      <c r="C166" s="417">
        <v>0</v>
      </c>
      <c r="D166" s="417">
        <v>0</v>
      </c>
      <c r="E166" s="417">
        <v>0</v>
      </c>
    </row>
    <row r="167" spans="1:5" x14ac:dyDescent="0.2">
      <c r="A167" s="417">
        <v>2058</v>
      </c>
      <c r="B167" s="417">
        <v>0</v>
      </c>
      <c r="C167" s="417">
        <v>0</v>
      </c>
      <c r="D167" s="417">
        <v>0</v>
      </c>
      <c r="E167" s="417">
        <v>0</v>
      </c>
    </row>
    <row r="168" spans="1:5" x14ac:dyDescent="0.2">
      <c r="A168" s="417">
        <v>2059</v>
      </c>
      <c r="B168" s="417">
        <v>0</v>
      </c>
      <c r="C168" s="417">
        <v>0</v>
      </c>
      <c r="D168" s="417">
        <v>0</v>
      </c>
      <c r="E168" s="417">
        <v>0</v>
      </c>
    </row>
    <row r="169" spans="1:5" x14ac:dyDescent="0.2">
      <c r="A169" s="417">
        <v>2060</v>
      </c>
      <c r="B169" s="417">
        <v>0</v>
      </c>
      <c r="C169" s="417">
        <v>0</v>
      </c>
      <c r="D169" s="417">
        <v>0</v>
      </c>
      <c r="E169" s="417">
        <v>0</v>
      </c>
    </row>
    <row r="170" spans="1:5" x14ac:dyDescent="0.2">
      <c r="A170" s="417">
        <v>2061</v>
      </c>
      <c r="B170" s="417">
        <v>0</v>
      </c>
      <c r="C170" s="417">
        <v>0</v>
      </c>
      <c r="D170" s="417">
        <v>0</v>
      </c>
      <c r="E170" s="417">
        <v>0</v>
      </c>
    </row>
    <row r="171" spans="1:5" x14ac:dyDescent="0.2">
      <c r="A171" s="417">
        <v>2062</v>
      </c>
      <c r="B171" s="417">
        <v>0</v>
      </c>
      <c r="C171" s="417">
        <v>0</v>
      </c>
      <c r="D171" s="417">
        <v>0</v>
      </c>
      <c r="E171" s="417">
        <v>0</v>
      </c>
    </row>
    <row r="172" spans="1:5" x14ac:dyDescent="0.2">
      <c r="A172" s="417">
        <v>2063</v>
      </c>
      <c r="B172" s="417">
        <v>0</v>
      </c>
      <c r="C172" s="417">
        <v>0</v>
      </c>
      <c r="D172" s="417">
        <v>0</v>
      </c>
      <c r="E172" s="417">
        <v>0</v>
      </c>
    </row>
    <row r="173" spans="1:5" x14ac:dyDescent="0.2">
      <c r="A173" s="417">
        <v>2064</v>
      </c>
      <c r="B173" s="417">
        <v>0</v>
      </c>
      <c r="C173" s="417">
        <v>0</v>
      </c>
      <c r="D173" s="417">
        <v>0</v>
      </c>
      <c r="E173" s="417">
        <v>0</v>
      </c>
    </row>
    <row r="174" spans="1:5" x14ac:dyDescent="0.2">
      <c r="A174" s="417">
        <v>2065</v>
      </c>
      <c r="B174" s="417">
        <v>0</v>
      </c>
      <c r="C174" s="417">
        <v>0</v>
      </c>
      <c r="D174" s="417">
        <v>0</v>
      </c>
      <c r="E174" s="417">
        <v>0</v>
      </c>
    </row>
    <row r="175" spans="1:5" x14ac:dyDescent="0.2">
      <c r="A175" s="417">
        <v>2066</v>
      </c>
      <c r="B175" s="417">
        <v>0</v>
      </c>
      <c r="C175" s="417">
        <v>0</v>
      </c>
      <c r="D175" s="417">
        <v>0</v>
      </c>
      <c r="E175" s="417">
        <v>0</v>
      </c>
    </row>
    <row r="176" spans="1:5" x14ac:dyDescent="0.2">
      <c r="A176" s="417">
        <v>2067</v>
      </c>
      <c r="B176" s="417">
        <v>0</v>
      </c>
      <c r="C176" s="417">
        <v>0</v>
      </c>
      <c r="D176" s="417">
        <v>0</v>
      </c>
      <c r="E176" s="417">
        <v>0</v>
      </c>
    </row>
    <row r="177" spans="1:5" x14ac:dyDescent="0.2">
      <c r="A177" s="417">
        <v>2068</v>
      </c>
      <c r="B177" s="417">
        <v>0</v>
      </c>
      <c r="C177" s="417">
        <v>0</v>
      </c>
      <c r="D177" s="417">
        <v>0</v>
      </c>
      <c r="E177" s="417">
        <v>0</v>
      </c>
    </row>
    <row r="178" spans="1:5" x14ac:dyDescent="0.2">
      <c r="A178" s="417">
        <v>2069</v>
      </c>
      <c r="B178" s="417">
        <v>0</v>
      </c>
      <c r="C178" s="417">
        <v>0</v>
      </c>
      <c r="D178" s="417">
        <v>0</v>
      </c>
      <c r="E178" s="417">
        <v>0</v>
      </c>
    </row>
    <row r="181" spans="1:5" x14ac:dyDescent="0.2">
      <c r="A181" s="417" t="s">
        <v>453</v>
      </c>
    </row>
    <row r="182" spans="1:5" x14ac:dyDescent="0.2">
      <c r="A182" s="417" t="s">
        <v>333</v>
      </c>
    </row>
    <row r="183" spans="1:5" x14ac:dyDescent="0.2">
      <c r="A183" s="417" t="s">
        <v>1150</v>
      </c>
    </row>
    <row r="184" spans="1:5" x14ac:dyDescent="0.2">
      <c r="A184" s="417" t="s">
        <v>1151</v>
      </c>
    </row>
    <row r="185" spans="1:5" x14ac:dyDescent="0.2">
      <c r="A185" s="417" t="s">
        <v>105</v>
      </c>
    </row>
    <row r="186" spans="1:5" x14ac:dyDescent="0.2">
      <c r="A186" s="417" t="s">
        <v>1152</v>
      </c>
    </row>
    <row r="187" spans="1:5" x14ac:dyDescent="0.2">
      <c r="A187" s="417" t="s">
        <v>1153</v>
      </c>
      <c r="E187" s="417" t="s">
        <v>5</v>
      </c>
    </row>
    <row r="188" spans="1:5" x14ac:dyDescent="0.2">
      <c r="A188" s="417" t="s">
        <v>1161</v>
      </c>
    </row>
    <row r="189" spans="1:5" x14ac:dyDescent="0.2">
      <c r="A189" s="417" t="s">
        <v>475</v>
      </c>
      <c r="B189" s="417" t="s">
        <v>11</v>
      </c>
      <c r="C189" s="417" t="s">
        <v>17</v>
      </c>
      <c r="D189" s="417" t="s">
        <v>1155</v>
      </c>
      <c r="E189" s="417" t="s">
        <v>1156</v>
      </c>
    </row>
    <row r="190" spans="1:5" x14ac:dyDescent="0.2">
      <c r="B190" s="417" t="s">
        <v>1157</v>
      </c>
      <c r="C190" s="417" t="s">
        <v>1157</v>
      </c>
      <c r="D190" s="417" t="s">
        <v>1158</v>
      </c>
      <c r="E190" s="417" t="s">
        <v>1159</v>
      </c>
    </row>
    <row r="191" spans="1:5" x14ac:dyDescent="0.2">
      <c r="B191" s="417" t="s">
        <v>46</v>
      </c>
      <c r="C191" s="417" t="s">
        <v>47</v>
      </c>
      <c r="D191" s="417" t="s">
        <v>223</v>
      </c>
      <c r="E191" s="417" t="s">
        <v>1160</v>
      </c>
    </row>
    <row r="192" spans="1:5" x14ac:dyDescent="0.2">
      <c r="A192" s="417">
        <v>2070</v>
      </c>
      <c r="B192" s="417">
        <v>0</v>
      </c>
      <c r="C192" s="417">
        <v>0</v>
      </c>
      <c r="D192" s="417">
        <v>0</v>
      </c>
      <c r="E192" s="417">
        <v>0</v>
      </c>
    </row>
    <row r="193" spans="1:5" x14ac:dyDescent="0.2">
      <c r="A193" s="417">
        <v>2071</v>
      </c>
      <c r="B193" s="417">
        <v>0</v>
      </c>
      <c r="C193" s="417">
        <v>0</v>
      </c>
      <c r="D193" s="417">
        <v>0</v>
      </c>
      <c r="E193" s="417">
        <v>0</v>
      </c>
    </row>
    <row r="194" spans="1:5" x14ac:dyDescent="0.2">
      <c r="A194" s="417">
        <v>2072</v>
      </c>
      <c r="B194" s="417">
        <v>0</v>
      </c>
      <c r="C194" s="417">
        <v>0</v>
      </c>
      <c r="D194" s="417">
        <v>0</v>
      </c>
      <c r="E194" s="417">
        <v>0</v>
      </c>
    </row>
    <row r="195" spans="1:5" x14ac:dyDescent="0.2">
      <c r="A195" s="417">
        <v>2073</v>
      </c>
      <c r="B195" s="417">
        <v>0</v>
      </c>
      <c r="C195" s="417">
        <v>0</v>
      </c>
      <c r="D195" s="417">
        <v>0</v>
      </c>
      <c r="E195" s="417">
        <v>0</v>
      </c>
    </row>
    <row r="196" spans="1:5" x14ac:dyDescent="0.2">
      <c r="A196" s="417">
        <v>2074</v>
      </c>
      <c r="B196" s="417">
        <v>0</v>
      </c>
      <c r="C196" s="417">
        <v>0</v>
      </c>
      <c r="D196" s="417">
        <v>0</v>
      </c>
      <c r="E196" s="417">
        <v>0</v>
      </c>
    </row>
    <row r="197" spans="1:5" x14ac:dyDescent="0.2">
      <c r="A197" s="417">
        <v>2075</v>
      </c>
      <c r="B197" s="417">
        <v>0</v>
      </c>
      <c r="C197" s="417">
        <v>0</v>
      </c>
      <c r="D197" s="417">
        <v>0</v>
      </c>
      <c r="E197" s="417">
        <v>0</v>
      </c>
    </row>
    <row r="198" spans="1:5" x14ac:dyDescent="0.2">
      <c r="A198" s="417">
        <v>2076</v>
      </c>
      <c r="B198" s="417">
        <v>0</v>
      </c>
      <c r="C198" s="417">
        <v>0</v>
      </c>
      <c r="D198" s="417">
        <v>0</v>
      </c>
      <c r="E198" s="417">
        <v>0</v>
      </c>
    </row>
    <row r="199" spans="1:5" x14ac:dyDescent="0.2">
      <c r="A199" s="417">
        <v>2077</v>
      </c>
      <c r="B199" s="417">
        <v>0</v>
      </c>
      <c r="C199" s="417">
        <v>0</v>
      </c>
      <c r="D199" s="417">
        <v>0</v>
      </c>
      <c r="E199" s="417">
        <v>0</v>
      </c>
    </row>
    <row r="200" spans="1:5" x14ac:dyDescent="0.2">
      <c r="A200" s="417">
        <v>2078</v>
      </c>
      <c r="B200" s="417">
        <v>0</v>
      </c>
      <c r="C200" s="417">
        <v>0</v>
      </c>
      <c r="D200" s="417">
        <v>0</v>
      </c>
      <c r="E200" s="417">
        <v>0</v>
      </c>
    </row>
    <row r="201" spans="1:5" x14ac:dyDescent="0.2">
      <c r="A201" s="417">
        <v>2079</v>
      </c>
      <c r="B201" s="417">
        <v>0</v>
      </c>
      <c r="C201" s="417">
        <v>0</v>
      </c>
      <c r="D201" s="417">
        <v>0</v>
      </c>
      <c r="E201" s="417">
        <v>0</v>
      </c>
    </row>
    <row r="202" spans="1:5" x14ac:dyDescent="0.2">
      <c r="A202" s="417">
        <v>2080</v>
      </c>
      <c r="B202" s="417">
        <v>0</v>
      </c>
      <c r="C202" s="417">
        <v>0</v>
      </c>
      <c r="D202" s="417">
        <v>0</v>
      </c>
      <c r="E202" s="417">
        <v>0</v>
      </c>
    </row>
    <row r="203" spans="1:5" x14ac:dyDescent="0.2">
      <c r="A203" s="417">
        <v>2081</v>
      </c>
      <c r="B203" s="417">
        <v>0</v>
      </c>
      <c r="C203" s="417">
        <v>0</v>
      </c>
      <c r="D203" s="417">
        <v>0</v>
      </c>
      <c r="E203" s="417">
        <v>0</v>
      </c>
    </row>
    <row r="204" spans="1:5" x14ac:dyDescent="0.2">
      <c r="A204" s="417">
        <v>2082</v>
      </c>
      <c r="B204" s="417">
        <v>0</v>
      </c>
      <c r="C204" s="417">
        <v>0</v>
      </c>
      <c r="D204" s="417">
        <v>0</v>
      </c>
      <c r="E204" s="417">
        <v>0</v>
      </c>
    </row>
    <row r="205" spans="1:5" x14ac:dyDescent="0.2">
      <c r="A205" s="417">
        <v>2083</v>
      </c>
      <c r="B205" s="417">
        <v>0</v>
      </c>
      <c r="C205" s="417">
        <v>0</v>
      </c>
      <c r="D205" s="417">
        <v>0</v>
      </c>
      <c r="E205" s="417">
        <v>0</v>
      </c>
    </row>
    <row r="206" spans="1:5" x14ac:dyDescent="0.2">
      <c r="A206" s="417">
        <v>2084</v>
      </c>
      <c r="B206" s="417">
        <v>0</v>
      </c>
      <c r="C206" s="417">
        <v>0</v>
      </c>
      <c r="D206" s="417">
        <v>0</v>
      </c>
      <c r="E206" s="417">
        <v>0</v>
      </c>
    </row>
    <row r="207" spans="1:5" x14ac:dyDescent="0.2">
      <c r="A207" s="417">
        <v>2085</v>
      </c>
      <c r="B207" s="417">
        <v>0</v>
      </c>
      <c r="C207" s="417">
        <v>0</v>
      </c>
      <c r="D207" s="417">
        <v>0</v>
      </c>
      <c r="E207" s="417">
        <v>0</v>
      </c>
    </row>
    <row r="208" spans="1:5" x14ac:dyDescent="0.2">
      <c r="A208" s="417">
        <v>2086</v>
      </c>
      <c r="B208" s="417">
        <v>0</v>
      </c>
      <c r="C208" s="417">
        <v>0</v>
      </c>
      <c r="D208" s="417">
        <v>0</v>
      </c>
      <c r="E208" s="417">
        <v>0</v>
      </c>
    </row>
    <row r="209" spans="1:5" x14ac:dyDescent="0.2">
      <c r="A209" s="417">
        <v>2087</v>
      </c>
      <c r="B209" s="417">
        <v>0</v>
      </c>
      <c r="C209" s="417">
        <v>0</v>
      </c>
      <c r="D209" s="417">
        <v>0</v>
      </c>
      <c r="E209" s="417">
        <v>0</v>
      </c>
    </row>
    <row r="210" spans="1:5" x14ac:dyDescent="0.2">
      <c r="A210" s="417">
        <v>2088</v>
      </c>
      <c r="B210" s="417">
        <v>0</v>
      </c>
      <c r="C210" s="417">
        <v>0</v>
      </c>
      <c r="D210" s="417">
        <v>0</v>
      </c>
      <c r="E210" s="417">
        <v>0</v>
      </c>
    </row>
    <row r="211" spans="1:5" x14ac:dyDescent="0.2">
      <c r="A211" s="417">
        <v>2089</v>
      </c>
      <c r="B211" s="417">
        <v>0</v>
      </c>
      <c r="C211" s="417">
        <v>0</v>
      </c>
      <c r="D211" s="417">
        <v>0</v>
      </c>
      <c r="E211" s="417">
        <v>0</v>
      </c>
    </row>
    <row r="212" spans="1:5" x14ac:dyDescent="0.2">
      <c r="A212" s="417">
        <v>2090</v>
      </c>
      <c r="B212" s="417">
        <v>0</v>
      </c>
      <c r="C212" s="417">
        <v>0</v>
      </c>
      <c r="D212" s="417">
        <v>0</v>
      </c>
      <c r="E212" s="417">
        <v>0</v>
      </c>
    </row>
    <row r="213" spans="1:5" x14ac:dyDescent="0.2">
      <c r="A213" s="417">
        <v>2091</v>
      </c>
      <c r="B213" s="417">
        <v>0</v>
      </c>
      <c r="C213" s="417">
        <v>0</v>
      </c>
      <c r="D213" s="417">
        <v>0</v>
      </c>
      <c r="E213" s="417">
        <v>0</v>
      </c>
    </row>
    <row r="214" spans="1:5" x14ac:dyDescent="0.2">
      <c r="A214" s="417">
        <v>2092</v>
      </c>
      <c r="B214" s="417">
        <v>0</v>
      </c>
      <c r="C214" s="417">
        <v>0</v>
      </c>
      <c r="D214" s="417">
        <v>0</v>
      </c>
      <c r="E214" s="417">
        <v>0</v>
      </c>
    </row>
    <row r="215" spans="1:5" x14ac:dyDescent="0.2">
      <c r="A215" s="417">
        <v>2093</v>
      </c>
      <c r="B215" s="417">
        <v>0</v>
      </c>
      <c r="C215" s="417">
        <v>0</v>
      </c>
      <c r="D215" s="417">
        <v>0</v>
      </c>
      <c r="E215" s="417">
        <v>0</v>
      </c>
    </row>
    <row r="216" spans="1:5" x14ac:dyDescent="0.2">
      <c r="A216" s="417">
        <v>2094</v>
      </c>
      <c r="B216" s="417">
        <v>0</v>
      </c>
      <c r="C216" s="417">
        <v>0</v>
      </c>
      <c r="D216" s="417">
        <v>0</v>
      </c>
      <c r="E216" s="417">
        <v>0</v>
      </c>
    </row>
    <row r="217" spans="1:5" x14ac:dyDescent="0.2">
      <c r="A217" s="417">
        <v>2095</v>
      </c>
      <c r="B217" s="417">
        <v>0</v>
      </c>
      <c r="C217" s="417">
        <v>0</v>
      </c>
      <c r="D217" s="417">
        <v>0</v>
      </c>
      <c r="E217" s="417">
        <v>0</v>
      </c>
    </row>
    <row r="218" spans="1:5" x14ac:dyDescent="0.2">
      <c r="A218" s="417">
        <v>2096</v>
      </c>
      <c r="B218" s="417">
        <v>0</v>
      </c>
      <c r="C218" s="417">
        <v>0</v>
      </c>
      <c r="D218" s="417">
        <v>0</v>
      </c>
      <c r="E218" s="417">
        <v>0</v>
      </c>
    </row>
    <row r="219" spans="1:5" x14ac:dyDescent="0.2">
      <c r="A219" s="417">
        <v>2097</v>
      </c>
      <c r="B219" s="417">
        <v>0</v>
      </c>
      <c r="C219" s="417">
        <v>0</v>
      </c>
      <c r="D219" s="417">
        <v>0</v>
      </c>
      <c r="E219" s="417">
        <v>0</v>
      </c>
    </row>
    <row r="220" spans="1:5" x14ac:dyDescent="0.2">
      <c r="A220" s="417">
        <v>2098</v>
      </c>
      <c r="B220" s="417">
        <v>0</v>
      </c>
      <c r="C220" s="417">
        <v>0</v>
      </c>
      <c r="D220" s="417">
        <v>0</v>
      </c>
      <c r="E220" s="417">
        <v>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LX32"/>
  <sheetViews>
    <sheetView topLeftCell="A2" zoomScale="154" zoomScaleNormal="154" workbookViewId="0">
      <selection activeCell="E26" sqref="E26"/>
    </sheetView>
  </sheetViews>
  <sheetFormatPr defaultColWidth="8.7109375" defaultRowHeight="15" x14ac:dyDescent="0.25"/>
  <cols>
    <col min="1" max="1" width="16.140625" style="8" customWidth="1"/>
    <col min="2" max="2" width="9" style="8" customWidth="1"/>
    <col min="3" max="3" width="9.85546875" style="8" bestFit="1" customWidth="1"/>
    <col min="4" max="4" width="8.85546875" style="8" bestFit="1" customWidth="1"/>
    <col min="5" max="5" width="6.7109375" style="8" bestFit="1" customWidth="1"/>
    <col min="6" max="6" width="9.5703125" style="8" bestFit="1" customWidth="1"/>
    <col min="7" max="7" width="7.5703125" style="8" customWidth="1"/>
    <col min="8" max="8" width="9.85546875" style="8" bestFit="1" customWidth="1"/>
    <col min="9" max="10" width="8.85546875" style="8" bestFit="1" customWidth="1"/>
    <col min="11" max="11" width="6.5703125" style="8" bestFit="1" customWidth="1"/>
    <col min="12" max="12" width="7.85546875" style="8" bestFit="1" customWidth="1"/>
    <col min="13" max="13" width="9.5703125" style="8" bestFit="1" customWidth="1"/>
    <col min="14" max="1012" width="11.5703125" style="8" customWidth="1"/>
  </cols>
  <sheetData>
    <row r="2" spans="1:1012" ht="11.45" customHeight="1" x14ac:dyDescent="0.25"/>
    <row r="3" spans="1:1012" ht="11.45" customHeight="1" x14ac:dyDescent="0.25">
      <c r="A3" s="8" t="s">
        <v>0</v>
      </c>
    </row>
    <row r="4" spans="1:1012" ht="11.45" customHeight="1" x14ac:dyDescent="0.25">
      <c r="A4" s="8" t="s">
        <v>1</v>
      </c>
    </row>
    <row r="5" spans="1:1012" ht="11.45" customHeight="1" x14ac:dyDescent="0.25">
      <c r="A5" s="8" t="s">
        <v>421</v>
      </c>
    </row>
    <row r="6" spans="1:1012" ht="11.45" customHeight="1" x14ac:dyDescent="0.25">
      <c r="A6" s="8" t="s">
        <v>3</v>
      </c>
    </row>
    <row r="7" spans="1:1012" x14ac:dyDescent="0.25">
      <c r="A7" s="8" t="s">
        <v>2036</v>
      </c>
    </row>
    <row r="8" spans="1:1012" ht="11.45" customHeight="1" x14ac:dyDescent="0.25"/>
    <row r="9" spans="1:1012" ht="11.45" customHeight="1" x14ac:dyDescent="0.25">
      <c r="A9" s="521" t="s">
        <v>422</v>
      </c>
      <c r="B9" s="505"/>
      <c r="C9" s="506"/>
      <c r="D9" s="506"/>
      <c r="E9" s="506"/>
      <c r="F9" s="507"/>
      <c r="G9" s="505"/>
      <c r="H9" s="506"/>
      <c r="I9" s="506"/>
      <c r="J9" s="506"/>
      <c r="K9" s="506"/>
      <c r="L9" s="503"/>
      <c r="M9" s="503" t="s">
        <v>107</v>
      </c>
    </row>
    <row r="10" spans="1:1012" ht="11.45" customHeight="1" x14ac:dyDescent="0.25">
      <c r="A10" s="522" t="s">
        <v>423</v>
      </c>
      <c r="B10" s="190" t="s">
        <v>54</v>
      </c>
      <c r="C10" s="191"/>
      <c r="D10" s="191"/>
      <c r="E10" s="191"/>
      <c r="F10" s="508"/>
      <c r="G10" s="190" t="s">
        <v>424</v>
      </c>
      <c r="H10" s="191"/>
      <c r="I10" s="191"/>
      <c r="J10" s="191"/>
      <c r="K10" s="191"/>
      <c r="L10" s="504"/>
      <c r="M10" s="504" t="s">
        <v>425</v>
      </c>
    </row>
    <row r="11" spans="1:1012" ht="11.45" customHeight="1" x14ac:dyDescent="0.25">
      <c r="A11" s="522"/>
      <c r="B11" s="625"/>
      <c r="C11" s="502"/>
      <c r="D11" s="625"/>
      <c r="E11" s="625"/>
      <c r="F11" s="502"/>
      <c r="G11" s="625"/>
      <c r="H11" s="502"/>
      <c r="I11" s="625"/>
      <c r="J11" s="625"/>
      <c r="K11" s="502"/>
      <c r="L11" s="626"/>
      <c r="M11" s="625"/>
    </row>
    <row r="12" spans="1:1012" ht="11.45" customHeight="1" x14ac:dyDescent="0.25">
      <c r="A12" s="522"/>
      <c r="B12" s="626" t="s">
        <v>426</v>
      </c>
      <c r="C12" s="502"/>
      <c r="D12" s="626" t="s">
        <v>427</v>
      </c>
      <c r="E12" s="626" t="s">
        <v>428</v>
      </c>
      <c r="F12" s="502" t="s">
        <v>52</v>
      </c>
      <c r="G12" s="626" t="s">
        <v>426</v>
      </c>
      <c r="H12" s="502"/>
      <c r="I12" s="187" t="s">
        <v>274</v>
      </c>
      <c r="J12" s="187" t="s">
        <v>427</v>
      </c>
      <c r="K12" s="8" t="s">
        <v>428</v>
      </c>
      <c r="L12" s="187" t="s">
        <v>52</v>
      </c>
      <c r="M12" s="187" t="s">
        <v>425</v>
      </c>
    </row>
    <row r="13" spans="1:1012" ht="11.45" customHeight="1" x14ac:dyDescent="0.25">
      <c r="A13" s="522"/>
      <c r="B13" s="626" t="s">
        <v>429</v>
      </c>
      <c r="C13" s="502" t="s">
        <v>430</v>
      </c>
      <c r="D13" s="626"/>
      <c r="E13" s="626"/>
      <c r="F13" s="502"/>
      <c r="G13" s="626" t="s">
        <v>429</v>
      </c>
      <c r="H13" s="502" t="s">
        <v>430</v>
      </c>
      <c r="I13" s="187"/>
      <c r="J13" s="187"/>
      <c r="L13" s="187"/>
      <c r="M13" s="504"/>
    </row>
    <row r="14" spans="1:1012" s="509" customFormat="1" ht="11.45" customHeight="1" x14ac:dyDescent="0.25">
      <c r="A14" s="523"/>
      <c r="B14" s="188" t="s">
        <v>431</v>
      </c>
      <c r="C14" s="186" t="s">
        <v>1550</v>
      </c>
      <c r="D14" s="188"/>
      <c r="E14" s="188"/>
      <c r="F14" s="186"/>
      <c r="G14" s="188" t="s">
        <v>431</v>
      </c>
      <c r="H14" s="186" t="s">
        <v>1550</v>
      </c>
      <c r="I14" s="188"/>
      <c r="J14" s="188"/>
      <c r="K14" s="186"/>
      <c r="L14" s="511"/>
      <c r="M14" s="188"/>
      <c r="N14" s="502"/>
      <c r="O14" s="502"/>
      <c r="P14" s="502"/>
      <c r="Q14" s="502"/>
      <c r="R14" s="502"/>
      <c r="S14" s="502"/>
      <c r="T14" s="502"/>
      <c r="U14" s="502"/>
      <c r="V14" s="502"/>
      <c r="W14" s="502"/>
      <c r="X14" s="502"/>
      <c r="Y14" s="502"/>
      <c r="Z14" s="502"/>
      <c r="AA14" s="502"/>
      <c r="AB14" s="502"/>
      <c r="AC14" s="502"/>
      <c r="AD14" s="502"/>
      <c r="AE14" s="502"/>
      <c r="AF14" s="502"/>
      <c r="AG14" s="502"/>
      <c r="AH14" s="502"/>
      <c r="AI14" s="502"/>
      <c r="AJ14" s="502"/>
      <c r="AK14" s="502"/>
      <c r="AL14" s="502"/>
      <c r="AM14" s="502"/>
      <c r="AN14" s="502"/>
      <c r="AO14" s="502"/>
      <c r="AP14" s="502"/>
      <c r="AQ14" s="502"/>
      <c r="AR14" s="502"/>
      <c r="AS14" s="502"/>
      <c r="AT14" s="502"/>
      <c r="AU14" s="502"/>
      <c r="AV14" s="502"/>
      <c r="AW14" s="502"/>
      <c r="AX14" s="502"/>
      <c r="AY14" s="502"/>
      <c r="AZ14" s="502"/>
      <c r="BA14" s="502"/>
      <c r="BB14" s="502"/>
      <c r="BC14" s="502"/>
      <c r="BD14" s="502"/>
      <c r="BE14" s="502"/>
      <c r="BF14" s="502"/>
      <c r="BG14" s="502"/>
      <c r="BH14" s="502"/>
      <c r="BI14" s="502"/>
      <c r="BJ14" s="502"/>
      <c r="BK14" s="502"/>
      <c r="BL14" s="502"/>
      <c r="BM14" s="502"/>
      <c r="BN14" s="502"/>
      <c r="BO14" s="502"/>
      <c r="BP14" s="502"/>
      <c r="BQ14" s="502"/>
      <c r="BR14" s="502"/>
      <c r="BS14" s="502"/>
      <c r="BT14" s="502"/>
      <c r="BU14" s="502"/>
      <c r="BV14" s="502"/>
      <c r="BW14" s="502"/>
      <c r="BX14" s="502"/>
      <c r="BY14" s="502"/>
      <c r="BZ14" s="502"/>
      <c r="CA14" s="502"/>
      <c r="CB14" s="502"/>
      <c r="CC14" s="502"/>
      <c r="CD14" s="502"/>
      <c r="CE14" s="502"/>
      <c r="CF14" s="502"/>
      <c r="CG14" s="502"/>
      <c r="CH14" s="502"/>
      <c r="CI14" s="502"/>
      <c r="CJ14" s="502"/>
      <c r="CK14" s="502"/>
      <c r="CL14" s="502"/>
      <c r="CM14" s="502"/>
      <c r="CN14" s="502"/>
      <c r="CO14" s="502"/>
      <c r="CP14" s="502"/>
      <c r="CQ14" s="502"/>
      <c r="CR14" s="502"/>
      <c r="CS14" s="502"/>
      <c r="CT14" s="502"/>
      <c r="CU14" s="502"/>
      <c r="CV14" s="502"/>
      <c r="CW14" s="502"/>
      <c r="CX14" s="502"/>
      <c r="CY14" s="502"/>
      <c r="CZ14" s="502"/>
      <c r="DA14" s="502"/>
      <c r="DB14" s="502"/>
      <c r="DC14" s="502"/>
      <c r="DD14" s="502"/>
      <c r="DE14" s="502"/>
      <c r="DF14" s="502"/>
      <c r="DG14" s="502"/>
      <c r="DH14" s="502"/>
      <c r="DI14" s="502"/>
      <c r="DJ14" s="502"/>
      <c r="DK14" s="502"/>
      <c r="DL14" s="502"/>
      <c r="DM14" s="502"/>
      <c r="DN14" s="502"/>
      <c r="DO14" s="502"/>
      <c r="DP14" s="502"/>
      <c r="DQ14" s="502"/>
      <c r="DR14" s="502"/>
      <c r="DS14" s="502"/>
      <c r="DT14" s="502"/>
      <c r="DU14" s="502"/>
      <c r="DV14" s="502"/>
      <c r="DW14" s="502"/>
      <c r="DX14" s="502"/>
      <c r="DY14" s="502"/>
      <c r="DZ14" s="502"/>
      <c r="EA14" s="502"/>
      <c r="EB14" s="502"/>
      <c r="EC14" s="502"/>
      <c r="ED14" s="502"/>
      <c r="EE14" s="502"/>
      <c r="EF14" s="502"/>
      <c r="EG14" s="502"/>
      <c r="EH14" s="502"/>
      <c r="EI14" s="502"/>
      <c r="EJ14" s="502"/>
      <c r="EK14" s="502"/>
      <c r="EL14" s="502"/>
      <c r="EM14" s="502"/>
      <c r="EN14" s="502"/>
      <c r="EO14" s="502"/>
      <c r="EP14" s="502"/>
      <c r="EQ14" s="502"/>
      <c r="ER14" s="502"/>
      <c r="ES14" s="502"/>
      <c r="ET14" s="502"/>
      <c r="EU14" s="502"/>
      <c r="EV14" s="502"/>
      <c r="EW14" s="502"/>
      <c r="EX14" s="502"/>
      <c r="EY14" s="502"/>
      <c r="EZ14" s="502"/>
      <c r="FA14" s="502"/>
      <c r="FB14" s="502"/>
      <c r="FC14" s="502"/>
      <c r="FD14" s="502"/>
      <c r="FE14" s="502"/>
      <c r="FF14" s="502"/>
      <c r="FG14" s="502"/>
      <c r="FH14" s="502"/>
      <c r="FI14" s="502"/>
      <c r="FJ14" s="502"/>
      <c r="FK14" s="502"/>
      <c r="FL14" s="502"/>
      <c r="FM14" s="502"/>
      <c r="FN14" s="502"/>
      <c r="FO14" s="502"/>
      <c r="FP14" s="502"/>
      <c r="FQ14" s="502"/>
      <c r="FR14" s="502"/>
      <c r="FS14" s="502"/>
      <c r="FT14" s="502"/>
      <c r="FU14" s="502"/>
      <c r="FV14" s="502"/>
      <c r="FW14" s="502"/>
      <c r="FX14" s="502"/>
      <c r="FY14" s="502"/>
      <c r="FZ14" s="502"/>
      <c r="GA14" s="502"/>
      <c r="GB14" s="502"/>
      <c r="GC14" s="502"/>
      <c r="GD14" s="502"/>
      <c r="GE14" s="502"/>
      <c r="GF14" s="502"/>
      <c r="GG14" s="502"/>
      <c r="GH14" s="502"/>
      <c r="GI14" s="502"/>
      <c r="GJ14" s="502"/>
      <c r="GK14" s="502"/>
      <c r="GL14" s="502"/>
      <c r="GM14" s="502"/>
      <c r="GN14" s="502"/>
      <c r="GO14" s="502"/>
      <c r="GP14" s="502"/>
      <c r="GQ14" s="502"/>
      <c r="GR14" s="502"/>
      <c r="GS14" s="502"/>
      <c r="GT14" s="502"/>
      <c r="GU14" s="502"/>
      <c r="GV14" s="502"/>
      <c r="GW14" s="502"/>
      <c r="GX14" s="502"/>
      <c r="GY14" s="502"/>
      <c r="GZ14" s="502"/>
      <c r="HA14" s="502"/>
      <c r="HB14" s="502"/>
      <c r="HC14" s="502"/>
      <c r="HD14" s="502"/>
      <c r="HE14" s="502"/>
      <c r="HF14" s="502"/>
      <c r="HG14" s="502"/>
      <c r="HH14" s="502"/>
      <c r="HI14" s="502"/>
      <c r="HJ14" s="502"/>
      <c r="HK14" s="502"/>
      <c r="HL14" s="502"/>
      <c r="HM14" s="502"/>
      <c r="HN14" s="502"/>
      <c r="HO14" s="502"/>
      <c r="HP14" s="502"/>
      <c r="HQ14" s="502"/>
      <c r="HR14" s="502"/>
      <c r="HS14" s="502"/>
      <c r="HT14" s="502"/>
      <c r="HU14" s="502"/>
      <c r="HV14" s="502"/>
      <c r="HW14" s="502"/>
      <c r="HX14" s="502"/>
      <c r="HY14" s="502"/>
      <c r="HZ14" s="502"/>
      <c r="IA14" s="502"/>
      <c r="IB14" s="502"/>
      <c r="IC14" s="502"/>
      <c r="ID14" s="502"/>
      <c r="IE14" s="502"/>
      <c r="IF14" s="502"/>
      <c r="IG14" s="502"/>
      <c r="IH14" s="502"/>
      <c r="II14" s="502"/>
      <c r="IJ14" s="502"/>
      <c r="IK14" s="502"/>
      <c r="IL14" s="502"/>
      <c r="IM14" s="502"/>
      <c r="IN14" s="502"/>
      <c r="IO14" s="502"/>
      <c r="IP14" s="502"/>
      <c r="IQ14" s="502"/>
      <c r="IR14" s="502"/>
      <c r="IS14" s="502"/>
      <c r="IT14" s="502"/>
      <c r="IU14" s="502"/>
      <c r="IV14" s="502"/>
      <c r="IW14" s="502"/>
      <c r="IX14" s="502"/>
      <c r="IY14" s="502"/>
      <c r="IZ14" s="502"/>
      <c r="JA14" s="502"/>
      <c r="JB14" s="502"/>
      <c r="JC14" s="502"/>
      <c r="JD14" s="502"/>
      <c r="JE14" s="502"/>
      <c r="JF14" s="502"/>
      <c r="JG14" s="502"/>
      <c r="JH14" s="502"/>
      <c r="JI14" s="502"/>
      <c r="JJ14" s="502"/>
      <c r="JK14" s="502"/>
      <c r="JL14" s="502"/>
      <c r="JM14" s="502"/>
      <c r="JN14" s="502"/>
      <c r="JO14" s="502"/>
      <c r="JP14" s="502"/>
      <c r="JQ14" s="502"/>
      <c r="JR14" s="502"/>
      <c r="JS14" s="502"/>
      <c r="JT14" s="502"/>
      <c r="JU14" s="502"/>
      <c r="JV14" s="502"/>
      <c r="JW14" s="502"/>
      <c r="JX14" s="502"/>
      <c r="JY14" s="502"/>
      <c r="JZ14" s="502"/>
      <c r="KA14" s="502"/>
      <c r="KB14" s="502"/>
      <c r="KC14" s="502"/>
      <c r="KD14" s="502"/>
      <c r="KE14" s="502"/>
      <c r="KF14" s="502"/>
      <c r="KG14" s="502"/>
      <c r="KH14" s="502"/>
      <c r="KI14" s="502"/>
      <c r="KJ14" s="502"/>
      <c r="KK14" s="502"/>
      <c r="KL14" s="502"/>
      <c r="KM14" s="502"/>
      <c r="KN14" s="502"/>
      <c r="KO14" s="502"/>
      <c r="KP14" s="502"/>
      <c r="KQ14" s="502"/>
      <c r="KR14" s="502"/>
      <c r="KS14" s="502"/>
      <c r="KT14" s="502"/>
      <c r="KU14" s="502"/>
      <c r="KV14" s="502"/>
      <c r="KW14" s="502"/>
      <c r="KX14" s="502"/>
      <c r="KY14" s="502"/>
      <c r="KZ14" s="502"/>
      <c r="LA14" s="502"/>
      <c r="LB14" s="502"/>
      <c r="LC14" s="502"/>
      <c r="LD14" s="502"/>
      <c r="LE14" s="502"/>
      <c r="LF14" s="502"/>
      <c r="LG14" s="502"/>
      <c r="LH14" s="502"/>
      <c r="LI14" s="502"/>
      <c r="LJ14" s="502"/>
      <c r="LK14" s="502"/>
      <c r="LL14" s="502"/>
      <c r="LM14" s="502"/>
      <c r="LN14" s="502"/>
      <c r="LO14" s="502"/>
      <c r="LP14" s="502"/>
      <c r="LQ14" s="502"/>
      <c r="LR14" s="502"/>
      <c r="LS14" s="502"/>
      <c r="LT14" s="502"/>
      <c r="LU14" s="502"/>
      <c r="LV14" s="502"/>
      <c r="LW14" s="502"/>
      <c r="LX14" s="502"/>
      <c r="LY14" s="502"/>
      <c r="LZ14" s="502"/>
      <c r="MA14" s="502"/>
      <c r="MB14" s="502"/>
      <c r="MC14" s="502"/>
      <c r="MD14" s="502"/>
      <c r="ME14" s="502"/>
      <c r="MF14" s="502"/>
      <c r="MG14" s="502"/>
      <c r="MH14" s="502"/>
      <c r="MI14" s="502"/>
      <c r="MJ14" s="502"/>
      <c r="MK14" s="502"/>
      <c r="ML14" s="502"/>
      <c r="MM14" s="502"/>
      <c r="MN14" s="502"/>
      <c r="MO14" s="502"/>
      <c r="MP14" s="502"/>
      <c r="MQ14" s="502"/>
      <c r="MR14" s="502"/>
      <c r="MS14" s="502"/>
      <c r="MT14" s="502"/>
      <c r="MU14" s="502"/>
      <c r="MV14" s="502"/>
      <c r="MW14" s="502"/>
      <c r="MX14" s="502"/>
      <c r="MY14" s="502"/>
      <c r="MZ14" s="502"/>
      <c r="NA14" s="502"/>
      <c r="NB14" s="502"/>
      <c r="NC14" s="502"/>
      <c r="ND14" s="502"/>
      <c r="NE14" s="502"/>
      <c r="NF14" s="502"/>
      <c r="NG14" s="502"/>
      <c r="NH14" s="502"/>
      <c r="NI14" s="502"/>
      <c r="NJ14" s="502"/>
      <c r="NK14" s="502"/>
      <c r="NL14" s="502"/>
      <c r="NM14" s="502"/>
      <c r="NN14" s="502"/>
      <c r="NO14" s="502"/>
      <c r="NP14" s="502"/>
      <c r="NQ14" s="502"/>
      <c r="NR14" s="502"/>
      <c r="NS14" s="502"/>
      <c r="NT14" s="502"/>
      <c r="NU14" s="502"/>
      <c r="NV14" s="502"/>
      <c r="NW14" s="502"/>
      <c r="NX14" s="502"/>
      <c r="NY14" s="502"/>
      <c r="NZ14" s="502"/>
      <c r="OA14" s="502"/>
      <c r="OB14" s="502"/>
      <c r="OC14" s="502"/>
      <c r="OD14" s="502"/>
      <c r="OE14" s="502"/>
      <c r="OF14" s="502"/>
      <c r="OG14" s="502"/>
      <c r="OH14" s="502"/>
      <c r="OI14" s="502"/>
      <c r="OJ14" s="502"/>
      <c r="OK14" s="502"/>
      <c r="OL14" s="502"/>
      <c r="OM14" s="502"/>
      <c r="ON14" s="502"/>
      <c r="OO14" s="502"/>
      <c r="OP14" s="502"/>
      <c r="OQ14" s="502"/>
      <c r="OR14" s="502"/>
      <c r="OS14" s="502"/>
      <c r="OT14" s="502"/>
      <c r="OU14" s="502"/>
      <c r="OV14" s="502"/>
      <c r="OW14" s="502"/>
      <c r="OX14" s="502"/>
      <c r="OY14" s="502"/>
      <c r="OZ14" s="502"/>
      <c r="PA14" s="502"/>
      <c r="PB14" s="502"/>
      <c r="PC14" s="502"/>
      <c r="PD14" s="502"/>
      <c r="PE14" s="502"/>
      <c r="PF14" s="502"/>
      <c r="PG14" s="502"/>
      <c r="PH14" s="502"/>
      <c r="PI14" s="502"/>
      <c r="PJ14" s="502"/>
      <c r="PK14" s="502"/>
      <c r="PL14" s="502"/>
      <c r="PM14" s="502"/>
      <c r="PN14" s="502"/>
      <c r="PO14" s="502"/>
      <c r="PP14" s="502"/>
      <c r="PQ14" s="502"/>
      <c r="PR14" s="502"/>
      <c r="PS14" s="502"/>
      <c r="PT14" s="502"/>
      <c r="PU14" s="502"/>
      <c r="PV14" s="502"/>
      <c r="PW14" s="502"/>
      <c r="PX14" s="502"/>
      <c r="PY14" s="502"/>
      <c r="PZ14" s="502"/>
      <c r="QA14" s="502"/>
      <c r="QB14" s="502"/>
      <c r="QC14" s="502"/>
      <c r="QD14" s="502"/>
      <c r="QE14" s="502"/>
      <c r="QF14" s="502"/>
      <c r="QG14" s="502"/>
      <c r="QH14" s="502"/>
      <c r="QI14" s="502"/>
      <c r="QJ14" s="502"/>
      <c r="QK14" s="502"/>
      <c r="QL14" s="502"/>
      <c r="QM14" s="502"/>
      <c r="QN14" s="502"/>
      <c r="QO14" s="502"/>
      <c r="QP14" s="502"/>
      <c r="QQ14" s="502"/>
      <c r="QR14" s="502"/>
      <c r="QS14" s="502"/>
      <c r="QT14" s="502"/>
      <c r="QU14" s="502"/>
      <c r="QV14" s="502"/>
      <c r="QW14" s="502"/>
      <c r="QX14" s="502"/>
      <c r="QY14" s="502"/>
      <c r="QZ14" s="502"/>
      <c r="RA14" s="502"/>
      <c r="RB14" s="502"/>
      <c r="RC14" s="502"/>
      <c r="RD14" s="502"/>
      <c r="RE14" s="502"/>
      <c r="RF14" s="502"/>
      <c r="RG14" s="502"/>
      <c r="RH14" s="502"/>
      <c r="RI14" s="502"/>
      <c r="RJ14" s="502"/>
      <c r="RK14" s="502"/>
      <c r="RL14" s="502"/>
      <c r="RM14" s="502"/>
      <c r="RN14" s="502"/>
      <c r="RO14" s="502"/>
      <c r="RP14" s="502"/>
      <c r="RQ14" s="502"/>
      <c r="RR14" s="502"/>
      <c r="RS14" s="502"/>
      <c r="RT14" s="502"/>
      <c r="RU14" s="502"/>
      <c r="RV14" s="502"/>
      <c r="RW14" s="502"/>
      <c r="RX14" s="502"/>
      <c r="RY14" s="502"/>
      <c r="RZ14" s="502"/>
      <c r="SA14" s="502"/>
      <c r="SB14" s="502"/>
      <c r="SC14" s="502"/>
      <c r="SD14" s="502"/>
      <c r="SE14" s="502"/>
      <c r="SF14" s="502"/>
      <c r="SG14" s="502"/>
      <c r="SH14" s="502"/>
      <c r="SI14" s="502"/>
      <c r="SJ14" s="502"/>
      <c r="SK14" s="502"/>
      <c r="SL14" s="502"/>
      <c r="SM14" s="502"/>
      <c r="SN14" s="502"/>
      <c r="SO14" s="502"/>
      <c r="SP14" s="502"/>
      <c r="SQ14" s="502"/>
      <c r="SR14" s="502"/>
      <c r="SS14" s="502"/>
      <c r="ST14" s="502"/>
      <c r="SU14" s="502"/>
      <c r="SV14" s="502"/>
      <c r="SW14" s="502"/>
      <c r="SX14" s="502"/>
      <c r="SY14" s="502"/>
      <c r="SZ14" s="502"/>
      <c r="TA14" s="502"/>
      <c r="TB14" s="502"/>
      <c r="TC14" s="502"/>
      <c r="TD14" s="502"/>
      <c r="TE14" s="502"/>
      <c r="TF14" s="502"/>
      <c r="TG14" s="502"/>
      <c r="TH14" s="502"/>
      <c r="TI14" s="502"/>
      <c r="TJ14" s="502"/>
      <c r="TK14" s="502"/>
      <c r="TL14" s="502"/>
      <c r="TM14" s="502"/>
      <c r="TN14" s="502"/>
      <c r="TO14" s="502"/>
      <c r="TP14" s="502"/>
      <c r="TQ14" s="502"/>
      <c r="TR14" s="502"/>
      <c r="TS14" s="502"/>
      <c r="TT14" s="502"/>
      <c r="TU14" s="502"/>
      <c r="TV14" s="502"/>
      <c r="TW14" s="502"/>
      <c r="TX14" s="502"/>
      <c r="TY14" s="502"/>
      <c r="TZ14" s="502"/>
      <c r="UA14" s="502"/>
      <c r="UB14" s="502"/>
      <c r="UC14" s="502"/>
      <c r="UD14" s="502"/>
      <c r="UE14" s="502"/>
      <c r="UF14" s="502"/>
      <c r="UG14" s="502"/>
      <c r="UH14" s="502"/>
      <c r="UI14" s="502"/>
      <c r="UJ14" s="502"/>
      <c r="UK14" s="502"/>
      <c r="UL14" s="502"/>
      <c r="UM14" s="502"/>
      <c r="UN14" s="502"/>
      <c r="UO14" s="502"/>
      <c r="UP14" s="502"/>
      <c r="UQ14" s="502"/>
      <c r="UR14" s="502"/>
      <c r="US14" s="502"/>
      <c r="UT14" s="502"/>
      <c r="UU14" s="502"/>
      <c r="UV14" s="502"/>
      <c r="UW14" s="502"/>
      <c r="UX14" s="502"/>
      <c r="UY14" s="502"/>
      <c r="UZ14" s="502"/>
      <c r="VA14" s="502"/>
      <c r="VB14" s="502"/>
      <c r="VC14" s="502"/>
      <c r="VD14" s="502"/>
      <c r="VE14" s="502"/>
      <c r="VF14" s="502"/>
      <c r="VG14" s="502"/>
      <c r="VH14" s="502"/>
      <c r="VI14" s="502"/>
      <c r="VJ14" s="502"/>
      <c r="VK14" s="502"/>
      <c r="VL14" s="502"/>
      <c r="VM14" s="502"/>
      <c r="VN14" s="502"/>
      <c r="VO14" s="502"/>
      <c r="VP14" s="502"/>
      <c r="VQ14" s="502"/>
      <c r="VR14" s="502"/>
      <c r="VS14" s="502"/>
      <c r="VT14" s="502"/>
      <c r="VU14" s="502"/>
      <c r="VV14" s="502"/>
      <c r="VW14" s="502"/>
      <c r="VX14" s="502"/>
      <c r="VY14" s="502"/>
      <c r="VZ14" s="502"/>
      <c r="WA14" s="502"/>
      <c r="WB14" s="502"/>
      <c r="WC14" s="502"/>
      <c r="WD14" s="502"/>
      <c r="WE14" s="502"/>
      <c r="WF14" s="502"/>
      <c r="WG14" s="502"/>
      <c r="WH14" s="502"/>
      <c r="WI14" s="502"/>
      <c r="WJ14" s="502"/>
      <c r="WK14" s="502"/>
      <c r="WL14" s="502"/>
      <c r="WM14" s="502"/>
      <c r="WN14" s="502"/>
      <c r="WO14" s="502"/>
      <c r="WP14" s="502"/>
      <c r="WQ14" s="502"/>
      <c r="WR14" s="502"/>
      <c r="WS14" s="502"/>
      <c r="WT14" s="502"/>
      <c r="WU14" s="502"/>
      <c r="WV14" s="502"/>
      <c r="WW14" s="502"/>
      <c r="WX14" s="502"/>
      <c r="WY14" s="502"/>
      <c r="WZ14" s="502"/>
      <c r="XA14" s="502"/>
      <c r="XB14" s="502"/>
      <c r="XC14" s="502"/>
      <c r="XD14" s="502"/>
      <c r="XE14" s="502"/>
      <c r="XF14" s="502"/>
      <c r="XG14" s="502"/>
      <c r="XH14" s="502"/>
      <c r="XI14" s="502"/>
      <c r="XJ14" s="502"/>
      <c r="XK14" s="502"/>
      <c r="XL14" s="502"/>
      <c r="XM14" s="502"/>
      <c r="XN14" s="502"/>
      <c r="XO14" s="502"/>
      <c r="XP14" s="502"/>
      <c r="XQ14" s="502"/>
      <c r="XR14" s="502"/>
      <c r="XS14" s="502"/>
      <c r="XT14" s="502"/>
      <c r="XU14" s="502"/>
      <c r="XV14" s="502"/>
      <c r="XW14" s="502"/>
      <c r="XX14" s="502"/>
      <c r="XY14" s="502"/>
      <c r="XZ14" s="502"/>
      <c r="YA14" s="502"/>
      <c r="YB14" s="502"/>
      <c r="YC14" s="502"/>
      <c r="YD14" s="502"/>
      <c r="YE14" s="502"/>
      <c r="YF14" s="502"/>
      <c r="YG14" s="502"/>
      <c r="YH14" s="502"/>
      <c r="YI14" s="502"/>
      <c r="YJ14" s="502"/>
      <c r="YK14" s="502"/>
      <c r="YL14" s="502"/>
      <c r="YM14" s="502"/>
      <c r="YN14" s="502"/>
      <c r="YO14" s="502"/>
      <c r="YP14" s="502"/>
      <c r="YQ14" s="502"/>
      <c r="YR14" s="502"/>
      <c r="YS14" s="502"/>
      <c r="YT14" s="502"/>
      <c r="YU14" s="502"/>
      <c r="YV14" s="502"/>
      <c r="YW14" s="502"/>
      <c r="YX14" s="502"/>
      <c r="YY14" s="502"/>
      <c r="YZ14" s="502"/>
      <c r="ZA14" s="502"/>
      <c r="ZB14" s="502"/>
      <c r="ZC14" s="502"/>
      <c r="ZD14" s="502"/>
      <c r="ZE14" s="502"/>
      <c r="ZF14" s="502"/>
      <c r="ZG14" s="502"/>
      <c r="ZH14" s="502"/>
      <c r="ZI14" s="502"/>
      <c r="ZJ14" s="502"/>
      <c r="ZK14" s="502"/>
      <c r="ZL14" s="502"/>
      <c r="ZM14" s="502"/>
      <c r="ZN14" s="502"/>
      <c r="ZO14" s="502"/>
      <c r="ZP14" s="502"/>
      <c r="ZQ14" s="502"/>
      <c r="ZR14" s="502"/>
      <c r="ZS14" s="502"/>
      <c r="ZT14" s="502"/>
      <c r="ZU14" s="502"/>
      <c r="ZV14" s="502"/>
      <c r="ZW14" s="502"/>
      <c r="ZX14" s="502"/>
      <c r="ZY14" s="502"/>
      <c r="ZZ14" s="502"/>
      <c r="AAA14" s="502"/>
      <c r="AAB14" s="502"/>
      <c r="AAC14" s="502"/>
      <c r="AAD14" s="502"/>
      <c r="AAE14" s="502"/>
      <c r="AAF14" s="502"/>
      <c r="AAG14" s="502"/>
      <c r="AAH14" s="502"/>
      <c r="AAI14" s="502"/>
      <c r="AAJ14" s="502"/>
      <c r="AAK14" s="502"/>
      <c r="AAL14" s="502"/>
      <c r="AAM14" s="502"/>
      <c r="AAN14" s="502"/>
      <c r="AAO14" s="502"/>
      <c r="AAP14" s="502"/>
      <c r="AAQ14" s="502"/>
      <c r="AAR14" s="502"/>
      <c r="AAS14" s="502"/>
      <c r="AAT14" s="502"/>
      <c r="AAU14" s="502"/>
      <c r="AAV14" s="502"/>
      <c r="AAW14" s="502"/>
      <c r="AAX14" s="502"/>
      <c r="AAY14" s="502"/>
      <c r="AAZ14" s="502"/>
      <c r="ABA14" s="502"/>
      <c r="ABB14" s="502"/>
      <c r="ABC14" s="502"/>
      <c r="ABD14" s="502"/>
      <c r="ABE14" s="502"/>
      <c r="ABF14" s="502"/>
      <c r="ABG14" s="502"/>
      <c r="ABH14" s="502"/>
      <c r="ABI14" s="502"/>
      <c r="ABJ14" s="502"/>
      <c r="ABK14" s="502"/>
      <c r="ABL14" s="502"/>
      <c r="ABM14" s="502"/>
      <c r="ABN14" s="502"/>
      <c r="ABO14" s="502"/>
      <c r="ABP14" s="502"/>
      <c r="ABQ14" s="502"/>
      <c r="ABR14" s="502"/>
      <c r="ABS14" s="502"/>
      <c r="ABT14" s="502"/>
      <c r="ABU14" s="502"/>
      <c r="ABV14" s="502"/>
      <c r="ABW14" s="502"/>
      <c r="ABX14" s="502"/>
      <c r="ABY14" s="502"/>
      <c r="ABZ14" s="502"/>
      <c r="ACA14" s="502"/>
      <c r="ACB14" s="502"/>
      <c r="ACC14" s="502"/>
      <c r="ACD14" s="502"/>
      <c r="ACE14" s="502"/>
      <c r="ACF14" s="502"/>
      <c r="ACG14" s="502"/>
      <c r="ACH14" s="502"/>
      <c r="ACI14" s="502"/>
      <c r="ACJ14" s="502"/>
      <c r="ACK14" s="502"/>
      <c r="ACL14" s="502"/>
      <c r="ACM14" s="502"/>
      <c r="ACN14" s="502"/>
      <c r="ACO14" s="502"/>
      <c r="ACP14" s="502"/>
      <c r="ACQ14" s="502"/>
      <c r="ACR14" s="502"/>
      <c r="ACS14" s="502"/>
      <c r="ACT14" s="502"/>
      <c r="ACU14" s="502"/>
      <c r="ACV14" s="502"/>
      <c r="ACW14" s="502"/>
      <c r="ACX14" s="502"/>
      <c r="ACY14" s="502"/>
      <c r="ACZ14" s="502"/>
      <c r="ADA14" s="502"/>
      <c r="ADB14" s="502"/>
      <c r="ADC14" s="502"/>
      <c r="ADD14" s="502"/>
      <c r="ADE14" s="502"/>
      <c r="ADF14" s="502"/>
      <c r="ADG14" s="502"/>
      <c r="ADH14" s="502"/>
      <c r="ADI14" s="502"/>
      <c r="ADJ14" s="502"/>
      <c r="ADK14" s="502"/>
      <c r="ADL14" s="502"/>
      <c r="ADM14" s="502"/>
      <c r="ADN14" s="502"/>
      <c r="ADO14" s="502"/>
      <c r="ADP14" s="502"/>
      <c r="ADQ14" s="502"/>
      <c r="ADR14" s="502"/>
      <c r="ADS14" s="502"/>
      <c r="ADT14" s="502"/>
      <c r="ADU14" s="502"/>
      <c r="ADV14" s="502"/>
      <c r="ADW14" s="502"/>
      <c r="ADX14" s="502"/>
      <c r="ADY14" s="502"/>
      <c r="ADZ14" s="502"/>
      <c r="AEA14" s="502"/>
      <c r="AEB14" s="502"/>
      <c r="AEC14" s="502"/>
      <c r="AED14" s="502"/>
      <c r="AEE14" s="502"/>
      <c r="AEF14" s="502"/>
      <c r="AEG14" s="502"/>
      <c r="AEH14" s="502"/>
      <c r="AEI14" s="502"/>
      <c r="AEJ14" s="502"/>
      <c r="AEK14" s="502"/>
      <c r="AEL14" s="502"/>
      <c r="AEM14" s="502"/>
      <c r="AEN14" s="502"/>
      <c r="AEO14" s="502"/>
      <c r="AEP14" s="502"/>
      <c r="AEQ14" s="502"/>
      <c r="AER14" s="502"/>
      <c r="AES14" s="502"/>
      <c r="AET14" s="502"/>
      <c r="AEU14" s="502"/>
      <c r="AEV14" s="502"/>
      <c r="AEW14" s="502"/>
      <c r="AEX14" s="502"/>
      <c r="AEY14" s="502"/>
      <c r="AEZ14" s="502"/>
      <c r="AFA14" s="502"/>
      <c r="AFB14" s="502"/>
      <c r="AFC14" s="502"/>
      <c r="AFD14" s="502"/>
      <c r="AFE14" s="502"/>
      <c r="AFF14" s="502"/>
      <c r="AFG14" s="502"/>
      <c r="AFH14" s="502"/>
      <c r="AFI14" s="502"/>
      <c r="AFJ14" s="502"/>
      <c r="AFK14" s="502"/>
      <c r="AFL14" s="502"/>
      <c r="AFM14" s="502"/>
      <c r="AFN14" s="502"/>
      <c r="AFO14" s="502"/>
      <c r="AFP14" s="502"/>
      <c r="AFQ14" s="502"/>
      <c r="AFR14" s="502"/>
      <c r="AFS14" s="502"/>
      <c r="AFT14" s="502"/>
      <c r="AFU14" s="502"/>
      <c r="AFV14" s="502"/>
      <c r="AFW14" s="502"/>
      <c r="AFX14" s="502"/>
      <c r="AFY14" s="502"/>
      <c r="AFZ14" s="502"/>
      <c r="AGA14" s="502"/>
      <c r="AGB14" s="502"/>
      <c r="AGC14" s="502"/>
      <c r="AGD14" s="502"/>
      <c r="AGE14" s="502"/>
      <c r="AGF14" s="502"/>
      <c r="AGG14" s="502"/>
      <c r="AGH14" s="502"/>
      <c r="AGI14" s="502"/>
      <c r="AGJ14" s="502"/>
      <c r="AGK14" s="502"/>
      <c r="AGL14" s="502"/>
      <c r="AGM14" s="502"/>
      <c r="AGN14" s="502"/>
      <c r="AGO14" s="502"/>
      <c r="AGP14" s="502"/>
      <c r="AGQ14" s="502"/>
      <c r="AGR14" s="502"/>
      <c r="AGS14" s="502"/>
      <c r="AGT14" s="502"/>
      <c r="AGU14" s="502"/>
      <c r="AGV14" s="502"/>
      <c r="AGW14" s="502"/>
      <c r="AGX14" s="502"/>
      <c r="AGY14" s="502"/>
      <c r="AGZ14" s="502"/>
      <c r="AHA14" s="502"/>
      <c r="AHB14" s="502"/>
      <c r="AHC14" s="502"/>
      <c r="AHD14" s="502"/>
      <c r="AHE14" s="502"/>
      <c r="AHF14" s="502"/>
      <c r="AHG14" s="502"/>
      <c r="AHH14" s="502"/>
      <c r="AHI14" s="502"/>
      <c r="AHJ14" s="502"/>
      <c r="AHK14" s="502"/>
      <c r="AHL14" s="502"/>
      <c r="AHM14" s="502"/>
      <c r="AHN14" s="502"/>
      <c r="AHO14" s="502"/>
      <c r="AHP14" s="502"/>
      <c r="AHQ14" s="502"/>
      <c r="AHR14" s="502"/>
      <c r="AHS14" s="502"/>
      <c r="AHT14" s="502"/>
      <c r="AHU14" s="502"/>
      <c r="AHV14" s="502"/>
      <c r="AHW14" s="502"/>
      <c r="AHX14" s="502"/>
      <c r="AHY14" s="502"/>
      <c r="AHZ14" s="502"/>
      <c r="AIA14" s="502"/>
      <c r="AIB14" s="502"/>
      <c r="AIC14" s="502"/>
      <c r="AID14" s="502"/>
      <c r="AIE14" s="502"/>
      <c r="AIF14" s="502"/>
      <c r="AIG14" s="502"/>
      <c r="AIH14" s="502"/>
      <c r="AII14" s="502"/>
      <c r="AIJ14" s="502"/>
      <c r="AIK14" s="502"/>
      <c r="AIL14" s="502"/>
      <c r="AIM14" s="502"/>
      <c r="AIN14" s="502"/>
      <c r="AIO14" s="502"/>
      <c r="AIP14" s="502"/>
      <c r="AIQ14" s="502"/>
      <c r="AIR14" s="502"/>
      <c r="AIS14" s="502"/>
      <c r="AIT14" s="502"/>
      <c r="AIU14" s="502"/>
      <c r="AIV14" s="502"/>
      <c r="AIW14" s="502"/>
      <c r="AIX14" s="502"/>
      <c r="AIY14" s="502"/>
      <c r="AIZ14" s="502"/>
      <c r="AJA14" s="502"/>
      <c r="AJB14" s="502"/>
      <c r="AJC14" s="502"/>
      <c r="AJD14" s="502"/>
      <c r="AJE14" s="502"/>
      <c r="AJF14" s="502"/>
      <c r="AJG14" s="502"/>
      <c r="AJH14" s="502"/>
      <c r="AJI14" s="502"/>
      <c r="AJJ14" s="502"/>
      <c r="AJK14" s="502"/>
      <c r="AJL14" s="502"/>
      <c r="AJM14" s="502"/>
      <c r="AJN14" s="502"/>
      <c r="AJO14" s="502"/>
      <c r="AJP14" s="502"/>
      <c r="AJQ14" s="502"/>
      <c r="AJR14" s="502"/>
      <c r="AJS14" s="502"/>
      <c r="AJT14" s="502"/>
      <c r="AJU14" s="502"/>
      <c r="AJV14" s="502"/>
      <c r="AJW14" s="502"/>
      <c r="AJX14" s="502"/>
      <c r="AJY14" s="502"/>
      <c r="AJZ14" s="502"/>
      <c r="AKA14" s="502"/>
      <c r="AKB14" s="502"/>
      <c r="AKC14" s="502"/>
      <c r="AKD14" s="502"/>
      <c r="AKE14" s="502"/>
      <c r="AKF14" s="502"/>
      <c r="AKG14" s="502"/>
      <c r="AKH14" s="502"/>
      <c r="AKI14" s="502"/>
      <c r="AKJ14" s="502"/>
      <c r="AKK14" s="502"/>
      <c r="AKL14" s="502"/>
      <c r="AKM14" s="502"/>
      <c r="AKN14" s="502"/>
      <c r="AKO14" s="502"/>
      <c r="AKP14" s="502"/>
      <c r="AKQ14" s="502"/>
      <c r="AKR14" s="502"/>
      <c r="AKS14" s="502"/>
      <c r="AKT14" s="502"/>
      <c r="AKU14" s="502"/>
      <c r="AKV14" s="502"/>
      <c r="AKW14" s="502"/>
      <c r="AKX14" s="502"/>
      <c r="AKY14" s="502"/>
      <c r="AKZ14" s="502"/>
      <c r="ALA14" s="502"/>
      <c r="ALB14" s="502"/>
      <c r="ALC14" s="502"/>
      <c r="ALD14" s="502"/>
      <c r="ALE14" s="502"/>
      <c r="ALF14" s="502"/>
      <c r="ALG14" s="502"/>
      <c r="ALH14" s="502"/>
      <c r="ALI14" s="502"/>
      <c r="ALJ14" s="502"/>
      <c r="ALK14" s="502"/>
      <c r="ALL14" s="502"/>
      <c r="ALM14" s="502"/>
      <c r="ALN14" s="502"/>
      <c r="ALO14" s="502"/>
      <c r="ALP14" s="502"/>
      <c r="ALQ14" s="502"/>
      <c r="ALR14" s="502"/>
      <c r="ALS14" s="502"/>
      <c r="ALT14" s="502"/>
      <c r="ALU14" s="502"/>
      <c r="ALV14" s="502"/>
      <c r="ALW14" s="502"/>
      <c r="ALX14" s="502"/>
    </row>
    <row r="15" spans="1:1012" ht="11.45" customHeight="1" x14ac:dyDescent="0.25">
      <c r="A15" s="103"/>
      <c r="B15" s="456" t="s">
        <v>46</v>
      </c>
      <c r="C15" s="456" t="s">
        <v>47</v>
      </c>
      <c r="D15" s="456" t="s">
        <v>432</v>
      </c>
      <c r="E15" s="456" t="s">
        <v>224</v>
      </c>
      <c r="F15" s="456" t="s">
        <v>433</v>
      </c>
      <c r="G15" s="456" t="s">
        <v>434</v>
      </c>
      <c r="H15" s="456" t="s">
        <v>435</v>
      </c>
      <c r="I15" s="456" t="s">
        <v>1301</v>
      </c>
      <c r="J15" s="456" t="s">
        <v>436</v>
      </c>
      <c r="K15" s="456" t="s">
        <v>437</v>
      </c>
      <c r="L15" s="512" t="s">
        <v>438</v>
      </c>
      <c r="M15" s="456" t="s">
        <v>439</v>
      </c>
    </row>
    <row r="16" spans="1:1012" ht="11.45" customHeight="1" x14ac:dyDescent="0.25">
      <c r="A16" s="103" t="s">
        <v>440</v>
      </c>
      <c r="B16" s="731">
        <v>1098704.98</v>
      </c>
      <c r="C16" s="731">
        <v>4966587.88</v>
      </c>
      <c r="D16" s="731">
        <v>4881707.6100000003</v>
      </c>
      <c r="E16" s="731">
        <v>0</v>
      </c>
      <c r="F16" s="731">
        <v>1183585.25</v>
      </c>
      <c r="G16" s="731">
        <v>53388.74</v>
      </c>
      <c r="H16" s="731">
        <v>2305939.17</v>
      </c>
      <c r="I16" s="731">
        <v>1490082.75</v>
      </c>
      <c r="J16" s="731">
        <v>1379189.04</v>
      </c>
      <c r="K16" s="731">
        <v>3000</v>
      </c>
      <c r="L16" s="732">
        <v>977138.87</v>
      </c>
      <c r="M16" s="731">
        <v>2160724.12</v>
      </c>
    </row>
    <row r="17" spans="1:1012" ht="11.45" customHeight="1" x14ac:dyDescent="0.25">
      <c r="A17" s="103" t="s">
        <v>441</v>
      </c>
      <c r="B17" s="731">
        <v>1098704.98</v>
      </c>
      <c r="C17" s="731">
        <v>4964956.6100000003</v>
      </c>
      <c r="D17" s="731">
        <v>4880076.34</v>
      </c>
      <c r="E17" s="731">
        <v>0</v>
      </c>
      <c r="F17" s="731">
        <v>1183585.25</v>
      </c>
      <c r="G17" s="731">
        <v>53388.74</v>
      </c>
      <c r="H17" s="731">
        <v>2199216.17</v>
      </c>
      <c r="I17" s="731">
        <v>1386359.75</v>
      </c>
      <c r="J17" s="731">
        <v>1275466.04</v>
      </c>
      <c r="K17" s="731">
        <v>0</v>
      </c>
      <c r="L17" s="731">
        <v>977138.87</v>
      </c>
      <c r="M17" s="731">
        <v>2160724.12</v>
      </c>
    </row>
    <row r="18" spans="1:1012" ht="11.45" customHeight="1" x14ac:dyDescent="0.25">
      <c r="A18" s="103" t="s">
        <v>442</v>
      </c>
      <c r="B18" s="731">
        <v>0</v>
      </c>
      <c r="C18" s="731">
        <v>1631.27</v>
      </c>
      <c r="D18" s="731">
        <v>1631.27</v>
      </c>
      <c r="E18" s="731">
        <v>0</v>
      </c>
      <c r="F18" s="731">
        <v>0</v>
      </c>
      <c r="G18" s="731">
        <v>0</v>
      </c>
      <c r="H18" s="731">
        <v>106723</v>
      </c>
      <c r="I18" s="731">
        <v>103723</v>
      </c>
      <c r="J18" s="731">
        <v>103723</v>
      </c>
      <c r="K18" s="731">
        <v>3000</v>
      </c>
      <c r="L18" s="731">
        <v>0</v>
      </c>
      <c r="M18" s="731">
        <v>0</v>
      </c>
    </row>
    <row r="19" spans="1:1012" ht="11.45" customHeight="1" x14ac:dyDescent="0.25">
      <c r="A19" s="103" t="s">
        <v>1302</v>
      </c>
      <c r="B19" s="731">
        <v>0</v>
      </c>
      <c r="C19" s="731">
        <v>1631.27</v>
      </c>
      <c r="D19" s="731">
        <v>1631.27</v>
      </c>
      <c r="E19" s="731">
        <v>0</v>
      </c>
      <c r="F19" s="731">
        <v>0</v>
      </c>
      <c r="G19" s="731">
        <v>0</v>
      </c>
      <c r="H19" s="731">
        <v>106723</v>
      </c>
      <c r="I19" s="731">
        <v>103723</v>
      </c>
      <c r="J19" s="731">
        <v>103723</v>
      </c>
      <c r="K19" s="731">
        <v>3000</v>
      </c>
      <c r="L19" s="731">
        <v>0</v>
      </c>
      <c r="M19" s="731">
        <v>0</v>
      </c>
    </row>
    <row r="20" spans="1:1012" ht="11.45" customHeight="1" x14ac:dyDescent="0.25">
      <c r="A20" s="103" t="s">
        <v>443</v>
      </c>
      <c r="B20" s="731">
        <v>31979543.539999999</v>
      </c>
      <c r="C20" s="731">
        <v>15438586.390000001</v>
      </c>
      <c r="D20" s="731">
        <v>4091009.69</v>
      </c>
      <c r="E20" s="731">
        <v>0</v>
      </c>
      <c r="F20" s="731">
        <v>43327120.240000002</v>
      </c>
      <c r="G20" s="731">
        <v>0</v>
      </c>
      <c r="H20" s="731">
        <v>0</v>
      </c>
      <c r="I20" s="731">
        <v>0</v>
      </c>
      <c r="J20" s="731">
        <v>0</v>
      </c>
      <c r="K20" s="731">
        <v>0</v>
      </c>
      <c r="L20" s="731">
        <v>0</v>
      </c>
      <c r="M20" s="731">
        <v>43327120.240000002</v>
      </c>
    </row>
    <row r="21" spans="1:1012" x14ac:dyDescent="0.25">
      <c r="A21" s="103" t="s">
        <v>441</v>
      </c>
      <c r="B21" s="731">
        <v>31979543.539999999</v>
      </c>
      <c r="C21" s="731">
        <v>15438586.390000001</v>
      </c>
      <c r="D21" s="731">
        <v>4091009.69</v>
      </c>
      <c r="E21" s="731">
        <v>0</v>
      </c>
      <c r="F21" s="731">
        <v>43327120.240000002</v>
      </c>
      <c r="G21" s="731">
        <v>0</v>
      </c>
      <c r="H21" s="731">
        <v>0</v>
      </c>
      <c r="I21" s="731">
        <v>0</v>
      </c>
      <c r="J21" s="731">
        <v>0</v>
      </c>
      <c r="K21" s="731">
        <v>0</v>
      </c>
      <c r="L21" s="731">
        <v>0</v>
      </c>
      <c r="M21" s="731">
        <v>43327120.240000002</v>
      </c>
    </row>
    <row r="22" spans="1:1012" s="413" customFormat="1" ht="9" x14ac:dyDescent="0.15">
      <c r="A22" s="103" t="s">
        <v>444</v>
      </c>
      <c r="B22" s="731">
        <v>33078248.52</v>
      </c>
      <c r="C22" s="731">
        <v>20405174.27</v>
      </c>
      <c r="D22" s="731">
        <v>8972717.3000000007</v>
      </c>
      <c r="E22" s="731">
        <v>0</v>
      </c>
      <c r="F22" s="731">
        <v>44510705.490000002</v>
      </c>
      <c r="G22" s="731">
        <v>53388.74</v>
      </c>
      <c r="H22" s="731">
        <v>2305939.17</v>
      </c>
      <c r="I22" s="731">
        <v>1490082.75</v>
      </c>
      <c r="J22" s="731">
        <v>1379189.04</v>
      </c>
      <c r="K22" s="731">
        <v>3000</v>
      </c>
      <c r="L22" s="731">
        <v>977138.87</v>
      </c>
      <c r="M22" s="731">
        <v>45487844.359999999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  <c r="AJM22" s="8"/>
      <c r="AJN22" s="8"/>
      <c r="AJO22" s="8"/>
      <c r="AJP22" s="8"/>
      <c r="AJQ22" s="8"/>
      <c r="AJR22" s="8"/>
      <c r="AJS22" s="8"/>
      <c r="AJT22" s="8"/>
      <c r="AJU22" s="8"/>
      <c r="AJV22" s="8"/>
      <c r="AJW22" s="8"/>
      <c r="AJX22" s="8"/>
      <c r="AJY22" s="8"/>
      <c r="AJZ22" s="8"/>
      <c r="AKA22" s="8"/>
      <c r="AKB22" s="8"/>
      <c r="AKC22" s="8"/>
      <c r="AKD22" s="8"/>
      <c r="AKE22" s="8"/>
      <c r="AKF22" s="8"/>
      <c r="AKG22" s="8"/>
      <c r="AKH22" s="8"/>
      <c r="AKI22" s="8"/>
      <c r="AKJ22" s="8"/>
      <c r="AKK22" s="8"/>
      <c r="AKL22" s="8"/>
      <c r="AKM22" s="8"/>
      <c r="AKN22" s="8"/>
      <c r="AKO22" s="8"/>
      <c r="AKP22" s="8"/>
      <c r="AKQ22" s="8"/>
      <c r="AKR22" s="8"/>
      <c r="AKS22" s="8"/>
      <c r="AKT22" s="8"/>
      <c r="AKU22" s="8"/>
      <c r="AKV22" s="8"/>
      <c r="AKW22" s="8"/>
      <c r="AKX22" s="8"/>
      <c r="AKY22" s="8"/>
      <c r="AKZ22" s="8"/>
      <c r="ALA22" s="8"/>
      <c r="ALB22" s="8"/>
      <c r="ALC22" s="8"/>
      <c r="ALD22" s="8"/>
      <c r="ALE22" s="8"/>
      <c r="ALF22" s="8"/>
      <c r="ALG22" s="8"/>
      <c r="ALH22" s="8"/>
      <c r="ALI22" s="8"/>
      <c r="ALJ22" s="8"/>
      <c r="ALK22" s="8"/>
      <c r="ALL22" s="8"/>
      <c r="ALM22" s="8"/>
      <c r="ALN22" s="8"/>
      <c r="ALO22" s="8"/>
      <c r="ALP22" s="8"/>
      <c r="ALQ22" s="8"/>
      <c r="ALR22" s="8"/>
      <c r="ALS22" s="8"/>
      <c r="ALT22" s="8"/>
      <c r="ALU22" s="8"/>
      <c r="ALV22" s="8"/>
      <c r="ALW22" s="8"/>
      <c r="ALX22" s="8"/>
    </row>
    <row r="23" spans="1:1012" s="413" customFormat="1" ht="8.25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8"/>
      <c r="AKB23" s="8"/>
      <c r="AKC23" s="8"/>
      <c r="AKD23" s="8"/>
      <c r="AKE23" s="8"/>
      <c r="AKF23" s="8"/>
      <c r="AKG23" s="8"/>
      <c r="AKH23" s="8"/>
      <c r="AKI23" s="8"/>
      <c r="AKJ23" s="8"/>
      <c r="AKK23" s="8"/>
      <c r="AKL23" s="8"/>
      <c r="AKM23" s="8"/>
      <c r="AKN23" s="8"/>
      <c r="AKO23" s="8"/>
      <c r="AKP23" s="8"/>
      <c r="AKQ23" s="8"/>
      <c r="AKR23" s="8"/>
      <c r="AKS23" s="8"/>
      <c r="AKT23" s="8"/>
      <c r="AKU23" s="8"/>
      <c r="AKV23" s="8"/>
      <c r="AKW23" s="8"/>
      <c r="AKX23" s="8"/>
      <c r="AKY23" s="8"/>
      <c r="AKZ23" s="8"/>
      <c r="ALA23" s="8"/>
      <c r="ALB23" s="8"/>
      <c r="ALC23" s="8"/>
      <c r="ALD23" s="8"/>
      <c r="ALE23" s="8"/>
      <c r="ALF23" s="8"/>
      <c r="ALG23" s="8"/>
      <c r="ALH23" s="8"/>
      <c r="ALI23" s="8"/>
      <c r="ALJ23" s="8"/>
      <c r="ALK23" s="8"/>
      <c r="ALL23" s="8"/>
      <c r="ALM23" s="8"/>
      <c r="ALN23" s="8"/>
      <c r="ALO23" s="8"/>
      <c r="ALP23" s="8"/>
      <c r="ALQ23" s="8"/>
      <c r="ALR23" s="8"/>
      <c r="ALS23" s="8"/>
      <c r="ALT23" s="8"/>
      <c r="ALU23" s="8"/>
      <c r="ALV23" s="8"/>
      <c r="ALW23" s="8"/>
      <c r="ALX23" s="8"/>
    </row>
    <row r="24" spans="1:1012" s="413" customFormat="1" ht="8.25" x14ac:dyDescent="0.15">
      <c r="A24" s="43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8"/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  <c r="ALG24" s="8"/>
      <c r="ALH24" s="8"/>
      <c r="ALI24" s="8"/>
      <c r="ALJ24" s="8"/>
      <c r="ALK24" s="8"/>
      <c r="ALL24" s="8"/>
      <c r="ALM24" s="8"/>
      <c r="ALN24" s="8"/>
      <c r="ALO24" s="8"/>
      <c r="ALP24" s="8"/>
      <c r="ALQ24" s="8"/>
      <c r="ALR24" s="8"/>
      <c r="ALS24" s="8"/>
      <c r="ALT24" s="8"/>
      <c r="ALU24" s="8"/>
      <c r="ALV24" s="8"/>
      <c r="ALW24" s="8"/>
      <c r="ALX24" s="8"/>
    </row>
    <row r="25" spans="1:1012" s="413" customFormat="1" ht="8.25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  <c r="ALO25" s="8"/>
      <c r="ALP25" s="8"/>
      <c r="ALQ25" s="8"/>
      <c r="ALR25" s="8"/>
      <c r="ALS25" s="8"/>
      <c r="ALT25" s="8"/>
      <c r="ALU25" s="8"/>
      <c r="ALV25" s="8"/>
      <c r="ALW25" s="8"/>
      <c r="ALX25" s="8"/>
    </row>
    <row r="26" spans="1:1012" s="413" customFormat="1" ht="8.25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  <c r="ALO26" s="8"/>
      <c r="ALP26" s="8"/>
      <c r="ALQ26" s="8"/>
      <c r="ALR26" s="8"/>
      <c r="ALS26" s="8"/>
      <c r="ALT26" s="8"/>
      <c r="ALU26" s="8"/>
      <c r="ALV26" s="8"/>
      <c r="ALW26" s="8"/>
      <c r="ALX26" s="8"/>
    </row>
    <row r="27" spans="1:1012" ht="11.45" customHeight="1" x14ac:dyDescent="0.25"/>
    <row r="28" spans="1:1012" ht="11.45" customHeight="1" x14ac:dyDescent="0.25"/>
    <row r="29" spans="1:1012" ht="11.45" customHeight="1" x14ac:dyDescent="0.25">
      <c r="A29" s="8" t="s">
        <v>1551</v>
      </c>
    </row>
    <row r="30" spans="1:1012" ht="11.45" customHeight="1" x14ac:dyDescent="0.25">
      <c r="A30" s="8" t="s">
        <v>1552</v>
      </c>
    </row>
    <row r="31" spans="1:1012" x14ac:dyDescent="0.25">
      <c r="A31" s="533" t="s">
        <v>1676</v>
      </c>
    </row>
    <row r="32" spans="1:1012" ht="9.75" customHeight="1" x14ac:dyDescent="0.25">
      <c r="A32" s="8" t="s">
        <v>1553</v>
      </c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33"/>
  <sheetViews>
    <sheetView zoomScaleNormal="100" workbookViewId="0">
      <selection activeCell="B22" sqref="B22:H22"/>
    </sheetView>
  </sheetViews>
  <sheetFormatPr defaultRowHeight="15" x14ac:dyDescent="0.25"/>
  <cols>
    <col min="1" max="1" width="64.42578125" style="478" customWidth="1"/>
    <col min="2" max="2" width="12.7109375" style="478" customWidth="1"/>
    <col min="3" max="3" width="0.5703125" style="478" customWidth="1"/>
    <col min="4" max="5" width="2.140625" style="478" customWidth="1"/>
    <col min="6" max="6" width="1" style="478" customWidth="1"/>
    <col min="7" max="7" width="7.140625" style="478" customWidth="1"/>
    <col min="8" max="8" width="5" style="478" customWidth="1"/>
    <col min="9" max="9" width="7.140625" style="478" customWidth="1"/>
    <col min="10" max="10" width="0.5703125" style="478" customWidth="1"/>
    <col min="11" max="11" width="5.7109375" style="478" customWidth="1"/>
    <col min="12" max="12" width="2" style="478" customWidth="1"/>
    <col min="13" max="13" width="4.140625" style="478" customWidth="1"/>
    <col min="14" max="14" width="1.5703125" style="478" customWidth="1"/>
    <col min="15" max="15" width="0.5703125" style="478" customWidth="1"/>
    <col min="16" max="16" width="1" style="478" customWidth="1"/>
    <col min="17" max="17" width="4" style="478" customWidth="1"/>
    <col min="18" max="18" width="1" style="478" customWidth="1"/>
    <col min="19" max="19" width="3.140625" style="478" customWidth="1"/>
    <col min="20" max="20" width="2" style="478" customWidth="1"/>
    <col min="21" max="22" width="1" style="478" customWidth="1"/>
    <col min="23" max="23" width="11.28515625" style="478" customWidth="1"/>
    <col min="24" max="24" width="0.5703125" style="478" customWidth="1"/>
    <col min="25" max="16384" width="9.140625" style="478"/>
  </cols>
  <sheetData>
    <row r="1" spans="1:24" ht="11.65" customHeight="1" x14ac:dyDescent="0.25">
      <c r="A1" s="797" t="s">
        <v>134</v>
      </c>
      <c r="B1" s="797"/>
      <c r="C1" s="797"/>
      <c r="W1" s="693" t="s">
        <v>963</v>
      </c>
    </row>
    <row r="2" spans="1:24" ht="10.9" customHeight="1" x14ac:dyDescent="0.25">
      <c r="A2" s="797" t="s">
        <v>333</v>
      </c>
      <c r="B2" s="797"/>
      <c r="C2" s="797"/>
    </row>
    <row r="3" spans="1:24" ht="11.65" customHeight="1" x14ac:dyDescent="0.25">
      <c r="A3" s="839" t="s">
        <v>964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</row>
    <row r="4" spans="1:24" ht="11.65" customHeight="1" x14ac:dyDescent="0.25">
      <c r="A4" s="797" t="s">
        <v>335</v>
      </c>
      <c r="B4" s="797"/>
      <c r="C4" s="797"/>
    </row>
    <row r="5" spans="1:24" ht="11.65" customHeight="1" x14ac:dyDescent="0.25">
      <c r="A5" s="797" t="s">
        <v>2036</v>
      </c>
      <c r="B5" s="797"/>
      <c r="C5" s="797"/>
    </row>
    <row r="6" spans="1:24" ht="5.85" customHeight="1" x14ac:dyDescent="0.25"/>
    <row r="7" spans="1:24" ht="10.9" customHeight="1" x14ac:dyDescent="0.25">
      <c r="A7" s="902" t="s">
        <v>965</v>
      </c>
      <c r="B7" s="902"/>
      <c r="C7" s="902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887" t="s">
        <v>5</v>
      </c>
      <c r="Q7" s="887"/>
      <c r="R7" s="887"/>
      <c r="S7" s="887"/>
      <c r="T7" s="887"/>
      <c r="U7" s="887"/>
      <c r="V7" s="887"/>
      <c r="W7" s="887"/>
    </row>
    <row r="8" spans="1:24" ht="11.65" customHeight="1" x14ac:dyDescent="0.25">
      <c r="A8" s="799" t="s">
        <v>966</v>
      </c>
      <c r="B8" s="823"/>
      <c r="C8" s="823"/>
      <c r="D8" s="823"/>
      <c r="E8" s="823"/>
      <c r="F8" s="823"/>
      <c r="G8" s="823"/>
      <c r="H8" s="823"/>
      <c r="I8" s="823"/>
      <c r="J8" s="823"/>
      <c r="K8" s="823"/>
      <c r="L8" s="823"/>
      <c r="M8" s="823"/>
      <c r="N8" s="823"/>
      <c r="O8" s="823"/>
      <c r="P8" s="823"/>
      <c r="Q8" s="823"/>
      <c r="R8" s="823"/>
      <c r="S8" s="823"/>
      <c r="T8" s="823"/>
      <c r="U8" s="823"/>
      <c r="V8" s="823"/>
      <c r="W8" s="800"/>
      <c r="X8" s="483"/>
    </row>
    <row r="9" spans="1:24" ht="28.35" customHeight="1" x14ac:dyDescent="0.25">
      <c r="A9" s="681" t="s">
        <v>967</v>
      </c>
      <c r="B9" s="909" t="s">
        <v>340</v>
      </c>
      <c r="C9" s="911"/>
      <c r="D9" s="911"/>
      <c r="E9" s="911"/>
      <c r="F9" s="911"/>
      <c r="G9" s="911"/>
      <c r="H9" s="910"/>
      <c r="I9" s="909" t="s">
        <v>341</v>
      </c>
      <c r="J9" s="911"/>
      <c r="K9" s="911"/>
      <c r="L9" s="911"/>
      <c r="M9" s="911"/>
      <c r="N9" s="911"/>
      <c r="O9" s="911"/>
      <c r="P9" s="911"/>
      <c r="Q9" s="911"/>
      <c r="R9" s="911"/>
      <c r="S9" s="911"/>
      <c r="T9" s="911"/>
      <c r="U9" s="911"/>
      <c r="V9" s="911"/>
      <c r="W9" s="910"/>
      <c r="X9" s="483"/>
    </row>
    <row r="10" spans="1:24" ht="14.45" customHeight="1" x14ac:dyDescent="0.25">
      <c r="A10" s="694" t="s">
        <v>968</v>
      </c>
      <c r="B10" s="831" t="s">
        <v>1465</v>
      </c>
      <c r="C10" s="805"/>
      <c r="D10" s="805"/>
      <c r="E10" s="805"/>
      <c r="F10" s="805"/>
      <c r="G10" s="805"/>
      <c r="H10" s="804"/>
      <c r="I10" s="831" t="s">
        <v>2058</v>
      </c>
      <c r="J10" s="805"/>
      <c r="K10" s="805"/>
      <c r="L10" s="805"/>
      <c r="M10" s="805"/>
      <c r="N10" s="805"/>
      <c r="O10" s="805"/>
      <c r="P10" s="805"/>
      <c r="Q10" s="805"/>
      <c r="R10" s="805"/>
      <c r="S10" s="805"/>
      <c r="T10" s="805"/>
      <c r="U10" s="805"/>
      <c r="V10" s="805"/>
      <c r="W10" s="804"/>
      <c r="X10" s="483"/>
    </row>
    <row r="11" spans="1:24" ht="14.45" customHeight="1" x14ac:dyDescent="0.25">
      <c r="A11" s="691" t="s">
        <v>969</v>
      </c>
      <c r="B11" s="806" t="s">
        <v>1505</v>
      </c>
      <c r="C11" s="807"/>
      <c r="D11" s="807"/>
      <c r="E11" s="807"/>
      <c r="F11" s="807"/>
      <c r="G11" s="807"/>
      <c r="H11" s="808"/>
      <c r="I11" s="806" t="s">
        <v>2200</v>
      </c>
      <c r="J11" s="807"/>
      <c r="K11" s="807"/>
      <c r="L11" s="807"/>
      <c r="M11" s="807"/>
      <c r="N11" s="807"/>
      <c r="O11" s="807"/>
      <c r="P11" s="807"/>
      <c r="Q11" s="807"/>
      <c r="R11" s="807"/>
      <c r="S11" s="807"/>
      <c r="T11" s="807"/>
      <c r="U11" s="807"/>
      <c r="V11" s="807"/>
      <c r="W11" s="808"/>
      <c r="X11" s="483"/>
    </row>
    <row r="12" spans="1:24" ht="14.45" customHeight="1" x14ac:dyDescent="0.25">
      <c r="A12" s="691" t="s">
        <v>970</v>
      </c>
      <c r="B12" s="806" t="s">
        <v>1507</v>
      </c>
      <c r="C12" s="807"/>
      <c r="D12" s="807"/>
      <c r="E12" s="807"/>
      <c r="F12" s="807"/>
      <c r="G12" s="807"/>
      <c r="H12" s="808"/>
      <c r="I12" s="806" t="s">
        <v>2202</v>
      </c>
      <c r="J12" s="807"/>
      <c r="K12" s="807"/>
      <c r="L12" s="807"/>
      <c r="M12" s="807"/>
      <c r="N12" s="807"/>
      <c r="O12" s="807"/>
      <c r="P12" s="807"/>
      <c r="Q12" s="807"/>
      <c r="R12" s="807"/>
      <c r="S12" s="807"/>
      <c r="T12" s="807"/>
      <c r="U12" s="807"/>
      <c r="V12" s="807"/>
      <c r="W12" s="808"/>
      <c r="X12" s="483"/>
    </row>
    <row r="13" spans="1:24" ht="13.9" customHeight="1" x14ac:dyDescent="0.25">
      <c r="A13" s="691" t="s">
        <v>971</v>
      </c>
      <c r="B13" s="806" t="s">
        <v>1506</v>
      </c>
      <c r="C13" s="807"/>
      <c r="D13" s="807"/>
      <c r="E13" s="807"/>
      <c r="F13" s="807"/>
      <c r="G13" s="807"/>
      <c r="H13" s="808"/>
      <c r="I13" s="806" t="s">
        <v>2201</v>
      </c>
      <c r="J13" s="807"/>
      <c r="K13" s="807"/>
      <c r="L13" s="807"/>
      <c r="M13" s="807"/>
      <c r="N13" s="807"/>
      <c r="O13" s="807"/>
      <c r="P13" s="807"/>
      <c r="Q13" s="807"/>
      <c r="R13" s="807"/>
      <c r="S13" s="807"/>
      <c r="T13" s="807"/>
      <c r="U13" s="807"/>
      <c r="V13" s="807"/>
      <c r="W13" s="808"/>
      <c r="X13" s="483"/>
    </row>
    <row r="14" spans="1:24" ht="14.45" customHeight="1" x14ac:dyDescent="0.25">
      <c r="A14" s="691" t="s">
        <v>972</v>
      </c>
      <c r="B14" s="806" t="s">
        <v>1508</v>
      </c>
      <c r="C14" s="807"/>
      <c r="D14" s="807"/>
      <c r="E14" s="807"/>
      <c r="F14" s="807"/>
      <c r="G14" s="807"/>
      <c r="H14" s="808"/>
      <c r="I14" s="806" t="s">
        <v>2203</v>
      </c>
      <c r="J14" s="807"/>
      <c r="K14" s="807"/>
      <c r="L14" s="807"/>
      <c r="M14" s="807"/>
      <c r="N14" s="807"/>
      <c r="O14" s="807"/>
      <c r="P14" s="807"/>
      <c r="Q14" s="807"/>
      <c r="R14" s="807"/>
      <c r="S14" s="807"/>
      <c r="T14" s="807"/>
      <c r="U14" s="807"/>
      <c r="V14" s="807"/>
      <c r="W14" s="808"/>
      <c r="X14" s="483"/>
    </row>
    <row r="15" spans="1:24" ht="14.45" customHeight="1" x14ac:dyDescent="0.25">
      <c r="A15" s="691" t="s">
        <v>973</v>
      </c>
      <c r="B15" s="806" t="s">
        <v>2310</v>
      </c>
      <c r="C15" s="807"/>
      <c r="D15" s="807"/>
      <c r="E15" s="807"/>
      <c r="F15" s="807"/>
      <c r="G15" s="807"/>
      <c r="H15" s="808"/>
      <c r="I15" s="806" t="s">
        <v>2311</v>
      </c>
      <c r="J15" s="807"/>
      <c r="K15" s="807"/>
      <c r="L15" s="807"/>
      <c r="M15" s="807"/>
      <c r="N15" s="807"/>
      <c r="O15" s="807"/>
      <c r="P15" s="807"/>
      <c r="Q15" s="807"/>
      <c r="R15" s="807"/>
      <c r="S15" s="807"/>
      <c r="T15" s="807"/>
      <c r="U15" s="807"/>
      <c r="V15" s="807"/>
      <c r="W15" s="808"/>
      <c r="X15" s="483"/>
    </row>
    <row r="16" spans="1:24" ht="13.9" customHeight="1" x14ac:dyDescent="0.25">
      <c r="A16" s="691" t="s">
        <v>974</v>
      </c>
      <c r="B16" s="806" t="s">
        <v>2312</v>
      </c>
      <c r="C16" s="807"/>
      <c r="D16" s="807"/>
      <c r="E16" s="807"/>
      <c r="F16" s="807"/>
      <c r="G16" s="807"/>
      <c r="H16" s="808"/>
      <c r="I16" s="806" t="s">
        <v>2313</v>
      </c>
      <c r="J16" s="807"/>
      <c r="K16" s="807"/>
      <c r="L16" s="807"/>
      <c r="M16" s="807"/>
      <c r="N16" s="807"/>
      <c r="O16" s="807"/>
      <c r="P16" s="807"/>
      <c r="Q16" s="807"/>
      <c r="R16" s="807"/>
      <c r="S16" s="807"/>
      <c r="T16" s="807"/>
      <c r="U16" s="807"/>
      <c r="V16" s="807"/>
      <c r="W16" s="808"/>
      <c r="X16" s="483"/>
    </row>
    <row r="17" spans="1:24" ht="14.45" customHeight="1" x14ac:dyDescent="0.25">
      <c r="A17" s="691" t="s">
        <v>975</v>
      </c>
      <c r="B17" s="806" t="s">
        <v>1554</v>
      </c>
      <c r="C17" s="807"/>
      <c r="D17" s="807"/>
      <c r="E17" s="807"/>
      <c r="F17" s="807"/>
      <c r="G17" s="807"/>
      <c r="H17" s="808"/>
      <c r="I17" s="806" t="s">
        <v>2313</v>
      </c>
      <c r="J17" s="807"/>
      <c r="K17" s="807"/>
      <c r="L17" s="807"/>
      <c r="M17" s="807"/>
      <c r="N17" s="807"/>
      <c r="O17" s="807"/>
      <c r="P17" s="807"/>
      <c r="Q17" s="807"/>
      <c r="R17" s="807"/>
      <c r="S17" s="807"/>
      <c r="T17" s="807"/>
      <c r="U17" s="807"/>
      <c r="V17" s="807"/>
      <c r="W17" s="808"/>
      <c r="X17" s="483"/>
    </row>
    <row r="18" spans="1:24" ht="14.45" customHeight="1" x14ac:dyDescent="0.25">
      <c r="A18" s="691" t="s">
        <v>976</v>
      </c>
      <c r="B18" s="806" t="s">
        <v>2314</v>
      </c>
      <c r="C18" s="807"/>
      <c r="D18" s="807"/>
      <c r="E18" s="807"/>
      <c r="F18" s="807"/>
      <c r="G18" s="807"/>
      <c r="H18" s="808"/>
      <c r="I18" s="806" t="s">
        <v>159</v>
      </c>
      <c r="J18" s="807"/>
      <c r="K18" s="807"/>
      <c r="L18" s="807"/>
      <c r="M18" s="807"/>
      <c r="N18" s="807"/>
      <c r="O18" s="807"/>
      <c r="P18" s="807"/>
      <c r="Q18" s="807"/>
      <c r="R18" s="807"/>
      <c r="S18" s="807"/>
      <c r="T18" s="807"/>
      <c r="U18" s="807"/>
      <c r="V18" s="807"/>
      <c r="W18" s="808"/>
      <c r="X18" s="483"/>
    </row>
    <row r="19" spans="1:24" ht="13.9" customHeight="1" x14ac:dyDescent="0.25">
      <c r="A19" s="691" t="s">
        <v>977</v>
      </c>
      <c r="B19" s="806" t="s">
        <v>1555</v>
      </c>
      <c r="C19" s="807"/>
      <c r="D19" s="807"/>
      <c r="E19" s="807"/>
      <c r="F19" s="807"/>
      <c r="G19" s="807"/>
      <c r="H19" s="808"/>
      <c r="I19" s="806" t="s">
        <v>2315</v>
      </c>
      <c r="J19" s="807"/>
      <c r="K19" s="807"/>
      <c r="L19" s="807"/>
      <c r="M19" s="807"/>
      <c r="N19" s="807"/>
      <c r="O19" s="807"/>
      <c r="P19" s="807"/>
      <c r="Q19" s="807"/>
      <c r="R19" s="807"/>
      <c r="S19" s="807"/>
      <c r="T19" s="807"/>
      <c r="U19" s="807"/>
      <c r="V19" s="807"/>
      <c r="W19" s="808"/>
      <c r="X19" s="483"/>
    </row>
    <row r="20" spans="1:24" ht="14.45" customHeight="1" x14ac:dyDescent="0.25">
      <c r="A20" s="691" t="s">
        <v>978</v>
      </c>
      <c r="B20" s="806" t="s">
        <v>1556</v>
      </c>
      <c r="C20" s="807"/>
      <c r="D20" s="807"/>
      <c r="E20" s="807"/>
      <c r="F20" s="807"/>
      <c r="G20" s="807"/>
      <c r="H20" s="808"/>
      <c r="I20" s="806" t="s">
        <v>2316</v>
      </c>
      <c r="J20" s="807"/>
      <c r="K20" s="807"/>
      <c r="L20" s="807"/>
      <c r="M20" s="807"/>
      <c r="N20" s="807"/>
      <c r="O20" s="807"/>
      <c r="P20" s="807"/>
      <c r="Q20" s="807"/>
      <c r="R20" s="807"/>
      <c r="S20" s="807"/>
      <c r="T20" s="807"/>
      <c r="U20" s="807"/>
      <c r="V20" s="807"/>
      <c r="W20" s="808"/>
      <c r="X20" s="483"/>
    </row>
    <row r="21" spans="1:24" ht="14.45" customHeight="1" x14ac:dyDescent="0.25">
      <c r="A21" s="691" t="s">
        <v>979</v>
      </c>
      <c r="B21" s="806" t="s">
        <v>1557</v>
      </c>
      <c r="C21" s="807"/>
      <c r="D21" s="807"/>
      <c r="E21" s="807"/>
      <c r="F21" s="807"/>
      <c r="G21" s="807"/>
      <c r="H21" s="808"/>
      <c r="I21" s="806" t="s">
        <v>2317</v>
      </c>
      <c r="J21" s="807"/>
      <c r="K21" s="807"/>
      <c r="L21" s="807"/>
      <c r="M21" s="807"/>
      <c r="N21" s="807"/>
      <c r="O21" s="807"/>
      <c r="P21" s="807"/>
      <c r="Q21" s="807"/>
      <c r="R21" s="807"/>
      <c r="S21" s="807"/>
      <c r="T21" s="807"/>
      <c r="U21" s="807"/>
      <c r="V21" s="807"/>
      <c r="W21" s="808"/>
      <c r="X21" s="483"/>
    </row>
    <row r="22" spans="1:24" ht="13.9" customHeight="1" x14ac:dyDescent="0.25">
      <c r="A22" s="691" t="s">
        <v>980</v>
      </c>
      <c r="B22" s="806" t="s">
        <v>1558</v>
      </c>
      <c r="C22" s="807"/>
      <c r="D22" s="807"/>
      <c r="E22" s="807"/>
      <c r="F22" s="807"/>
      <c r="G22" s="807"/>
      <c r="H22" s="808"/>
      <c r="I22" s="806" t="s">
        <v>2318</v>
      </c>
      <c r="J22" s="807"/>
      <c r="K22" s="807"/>
      <c r="L22" s="807"/>
      <c r="M22" s="807"/>
      <c r="N22" s="807"/>
      <c r="O22" s="807"/>
      <c r="P22" s="807"/>
      <c r="Q22" s="807"/>
      <c r="R22" s="807"/>
      <c r="S22" s="807"/>
      <c r="T22" s="807"/>
      <c r="U22" s="807"/>
      <c r="V22" s="807"/>
      <c r="W22" s="808"/>
      <c r="X22" s="483"/>
    </row>
    <row r="23" spans="1:24" ht="14.45" customHeight="1" x14ac:dyDescent="0.25">
      <c r="A23" s="691" t="s">
        <v>981</v>
      </c>
      <c r="B23" s="806" t="s">
        <v>159</v>
      </c>
      <c r="C23" s="807"/>
      <c r="D23" s="807"/>
      <c r="E23" s="807"/>
      <c r="F23" s="807"/>
      <c r="G23" s="807"/>
      <c r="H23" s="808"/>
      <c r="I23" s="806" t="s">
        <v>159</v>
      </c>
      <c r="J23" s="807"/>
      <c r="K23" s="807"/>
      <c r="L23" s="807"/>
      <c r="M23" s="807"/>
      <c r="N23" s="807"/>
      <c r="O23" s="807"/>
      <c r="P23" s="807"/>
      <c r="Q23" s="807"/>
      <c r="R23" s="807"/>
      <c r="S23" s="807"/>
      <c r="T23" s="807"/>
      <c r="U23" s="807"/>
      <c r="V23" s="807"/>
      <c r="W23" s="808"/>
      <c r="X23" s="483"/>
    </row>
    <row r="24" spans="1:24" ht="14.45" customHeight="1" x14ac:dyDescent="0.25">
      <c r="A24" s="691" t="s">
        <v>982</v>
      </c>
      <c r="B24" s="806" t="s">
        <v>2319</v>
      </c>
      <c r="C24" s="807"/>
      <c r="D24" s="807"/>
      <c r="E24" s="807"/>
      <c r="F24" s="807"/>
      <c r="G24" s="807"/>
      <c r="H24" s="808"/>
      <c r="I24" s="806" t="s">
        <v>159</v>
      </c>
      <c r="J24" s="807"/>
      <c r="K24" s="807"/>
      <c r="L24" s="807"/>
      <c r="M24" s="807"/>
      <c r="N24" s="807"/>
      <c r="O24" s="807"/>
      <c r="P24" s="807"/>
      <c r="Q24" s="807"/>
      <c r="R24" s="807"/>
      <c r="S24" s="807"/>
      <c r="T24" s="807"/>
      <c r="U24" s="807"/>
      <c r="V24" s="807"/>
      <c r="W24" s="808"/>
      <c r="X24" s="483"/>
    </row>
    <row r="25" spans="1:24" ht="13.9" customHeight="1" x14ac:dyDescent="0.25">
      <c r="A25" s="669" t="s">
        <v>983</v>
      </c>
      <c r="B25" s="926" t="s">
        <v>2320</v>
      </c>
      <c r="C25" s="927"/>
      <c r="D25" s="927"/>
      <c r="E25" s="927"/>
      <c r="F25" s="927"/>
      <c r="G25" s="927"/>
      <c r="H25" s="928"/>
      <c r="I25" s="926" t="s">
        <v>2321</v>
      </c>
      <c r="J25" s="927"/>
      <c r="K25" s="927"/>
      <c r="L25" s="927"/>
      <c r="M25" s="927"/>
      <c r="N25" s="927"/>
      <c r="O25" s="927"/>
      <c r="P25" s="927"/>
      <c r="Q25" s="927"/>
      <c r="R25" s="927"/>
      <c r="S25" s="927"/>
      <c r="T25" s="927"/>
      <c r="U25" s="927"/>
      <c r="V25" s="927"/>
      <c r="W25" s="928"/>
      <c r="X25" s="483"/>
    </row>
    <row r="26" spans="1:24" ht="14.45" customHeight="1" x14ac:dyDescent="0.25">
      <c r="A26" s="669" t="s">
        <v>984</v>
      </c>
      <c r="B26" s="926" t="s">
        <v>2322</v>
      </c>
      <c r="C26" s="927"/>
      <c r="D26" s="927"/>
      <c r="E26" s="927"/>
      <c r="F26" s="927"/>
      <c r="G26" s="927"/>
      <c r="H26" s="928"/>
      <c r="I26" s="926" t="s">
        <v>2323</v>
      </c>
      <c r="J26" s="927"/>
      <c r="K26" s="927"/>
      <c r="L26" s="927"/>
      <c r="M26" s="927"/>
      <c r="N26" s="927"/>
      <c r="O26" s="927"/>
      <c r="P26" s="927"/>
      <c r="Q26" s="927"/>
      <c r="R26" s="927"/>
      <c r="S26" s="927"/>
      <c r="T26" s="927"/>
      <c r="U26" s="927"/>
      <c r="V26" s="927"/>
      <c r="W26" s="928"/>
      <c r="X26" s="483"/>
    </row>
    <row r="27" spans="1:24" ht="14.45" customHeight="1" x14ac:dyDescent="0.25">
      <c r="A27" s="670" t="s">
        <v>985</v>
      </c>
      <c r="B27" s="942" t="s">
        <v>2324</v>
      </c>
      <c r="C27" s="943"/>
      <c r="D27" s="943"/>
      <c r="E27" s="943"/>
      <c r="F27" s="943"/>
      <c r="G27" s="943"/>
      <c r="H27" s="944"/>
      <c r="I27" s="942" t="s">
        <v>2325</v>
      </c>
      <c r="J27" s="943"/>
      <c r="K27" s="943"/>
      <c r="L27" s="943"/>
      <c r="M27" s="943"/>
      <c r="N27" s="943"/>
      <c r="O27" s="943"/>
      <c r="P27" s="943"/>
      <c r="Q27" s="943"/>
      <c r="R27" s="943"/>
      <c r="S27" s="943"/>
      <c r="T27" s="943"/>
      <c r="U27" s="943"/>
      <c r="V27" s="943"/>
      <c r="W27" s="944"/>
      <c r="X27" s="483"/>
    </row>
    <row r="28" spans="1:24" ht="11.65" customHeight="1" x14ac:dyDescent="0.25">
      <c r="A28" s="480"/>
      <c r="B28" s="480"/>
      <c r="C28" s="480"/>
      <c r="D28" s="480"/>
      <c r="E28" s="480"/>
      <c r="F28" s="480"/>
      <c r="G28" s="480"/>
      <c r="H28" s="480"/>
      <c r="I28" s="480"/>
      <c r="J28" s="480"/>
      <c r="K28" s="480"/>
      <c r="L28" s="480"/>
      <c r="M28" s="480"/>
      <c r="N28" s="480"/>
      <c r="O28" s="480"/>
      <c r="P28" s="480"/>
      <c r="Q28" s="480"/>
      <c r="R28" s="480"/>
      <c r="S28" s="480"/>
      <c r="T28" s="480"/>
      <c r="U28" s="480"/>
      <c r="V28" s="480"/>
      <c r="W28" s="480"/>
    </row>
    <row r="29" spans="1:24" ht="10.9" customHeight="1" x14ac:dyDescent="0.25">
      <c r="A29" s="799" t="s">
        <v>445</v>
      </c>
      <c r="B29" s="823"/>
      <c r="C29" s="823"/>
      <c r="D29" s="823"/>
      <c r="E29" s="823"/>
      <c r="F29" s="823"/>
      <c r="G29" s="823"/>
      <c r="H29" s="823"/>
      <c r="I29" s="823"/>
      <c r="J29" s="823"/>
      <c r="K29" s="823"/>
      <c r="L29" s="823"/>
      <c r="M29" s="823"/>
      <c r="N29" s="823"/>
      <c r="O29" s="823"/>
      <c r="P29" s="823"/>
      <c r="Q29" s="823"/>
      <c r="R29" s="823"/>
      <c r="S29" s="823"/>
      <c r="T29" s="823"/>
      <c r="U29" s="823"/>
      <c r="V29" s="823"/>
      <c r="W29" s="800"/>
      <c r="X29" s="483"/>
    </row>
    <row r="30" spans="1:24" ht="29.1" customHeight="1" x14ac:dyDescent="0.25">
      <c r="A30" s="681" t="s">
        <v>986</v>
      </c>
      <c r="B30" s="909" t="s">
        <v>340</v>
      </c>
      <c r="C30" s="911"/>
      <c r="D30" s="911"/>
      <c r="E30" s="911"/>
      <c r="F30" s="911"/>
      <c r="G30" s="911"/>
      <c r="H30" s="910"/>
      <c r="I30" s="909" t="s">
        <v>341</v>
      </c>
      <c r="J30" s="911"/>
      <c r="K30" s="911"/>
      <c r="L30" s="911"/>
      <c r="M30" s="911"/>
      <c r="N30" s="911"/>
      <c r="O30" s="911"/>
      <c r="P30" s="911"/>
      <c r="Q30" s="911"/>
      <c r="R30" s="911"/>
      <c r="S30" s="911"/>
      <c r="T30" s="911"/>
      <c r="U30" s="911"/>
      <c r="V30" s="911"/>
      <c r="W30" s="910"/>
      <c r="X30" s="483"/>
    </row>
    <row r="31" spans="1:24" ht="10.9" customHeight="1" x14ac:dyDescent="0.25">
      <c r="A31" s="694" t="s">
        <v>987</v>
      </c>
      <c r="B31" s="831" t="s">
        <v>1559</v>
      </c>
      <c r="C31" s="805"/>
      <c r="D31" s="805"/>
      <c r="E31" s="805"/>
      <c r="F31" s="805"/>
      <c r="G31" s="805"/>
      <c r="H31" s="804"/>
      <c r="I31" s="831" t="s">
        <v>2326</v>
      </c>
      <c r="J31" s="805"/>
      <c r="K31" s="805"/>
      <c r="L31" s="805"/>
      <c r="M31" s="805"/>
      <c r="N31" s="805"/>
      <c r="O31" s="805"/>
      <c r="P31" s="805"/>
      <c r="Q31" s="805"/>
      <c r="R31" s="805"/>
      <c r="S31" s="805"/>
      <c r="T31" s="805"/>
      <c r="U31" s="805"/>
      <c r="V31" s="805"/>
      <c r="W31" s="804"/>
      <c r="X31" s="483"/>
    </row>
    <row r="32" spans="1:24" ht="11.65" customHeight="1" x14ac:dyDescent="0.25">
      <c r="A32" s="691" t="s">
        <v>988</v>
      </c>
      <c r="B32" s="806" t="s">
        <v>1560</v>
      </c>
      <c r="C32" s="807"/>
      <c r="D32" s="807"/>
      <c r="E32" s="807"/>
      <c r="F32" s="807"/>
      <c r="G32" s="807"/>
      <c r="H32" s="808"/>
      <c r="I32" s="806" t="s">
        <v>2327</v>
      </c>
      <c r="J32" s="807"/>
      <c r="K32" s="807"/>
      <c r="L32" s="807"/>
      <c r="M32" s="807"/>
      <c r="N32" s="807"/>
      <c r="O32" s="807"/>
      <c r="P32" s="807"/>
      <c r="Q32" s="807"/>
      <c r="R32" s="807"/>
      <c r="S32" s="807"/>
      <c r="T32" s="807"/>
      <c r="U32" s="807"/>
      <c r="V32" s="807"/>
      <c r="W32" s="808"/>
      <c r="X32" s="483"/>
    </row>
    <row r="33" spans="1:24" ht="11.65" customHeight="1" x14ac:dyDescent="0.25">
      <c r="A33" s="691" t="s">
        <v>989</v>
      </c>
      <c r="B33" s="806" t="s">
        <v>1482</v>
      </c>
      <c r="C33" s="807"/>
      <c r="D33" s="807"/>
      <c r="E33" s="807"/>
      <c r="F33" s="807"/>
      <c r="G33" s="807"/>
      <c r="H33" s="808"/>
      <c r="I33" s="806" t="s">
        <v>2129</v>
      </c>
      <c r="J33" s="807"/>
      <c r="K33" s="807"/>
      <c r="L33" s="807"/>
      <c r="M33" s="807"/>
      <c r="N33" s="807"/>
      <c r="O33" s="807"/>
      <c r="P33" s="807"/>
      <c r="Q33" s="807"/>
      <c r="R33" s="807"/>
      <c r="S33" s="807"/>
      <c r="T33" s="807"/>
      <c r="U33" s="807"/>
      <c r="V33" s="807"/>
      <c r="W33" s="808"/>
      <c r="X33" s="483"/>
    </row>
    <row r="34" spans="1:24" ht="11.65" customHeight="1" x14ac:dyDescent="0.25">
      <c r="A34" s="691" t="s">
        <v>990</v>
      </c>
      <c r="B34" s="806" t="s">
        <v>1561</v>
      </c>
      <c r="C34" s="807"/>
      <c r="D34" s="807"/>
      <c r="E34" s="807"/>
      <c r="F34" s="807"/>
      <c r="G34" s="807"/>
      <c r="H34" s="808"/>
      <c r="I34" s="806" t="s">
        <v>2328</v>
      </c>
      <c r="J34" s="807"/>
      <c r="K34" s="807"/>
      <c r="L34" s="807"/>
      <c r="M34" s="807"/>
      <c r="N34" s="807"/>
      <c r="O34" s="807"/>
      <c r="P34" s="807"/>
      <c r="Q34" s="807"/>
      <c r="R34" s="807"/>
      <c r="S34" s="807"/>
      <c r="T34" s="807"/>
      <c r="U34" s="807"/>
      <c r="V34" s="807"/>
      <c r="W34" s="808"/>
      <c r="X34" s="483"/>
    </row>
    <row r="35" spans="1:24" ht="10.9" customHeight="1" x14ac:dyDescent="0.25">
      <c r="A35" s="691" t="s">
        <v>991</v>
      </c>
      <c r="B35" s="806" t="s">
        <v>159</v>
      </c>
      <c r="C35" s="807"/>
      <c r="D35" s="807"/>
      <c r="E35" s="807"/>
      <c r="F35" s="807"/>
      <c r="G35" s="807"/>
      <c r="H35" s="808"/>
      <c r="I35" s="806" t="s">
        <v>159</v>
      </c>
      <c r="J35" s="807"/>
      <c r="K35" s="807"/>
      <c r="L35" s="807"/>
      <c r="M35" s="807"/>
      <c r="N35" s="807"/>
      <c r="O35" s="807"/>
      <c r="P35" s="807"/>
      <c r="Q35" s="807"/>
      <c r="R35" s="807"/>
      <c r="S35" s="807"/>
      <c r="T35" s="807"/>
      <c r="U35" s="807"/>
      <c r="V35" s="807"/>
      <c r="W35" s="808"/>
      <c r="X35" s="483"/>
    </row>
    <row r="36" spans="1:24" ht="11.65" customHeight="1" x14ac:dyDescent="0.25">
      <c r="A36" s="691" t="s">
        <v>992</v>
      </c>
      <c r="B36" s="806" t="s">
        <v>159</v>
      </c>
      <c r="C36" s="807"/>
      <c r="D36" s="807"/>
      <c r="E36" s="807"/>
      <c r="F36" s="807"/>
      <c r="G36" s="807"/>
      <c r="H36" s="808"/>
      <c r="I36" s="806" t="s">
        <v>159</v>
      </c>
      <c r="J36" s="807"/>
      <c r="K36" s="807"/>
      <c r="L36" s="807"/>
      <c r="M36" s="807"/>
      <c r="N36" s="807"/>
      <c r="O36" s="807"/>
      <c r="P36" s="807"/>
      <c r="Q36" s="807"/>
      <c r="R36" s="807"/>
      <c r="S36" s="807"/>
      <c r="T36" s="807"/>
      <c r="U36" s="807"/>
      <c r="V36" s="807"/>
      <c r="W36" s="808"/>
      <c r="X36" s="483"/>
    </row>
    <row r="37" spans="1:24" ht="11.65" customHeight="1" x14ac:dyDescent="0.25">
      <c r="A37" s="691" t="s">
        <v>993</v>
      </c>
      <c r="B37" s="806" t="s">
        <v>159</v>
      </c>
      <c r="C37" s="807"/>
      <c r="D37" s="807"/>
      <c r="E37" s="807"/>
      <c r="F37" s="807"/>
      <c r="G37" s="807"/>
      <c r="H37" s="808"/>
      <c r="I37" s="806" t="s">
        <v>159</v>
      </c>
      <c r="J37" s="807"/>
      <c r="K37" s="807"/>
      <c r="L37" s="807"/>
      <c r="M37" s="807"/>
      <c r="N37" s="807"/>
      <c r="O37" s="807"/>
      <c r="P37" s="807"/>
      <c r="Q37" s="807"/>
      <c r="R37" s="807"/>
      <c r="S37" s="807"/>
      <c r="T37" s="807"/>
      <c r="U37" s="807"/>
      <c r="V37" s="807"/>
      <c r="W37" s="808"/>
      <c r="X37" s="483"/>
    </row>
    <row r="38" spans="1:24" ht="11.65" customHeight="1" x14ac:dyDescent="0.25">
      <c r="A38" s="691" t="s">
        <v>994</v>
      </c>
      <c r="B38" s="806" t="s">
        <v>159</v>
      </c>
      <c r="C38" s="807"/>
      <c r="D38" s="807"/>
      <c r="E38" s="807"/>
      <c r="F38" s="807"/>
      <c r="G38" s="807"/>
      <c r="H38" s="808"/>
      <c r="I38" s="806" t="s">
        <v>159</v>
      </c>
      <c r="J38" s="807"/>
      <c r="K38" s="807"/>
      <c r="L38" s="807"/>
      <c r="M38" s="807"/>
      <c r="N38" s="807"/>
      <c r="O38" s="807"/>
      <c r="P38" s="807"/>
      <c r="Q38" s="807"/>
      <c r="R38" s="807"/>
      <c r="S38" s="807"/>
      <c r="T38" s="807"/>
      <c r="U38" s="807"/>
      <c r="V38" s="807"/>
      <c r="W38" s="808"/>
      <c r="X38" s="483"/>
    </row>
    <row r="39" spans="1:24" ht="10.9" customHeight="1" x14ac:dyDescent="0.25">
      <c r="A39" s="691" t="s">
        <v>995</v>
      </c>
      <c r="B39" s="806" t="s">
        <v>159</v>
      </c>
      <c r="C39" s="807"/>
      <c r="D39" s="807"/>
      <c r="E39" s="807"/>
      <c r="F39" s="807"/>
      <c r="G39" s="807"/>
      <c r="H39" s="808"/>
      <c r="I39" s="806" t="s">
        <v>159</v>
      </c>
      <c r="J39" s="807"/>
      <c r="K39" s="807"/>
      <c r="L39" s="807"/>
      <c r="M39" s="807"/>
      <c r="N39" s="807"/>
      <c r="O39" s="807"/>
      <c r="P39" s="807"/>
      <c r="Q39" s="807"/>
      <c r="R39" s="807"/>
      <c r="S39" s="807"/>
      <c r="T39" s="807"/>
      <c r="U39" s="807"/>
      <c r="V39" s="807"/>
      <c r="W39" s="808"/>
      <c r="X39" s="483"/>
    </row>
    <row r="40" spans="1:24" ht="11.65" customHeight="1" x14ac:dyDescent="0.25">
      <c r="A40" s="691" t="s">
        <v>996</v>
      </c>
      <c r="B40" s="806" t="s">
        <v>159</v>
      </c>
      <c r="C40" s="807"/>
      <c r="D40" s="807"/>
      <c r="E40" s="807"/>
      <c r="F40" s="807"/>
      <c r="G40" s="807"/>
      <c r="H40" s="808"/>
      <c r="I40" s="806" t="s">
        <v>159</v>
      </c>
      <c r="J40" s="807"/>
      <c r="K40" s="807"/>
      <c r="L40" s="807"/>
      <c r="M40" s="807"/>
      <c r="N40" s="807"/>
      <c r="O40" s="807"/>
      <c r="P40" s="807"/>
      <c r="Q40" s="807"/>
      <c r="R40" s="807"/>
      <c r="S40" s="807"/>
      <c r="T40" s="807"/>
      <c r="U40" s="807"/>
      <c r="V40" s="807"/>
      <c r="W40" s="808"/>
      <c r="X40" s="483"/>
    </row>
    <row r="41" spans="1:24" ht="11.65" customHeight="1" x14ac:dyDescent="0.25">
      <c r="A41" s="691" t="s">
        <v>997</v>
      </c>
      <c r="B41" s="806" t="s">
        <v>159</v>
      </c>
      <c r="C41" s="807"/>
      <c r="D41" s="807"/>
      <c r="E41" s="807"/>
      <c r="F41" s="807"/>
      <c r="G41" s="807"/>
      <c r="H41" s="808"/>
      <c r="I41" s="806" t="s">
        <v>159</v>
      </c>
      <c r="J41" s="807"/>
      <c r="K41" s="807"/>
      <c r="L41" s="807"/>
      <c r="M41" s="807"/>
      <c r="N41" s="807"/>
      <c r="O41" s="807"/>
      <c r="P41" s="807"/>
      <c r="Q41" s="807"/>
      <c r="R41" s="807"/>
      <c r="S41" s="807"/>
      <c r="T41" s="807"/>
      <c r="U41" s="807"/>
      <c r="V41" s="807"/>
      <c r="W41" s="808"/>
      <c r="X41" s="483"/>
    </row>
    <row r="42" spans="1:24" ht="11.65" customHeight="1" x14ac:dyDescent="0.25">
      <c r="A42" s="691" t="s">
        <v>998</v>
      </c>
      <c r="B42" s="806" t="s">
        <v>159</v>
      </c>
      <c r="C42" s="807"/>
      <c r="D42" s="807"/>
      <c r="E42" s="807"/>
      <c r="F42" s="807"/>
      <c r="G42" s="807"/>
      <c r="H42" s="808"/>
      <c r="I42" s="806" t="s">
        <v>159</v>
      </c>
      <c r="J42" s="807"/>
      <c r="K42" s="807"/>
      <c r="L42" s="807"/>
      <c r="M42" s="807"/>
      <c r="N42" s="807"/>
      <c r="O42" s="807"/>
      <c r="P42" s="807"/>
      <c r="Q42" s="807"/>
      <c r="R42" s="807"/>
      <c r="S42" s="807"/>
      <c r="T42" s="807"/>
      <c r="U42" s="807"/>
      <c r="V42" s="807"/>
      <c r="W42" s="808"/>
      <c r="X42" s="483"/>
    </row>
    <row r="43" spans="1:24" ht="10.9" customHeight="1" x14ac:dyDescent="0.25">
      <c r="A43" s="691" t="s">
        <v>999</v>
      </c>
      <c r="B43" s="806" t="s">
        <v>159</v>
      </c>
      <c r="C43" s="807"/>
      <c r="D43" s="807"/>
      <c r="E43" s="807"/>
      <c r="F43" s="807"/>
      <c r="G43" s="807"/>
      <c r="H43" s="808"/>
      <c r="I43" s="806" t="s">
        <v>159</v>
      </c>
      <c r="J43" s="807"/>
      <c r="K43" s="807"/>
      <c r="L43" s="807"/>
      <c r="M43" s="807"/>
      <c r="N43" s="807"/>
      <c r="O43" s="807"/>
      <c r="P43" s="807"/>
      <c r="Q43" s="807"/>
      <c r="R43" s="807"/>
      <c r="S43" s="807"/>
      <c r="T43" s="807"/>
      <c r="U43" s="807"/>
      <c r="V43" s="807"/>
      <c r="W43" s="808"/>
      <c r="X43" s="483"/>
    </row>
    <row r="44" spans="1:24" ht="8.65" customHeight="1" x14ac:dyDescent="0.25"/>
    <row r="45" spans="1:24" ht="11.65" customHeight="1" x14ac:dyDescent="0.25">
      <c r="A45" s="865" t="s">
        <v>2329</v>
      </c>
      <c r="B45" s="865"/>
      <c r="C45" s="865"/>
      <c r="D45" s="865"/>
      <c r="E45" s="865"/>
      <c r="F45" s="865"/>
      <c r="G45" s="865"/>
      <c r="H45" s="865"/>
      <c r="I45" s="865"/>
      <c r="J45" s="865"/>
      <c r="K45" s="865"/>
      <c r="L45" s="865"/>
      <c r="M45" s="865"/>
      <c r="N45" s="865"/>
      <c r="O45" s="865"/>
      <c r="P45" s="865"/>
      <c r="Q45" s="865"/>
      <c r="R45" s="865"/>
      <c r="S45" s="865"/>
      <c r="T45" s="865"/>
      <c r="U45" s="865"/>
      <c r="V45" s="865"/>
      <c r="W45" s="865"/>
    </row>
    <row r="46" spans="1:24" ht="11.65" customHeight="1" x14ac:dyDescent="0.25">
      <c r="A46" s="797" t="s">
        <v>134</v>
      </c>
      <c r="B46" s="797"/>
      <c r="C46" s="797"/>
      <c r="W46" s="693" t="s">
        <v>1000</v>
      </c>
    </row>
    <row r="47" spans="1:24" ht="10.9" customHeight="1" x14ac:dyDescent="0.25">
      <c r="A47" s="797" t="s">
        <v>333</v>
      </c>
      <c r="B47" s="797"/>
      <c r="C47" s="797"/>
    </row>
    <row r="48" spans="1:24" ht="11.65" customHeight="1" x14ac:dyDescent="0.25">
      <c r="A48" s="839" t="s">
        <v>964</v>
      </c>
      <c r="B48" s="839"/>
      <c r="C48" s="839"/>
      <c r="D48" s="839"/>
      <c r="E48" s="839"/>
      <c r="F48" s="839"/>
      <c r="G48" s="839"/>
      <c r="H48" s="839"/>
      <c r="I48" s="839"/>
      <c r="J48" s="839"/>
      <c r="K48" s="839"/>
      <c r="L48" s="839"/>
      <c r="M48" s="839"/>
      <c r="N48" s="839"/>
      <c r="O48" s="839"/>
      <c r="P48" s="839"/>
    </row>
    <row r="49" spans="1:24" ht="11.65" customHeight="1" x14ac:dyDescent="0.25">
      <c r="A49" s="797" t="s">
        <v>335</v>
      </c>
      <c r="B49" s="797"/>
      <c r="C49" s="797"/>
    </row>
    <row r="50" spans="1:24" ht="11.65" customHeight="1" x14ac:dyDescent="0.25">
      <c r="A50" s="797" t="s">
        <v>2036</v>
      </c>
      <c r="B50" s="797"/>
      <c r="C50" s="797"/>
    </row>
    <row r="51" spans="1:24" ht="5.85" customHeight="1" x14ac:dyDescent="0.25"/>
    <row r="52" spans="1:24" ht="10.9" customHeight="1" x14ac:dyDescent="0.25">
      <c r="A52" s="902" t="s">
        <v>965</v>
      </c>
      <c r="B52" s="902"/>
      <c r="C52" s="902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N52" s="479"/>
      <c r="O52" s="479"/>
      <c r="P52" s="887" t="s">
        <v>5</v>
      </c>
      <c r="Q52" s="887"/>
      <c r="R52" s="887"/>
      <c r="S52" s="887"/>
      <c r="T52" s="887"/>
      <c r="U52" s="887"/>
      <c r="V52" s="887"/>
      <c r="W52" s="887"/>
    </row>
    <row r="53" spans="1:24" ht="11.65" customHeight="1" x14ac:dyDescent="0.25">
      <c r="A53" s="799" t="s">
        <v>445</v>
      </c>
      <c r="B53" s="823"/>
      <c r="C53" s="823"/>
      <c r="D53" s="823"/>
      <c r="E53" s="823"/>
      <c r="F53" s="823"/>
      <c r="G53" s="823"/>
      <c r="H53" s="823"/>
      <c r="I53" s="823"/>
      <c r="J53" s="823"/>
      <c r="K53" s="823"/>
      <c r="L53" s="823"/>
      <c r="M53" s="823"/>
      <c r="N53" s="823"/>
      <c r="O53" s="823"/>
      <c r="P53" s="823"/>
      <c r="Q53" s="823"/>
      <c r="R53" s="823"/>
      <c r="S53" s="823"/>
      <c r="T53" s="823"/>
      <c r="U53" s="823"/>
      <c r="V53" s="823"/>
      <c r="W53" s="800"/>
      <c r="X53" s="483"/>
    </row>
    <row r="54" spans="1:24" ht="28.35" customHeight="1" x14ac:dyDescent="0.25">
      <c r="A54" s="681" t="s">
        <v>986</v>
      </c>
      <c r="B54" s="909" t="s">
        <v>340</v>
      </c>
      <c r="C54" s="911"/>
      <c r="D54" s="911"/>
      <c r="E54" s="911"/>
      <c r="F54" s="911"/>
      <c r="G54" s="911"/>
      <c r="H54" s="910"/>
      <c r="I54" s="909" t="s">
        <v>341</v>
      </c>
      <c r="J54" s="911"/>
      <c r="K54" s="911"/>
      <c r="L54" s="911"/>
      <c r="M54" s="911"/>
      <c r="N54" s="911"/>
      <c r="O54" s="911"/>
      <c r="P54" s="911"/>
      <c r="Q54" s="911"/>
      <c r="R54" s="911"/>
      <c r="S54" s="911"/>
      <c r="T54" s="911"/>
      <c r="U54" s="911"/>
      <c r="V54" s="911"/>
      <c r="W54" s="910"/>
      <c r="X54" s="483"/>
    </row>
    <row r="55" spans="1:24" ht="11.65" customHeight="1" x14ac:dyDescent="0.25">
      <c r="A55" s="694" t="s">
        <v>1001</v>
      </c>
      <c r="B55" s="831" t="s">
        <v>1562</v>
      </c>
      <c r="C55" s="805"/>
      <c r="D55" s="805"/>
      <c r="E55" s="805"/>
      <c r="F55" s="805"/>
      <c r="G55" s="805"/>
      <c r="H55" s="804"/>
      <c r="I55" s="831" t="s">
        <v>2330</v>
      </c>
      <c r="J55" s="805"/>
      <c r="K55" s="805"/>
      <c r="L55" s="805"/>
      <c r="M55" s="805"/>
      <c r="N55" s="805"/>
      <c r="O55" s="805"/>
      <c r="P55" s="805"/>
      <c r="Q55" s="805"/>
      <c r="R55" s="805"/>
      <c r="S55" s="805"/>
      <c r="T55" s="805"/>
      <c r="U55" s="805"/>
      <c r="V55" s="805"/>
      <c r="W55" s="804"/>
      <c r="X55" s="483"/>
    </row>
    <row r="56" spans="1:24" ht="11.65" customHeight="1" x14ac:dyDescent="0.25">
      <c r="A56" s="691" t="s">
        <v>1002</v>
      </c>
      <c r="B56" s="806" t="s">
        <v>1562</v>
      </c>
      <c r="C56" s="807"/>
      <c r="D56" s="807"/>
      <c r="E56" s="807"/>
      <c r="F56" s="807"/>
      <c r="G56" s="807"/>
      <c r="H56" s="808"/>
      <c r="I56" s="806" t="s">
        <v>1685</v>
      </c>
      <c r="J56" s="807"/>
      <c r="K56" s="807"/>
      <c r="L56" s="807"/>
      <c r="M56" s="807"/>
      <c r="N56" s="807"/>
      <c r="O56" s="807"/>
      <c r="P56" s="807"/>
      <c r="Q56" s="807"/>
      <c r="R56" s="807"/>
      <c r="S56" s="807"/>
      <c r="T56" s="807"/>
      <c r="U56" s="807"/>
      <c r="V56" s="807"/>
      <c r="W56" s="808"/>
      <c r="X56" s="483"/>
    </row>
    <row r="57" spans="1:24" ht="11.65" customHeight="1" x14ac:dyDescent="0.25">
      <c r="A57" s="691" t="s">
        <v>1003</v>
      </c>
      <c r="B57" s="806" t="s">
        <v>159</v>
      </c>
      <c r="C57" s="807"/>
      <c r="D57" s="807"/>
      <c r="E57" s="807"/>
      <c r="F57" s="807"/>
      <c r="G57" s="807"/>
      <c r="H57" s="808"/>
      <c r="I57" s="806" t="s">
        <v>2331</v>
      </c>
      <c r="J57" s="807"/>
      <c r="K57" s="807"/>
      <c r="L57" s="807"/>
      <c r="M57" s="807"/>
      <c r="N57" s="807"/>
      <c r="O57" s="807"/>
      <c r="P57" s="807"/>
      <c r="Q57" s="807"/>
      <c r="R57" s="807"/>
      <c r="S57" s="807"/>
      <c r="T57" s="807"/>
      <c r="U57" s="807"/>
      <c r="V57" s="807"/>
      <c r="W57" s="808"/>
      <c r="X57" s="483"/>
    </row>
    <row r="58" spans="1:24" ht="10.9" customHeight="1" x14ac:dyDescent="0.25">
      <c r="A58" s="692" t="s">
        <v>1004</v>
      </c>
      <c r="B58" s="814" t="s">
        <v>159</v>
      </c>
      <c r="C58" s="815"/>
      <c r="D58" s="815"/>
      <c r="E58" s="815"/>
      <c r="F58" s="815"/>
      <c r="G58" s="815"/>
      <c r="H58" s="816"/>
      <c r="I58" s="814" t="s">
        <v>159</v>
      </c>
      <c r="J58" s="815"/>
      <c r="K58" s="815"/>
      <c r="L58" s="815"/>
      <c r="M58" s="815"/>
      <c r="N58" s="815"/>
      <c r="O58" s="815"/>
      <c r="P58" s="815"/>
      <c r="Q58" s="815"/>
      <c r="R58" s="815"/>
      <c r="S58" s="815"/>
      <c r="T58" s="815"/>
      <c r="U58" s="815"/>
      <c r="V58" s="815"/>
      <c r="W58" s="816"/>
      <c r="X58" s="483"/>
    </row>
    <row r="59" spans="1:24" ht="11.65" customHeight="1" x14ac:dyDescent="0.25">
      <c r="A59" s="671" t="s">
        <v>1005</v>
      </c>
      <c r="B59" s="923" t="s">
        <v>2332</v>
      </c>
      <c r="C59" s="924"/>
      <c r="D59" s="924"/>
      <c r="E59" s="924"/>
      <c r="F59" s="924"/>
      <c r="G59" s="924"/>
      <c r="H59" s="925"/>
      <c r="I59" s="923" t="s">
        <v>2333</v>
      </c>
      <c r="J59" s="924"/>
      <c r="K59" s="924"/>
      <c r="L59" s="924"/>
      <c r="M59" s="924"/>
      <c r="N59" s="924"/>
      <c r="O59" s="924"/>
      <c r="P59" s="924"/>
      <c r="Q59" s="924"/>
      <c r="R59" s="924"/>
      <c r="S59" s="924"/>
      <c r="T59" s="924"/>
      <c r="U59" s="924"/>
      <c r="V59" s="924"/>
      <c r="W59" s="925"/>
      <c r="X59" s="483"/>
    </row>
    <row r="60" spans="1:24" ht="11.65" customHeight="1" x14ac:dyDescent="0.25">
      <c r="A60" s="480"/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  <c r="N60" s="480"/>
      <c r="O60" s="480"/>
      <c r="P60" s="480"/>
      <c r="Q60" s="480"/>
      <c r="R60" s="480"/>
      <c r="S60" s="480"/>
      <c r="T60" s="480"/>
      <c r="U60" s="480"/>
      <c r="V60" s="480"/>
      <c r="W60" s="480"/>
    </row>
    <row r="61" spans="1:24" ht="17.45" customHeight="1" x14ac:dyDescent="0.25">
      <c r="A61" s="681" t="s">
        <v>1006</v>
      </c>
      <c r="B61" s="909" t="s">
        <v>113</v>
      </c>
      <c r="C61" s="911"/>
      <c r="D61" s="911"/>
      <c r="E61" s="911"/>
      <c r="F61" s="911"/>
      <c r="G61" s="911"/>
      <c r="H61" s="911"/>
      <c r="I61" s="911"/>
      <c r="J61" s="911"/>
      <c r="K61" s="911"/>
      <c r="L61" s="911"/>
      <c r="M61" s="911"/>
      <c r="N61" s="911"/>
      <c r="O61" s="911"/>
      <c r="P61" s="911"/>
      <c r="Q61" s="911"/>
      <c r="R61" s="911"/>
      <c r="S61" s="911"/>
      <c r="T61" s="911"/>
      <c r="U61" s="911"/>
      <c r="V61" s="911"/>
      <c r="W61" s="910"/>
      <c r="X61" s="483"/>
    </row>
    <row r="62" spans="1:24" ht="10.9" customHeight="1" x14ac:dyDescent="0.25">
      <c r="A62" s="694" t="s">
        <v>1007</v>
      </c>
      <c r="B62" s="831" t="s">
        <v>159</v>
      </c>
      <c r="C62" s="805"/>
      <c r="D62" s="805"/>
      <c r="E62" s="805"/>
      <c r="F62" s="805"/>
      <c r="G62" s="805"/>
      <c r="H62" s="805"/>
      <c r="I62" s="805"/>
      <c r="J62" s="805"/>
      <c r="K62" s="805"/>
      <c r="L62" s="805"/>
      <c r="M62" s="805"/>
      <c r="N62" s="805"/>
      <c r="O62" s="805"/>
      <c r="P62" s="805"/>
      <c r="Q62" s="805"/>
      <c r="R62" s="805"/>
      <c r="S62" s="805"/>
      <c r="T62" s="805"/>
      <c r="U62" s="805"/>
      <c r="V62" s="805"/>
      <c r="W62" s="804"/>
      <c r="X62" s="483"/>
    </row>
    <row r="63" spans="1:24" ht="11.65" customHeight="1" x14ac:dyDescent="0.25">
      <c r="A63" s="691" t="s">
        <v>1008</v>
      </c>
      <c r="B63" s="806" t="s">
        <v>159</v>
      </c>
      <c r="C63" s="807"/>
      <c r="D63" s="807"/>
      <c r="E63" s="807"/>
      <c r="F63" s="807"/>
      <c r="G63" s="807"/>
      <c r="H63" s="807"/>
      <c r="I63" s="807"/>
      <c r="J63" s="807"/>
      <c r="K63" s="807"/>
      <c r="L63" s="807"/>
      <c r="M63" s="807"/>
      <c r="N63" s="807"/>
      <c r="O63" s="807"/>
      <c r="P63" s="807"/>
      <c r="Q63" s="807"/>
      <c r="R63" s="807"/>
      <c r="S63" s="807"/>
      <c r="T63" s="807"/>
      <c r="U63" s="807"/>
      <c r="V63" s="807"/>
      <c r="W63" s="808"/>
      <c r="X63" s="483"/>
    </row>
    <row r="64" spans="1:24" ht="11.65" customHeight="1" x14ac:dyDescent="0.25">
      <c r="A64" s="692" t="s">
        <v>1009</v>
      </c>
      <c r="B64" s="814" t="s">
        <v>159</v>
      </c>
      <c r="C64" s="815"/>
      <c r="D64" s="815"/>
      <c r="E64" s="815"/>
      <c r="F64" s="815"/>
      <c r="G64" s="815"/>
      <c r="H64" s="815"/>
      <c r="I64" s="815"/>
      <c r="J64" s="815"/>
      <c r="K64" s="815"/>
      <c r="L64" s="815"/>
      <c r="M64" s="815"/>
      <c r="N64" s="815"/>
      <c r="O64" s="815"/>
      <c r="P64" s="815"/>
      <c r="Q64" s="815"/>
      <c r="R64" s="815"/>
      <c r="S64" s="815"/>
      <c r="T64" s="815"/>
      <c r="U64" s="815"/>
      <c r="V64" s="815"/>
      <c r="W64" s="816"/>
      <c r="X64" s="483"/>
    </row>
    <row r="65" spans="1:24" ht="11.65" customHeight="1" x14ac:dyDescent="0.25">
      <c r="A65" s="671" t="s">
        <v>1010</v>
      </c>
      <c r="B65" s="923" t="s">
        <v>2326</v>
      </c>
      <c r="C65" s="924"/>
      <c r="D65" s="924"/>
      <c r="E65" s="924"/>
      <c r="F65" s="924"/>
      <c r="G65" s="924"/>
      <c r="H65" s="924"/>
      <c r="I65" s="924"/>
      <c r="J65" s="924"/>
      <c r="K65" s="924"/>
      <c r="L65" s="924"/>
      <c r="M65" s="924"/>
      <c r="N65" s="924"/>
      <c r="O65" s="924"/>
      <c r="P65" s="924"/>
      <c r="Q65" s="924"/>
      <c r="R65" s="924"/>
      <c r="S65" s="924"/>
      <c r="T65" s="924"/>
      <c r="U65" s="924"/>
      <c r="V65" s="924"/>
      <c r="W65" s="925"/>
      <c r="X65" s="483"/>
    </row>
    <row r="66" spans="1:24" ht="10.9" customHeight="1" x14ac:dyDescent="0.25">
      <c r="A66" s="480"/>
      <c r="B66" s="480"/>
      <c r="C66" s="480"/>
      <c r="D66" s="480"/>
      <c r="E66" s="480"/>
      <c r="F66" s="480"/>
      <c r="G66" s="480"/>
      <c r="H66" s="480"/>
      <c r="I66" s="480"/>
      <c r="J66" s="480"/>
      <c r="K66" s="480"/>
      <c r="L66" s="480"/>
      <c r="M66" s="480"/>
      <c r="N66" s="480"/>
      <c r="O66" s="480"/>
      <c r="P66" s="480"/>
      <c r="Q66" s="480"/>
      <c r="R66" s="480"/>
      <c r="S66" s="480"/>
      <c r="T66" s="480"/>
      <c r="U66" s="480"/>
      <c r="V66" s="480"/>
      <c r="W66" s="480"/>
    </row>
    <row r="67" spans="1:24" ht="34.9" customHeight="1" x14ac:dyDescent="0.25">
      <c r="A67" s="679" t="s">
        <v>1011</v>
      </c>
      <c r="B67" s="909" t="s">
        <v>359</v>
      </c>
      <c r="C67" s="911"/>
      <c r="D67" s="911"/>
      <c r="E67" s="910"/>
      <c r="F67" s="909" t="s">
        <v>360</v>
      </c>
      <c r="G67" s="911"/>
      <c r="H67" s="910"/>
      <c r="I67" s="909" t="s">
        <v>361</v>
      </c>
      <c r="J67" s="911"/>
      <c r="K67" s="910"/>
      <c r="L67" s="909" t="s">
        <v>362</v>
      </c>
      <c r="M67" s="911"/>
      <c r="N67" s="911"/>
      <c r="O67" s="911"/>
      <c r="P67" s="911"/>
      <c r="Q67" s="910"/>
      <c r="R67" s="909" t="s">
        <v>1012</v>
      </c>
      <c r="S67" s="911"/>
      <c r="T67" s="911"/>
      <c r="U67" s="911"/>
      <c r="V67" s="911"/>
      <c r="W67" s="910"/>
      <c r="X67" s="483"/>
    </row>
    <row r="68" spans="1:24" ht="10.9" customHeight="1" x14ac:dyDescent="0.25">
      <c r="A68" s="699" t="s">
        <v>1013</v>
      </c>
      <c r="B68" s="912">
        <v>31720807.600000001</v>
      </c>
      <c r="C68" s="914"/>
      <c r="D68" s="914"/>
      <c r="E68" s="913"/>
      <c r="F68" s="912">
        <v>18782875.82</v>
      </c>
      <c r="G68" s="914"/>
      <c r="H68" s="913"/>
      <c r="I68" s="912">
        <v>18744878.489999998</v>
      </c>
      <c r="J68" s="914"/>
      <c r="K68" s="913"/>
      <c r="L68" s="912">
        <v>17759496.07</v>
      </c>
      <c r="M68" s="914"/>
      <c r="N68" s="914"/>
      <c r="O68" s="914"/>
      <c r="P68" s="914"/>
      <c r="Q68" s="913"/>
      <c r="R68" s="912" t="s">
        <v>159</v>
      </c>
      <c r="S68" s="914"/>
      <c r="T68" s="914"/>
      <c r="U68" s="914"/>
      <c r="V68" s="914"/>
      <c r="W68" s="913"/>
      <c r="X68" s="730"/>
    </row>
    <row r="69" spans="1:24" ht="11.65" customHeight="1" x14ac:dyDescent="0.25">
      <c r="A69" s="697" t="s">
        <v>1014</v>
      </c>
      <c r="B69" s="903">
        <v>28369823.859999999</v>
      </c>
      <c r="C69" s="905"/>
      <c r="D69" s="905"/>
      <c r="E69" s="904"/>
      <c r="F69" s="903">
        <v>17819848.399999999</v>
      </c>
      <c r="G69" s="905"/>
      <c r="H69" s="904"/>
      <c r="I69" s="903">
        <v>17819848.399999999</v>
      </c>
      <c r="J69" s="905"/>
      <c r="K69" s="904"/>
      <c r="L69" s="903">
        <v>16971172.629999999</v>
      </c>
      <c r="M69" s="905"/>
      <c r="N69" s="905"/>
      <c r="O69" s="905"/>
      <c r="P69" s="905"/>
      <c r="Q69" s="904"/>
      <c r="R69" s="903" t="s">
        <v>159</v>
      </c>
      <c r="S69" s="905"/>
      <c r="T69" s="905"/>
      <c r="U69" s="905"/>
      <c r="V69" s="905"/>
      <c r="W69" s="904"/>
      <c r="X69" s="730"/>
    </row>
    <row r="70" spans="1:24" ht="11.65" customHeight="1" x14ac:dyDescent="0.25">
      <c r="A70" s="697" t="s">
        <v>1015</v>
      </c>
      <c r="B70" s="903">
        <v>6529620.1699999999</v>
      </c>
      <c r="C70" s="905"/>
      <c r="D70" s="905"/>
      <c r="E70" s="904"/>
      <c r="F70" s="903">
        <v>3473140.96</v>
      </c>
      <c r="G70" s="905"/>
      <c r="H70" s="904"/>
      <c r="I70" s="903">
        <v>3473140.96</v>
      </c>
      <c r="J70" s="905"/>
      <c r="K70" s="904"/>
      <c r="L70" s="903">
        <v>3353744.1</v>
      </c>
      <c r="M70" s="905"/>
      <c r="N70" s="905"/>
      <c r="O70" s="905"/>
      <c r="P70" s="905"/>
      <c r="Q70" s="904"/>
      <c r="R70" s="903" t="s">
        <v>159</v>
      </c>
      <c r="S70" s="905"/>
      <c r="T70" s="905"/>
      <c r="U70" s="905"/>
      <c r="V70" s="905"/>
      <c r="W70" s="904"/>
      <c r="X70" s="730"/>
    </row>
    <row r="71" spans="1:24" ht="11.65" customHeight="1" x14ac:dyDescent="0.25">
      <c r="A71" s="697" t="s">
        <v>1016</v>
      </c>
      <c r="B71" s="903">
        <v>20022672.109999999</v>
      </c>
      <c r="C71" s="905"/>
      <c r="D71" s="905"/>
      <c r="E71" s="904"/>
      <c r="F71" s="903">
        <v>13291895.470000001</v>
      </c>
      <c r="G71" s="905"/>
      <c r="H71" s="904"/>
      <c r="I71" s="903">
        <v>13291895.470000001</v>
      </c>
      <c r="J71" s="905"/>
      <c r="K71" s="904"/>
      <c r="L71" s="903">
        <v>12592593.470000001</v>
      </c>
      <c r="M71" s="905"/>
      <c r="N71" s="905"/>
      <c r="O71" s="905"/>
      <c r="P71" s="905"/>
      <c r="Q71" s="904"/>
      <c r="R71" s="903" t="s">
        <v>159</v>
      </c>
      <c r="S71" s="905"/>
      <c r="T71" s="905"/>
      <c r="U71" s="905"/>
      <c r="V71" s="905"/>
      <c r="W71" s="904"/>
      <c r="X71" s="730"/>
    </row>
    <row r="72" spans="1:24" ht="10.9" customHeight="1" x14ac:dyDescent="0.25">
      <c r="A72" s="697" t="s">
        <v>1017</v>
      </c>
      <c r="B72" s="903">
        <v>586787.99</v>
      </c>
      <c r="C72" s="905"/>
      <c r="D72" s="905"/>
      <c r="E72" s="904"/>
      <c r="F72" s="903">
        <v>533748.84</v>
      </c>
      <c r="G72" s="905"/>
      <c r="H72" s="904"/>
      <c r="I72" s="903">
        <v>533748.84</v>
      </c>
      <c r="J72" s="905"/>
      <c r="K72" s="904"/>
      <c r="L72" s="903">
        <v>506810.39</v>
      </c>
      <c r="M72" s="905"/>
      <c r="N72" s="905"/>
      <c r="O72" s="905"/>
      <c r="P72" s="905"/>
      <c r="Q72" s="904"/>
      <c r="R72" s="903" t="s">
        <v>159</v>
      </c>
      <c r="S72" s="905"/>
      <c r="T72" s="905"/>
      <c r="U72" s="905"/>
      <c r="V72" s="905"/>
      <c r="W72" s="904"/>
      <c r="X72" s="730"/>
    </row>
    <row r="73" spans="1:24" ht="11.65" customHeight="1" x14ac:dyDescent="0.25">
      <c r="A73" s="697" t="s">
        <v>1018</v>
      </c>
      <c r="B73" s="903">
        <v>1230743.5900000001</v>
      </c>
      <c r="C73" s="905"/>
      <c r="D73" s="905"/>
      <c r="E73" s="904"/>
      <c r="F73" s="903">
        <v>521063.13</v>
      </c>
      <c r="G73" s="905"/>
      <c r="H73" s="904"/>
      <c r="I73" s="903">
        <v>521063.13</v>
      </c>
      <c r="J73" s="905"/>
      <c r="K73" s="904"/>
      <c r="L73" s="903">
        <v>518024.67</v>
      </c>
      <c r="M73" s="905"/>
      <c r="N73" s="905"/>
      <c r="O73" s="905"/>
      <c r="P73" s="905"/>
      <c r="Q73" s="904"/>
      <c r="R73" s="903" t="s">
        <v>159</v>
      </c>
      <c r="S73" s="905"/>
      <c r="T73" s="905"/>
      <c r="U73" s="905"/>
      <c r="V73" s="905"/>
      <c r="W73" s="904"/>
      <c r="X73" s="730"/>
    </row>
    <row r="74" spans="1:24" ht="11.65" customHeight="1" x14ac:dyDescent="0.25">
      <c r="A74" s="697" t="s">
        <v>1019</v>
      </c>
      <c r="B74" s="903" t="s">
        <v>159</v>
      </c>
      <c r="C74" s="905"/>
      <c r="D74" s="905"/>
      <c r="E74" s="904"/>
      <c r="F74" s="903" t="s">
        <v>159</v>
      </c>
      <c r="G74" s="905"/>
      <c r="H74" s="904"/>
      <c r="I74" s="903" t="s">
        <v>159</v>
      </c>
      <c r="J74" s="905"/>
      <c r="K74" s="904"/>
      <c r="L74" s="903" t="s">
        <v>159</v>
      </c>
      <c r="M74" s="905"/>
      <c r="N74" s="905"/>
      <c r="O74" s="905"/>
      <c r="P74" s="905"/>
      <c r="Q74" s="904"/>
      <c r="R74" s="903" t="s">
        <v>159</v>
      </c>
      <c r="S74" s="905"/>
      <c r="T74" s="905"/>
      <c r="U74" s="905"/>
      <c r="V74" s="905"/>
      <c r="W74" s="904"/>
      <c r="X74" s="730"/>
    </row>
    <row r="75" spans="1:24" ht="11.65" customHeight="1" x14ac:dyDescent="0.25">
      <c r="A75" s="697" t="s">
        <v>1020</v>
      </c>
      <c r="B75" s="903">
        <v>3350983.74</v>
      </c>
      <c r="C75" s="905"/>
      <c r="D75" s="905"/>
      <c r="E75" s="904"/>
      <c r="F75" s="903">
        <v>963027.42</v>
      </c>
      <c r="G75" s="905"/>
      <c r="H75" s="904"/>
      <c r="I75" s="903">
        <v>925030.09</v>
      </c>
      <c r="J75" s="905"/>
      <c r="K75" s="904"/>
      <c r="L75" s="903">
        <v>788323.44</v>
      </c>
      <c r="M75" s="905"/>
      <c r="N75" s="905"/>
      <c r="O75" s="905"/>
      <c r="P75" s="905"/>
      <c r="Q75" s="904"/>
      <c r="R75" s="903" t="s">
        <v>159</v>
      </c>
      <c r="S75" s="905"/>
      <c r="T75" s="905"/>
      <c r="U75" s="905"/>
      <c r="V75" s="905"/>
      <c r="W75" s="904"/>
      <c r="X75" s="730"/>
    </row>
    <row r="76" spans="1:24" ht="10.9" customHeight="1" x14ac:dyDescent="0.25">
      <c r="A76" s="697" t="s">
        <v>1021</v>
      </c>
      <c r="B76" s="903">
        <v>704759.65</v>
      </c>
      <c r="C76" s="905"/>
      <c r="D76" s="905"/>
      <c r="E76" s="904"/>
      <c r="F76" s="903">
        <v>203974.49</v>
      </c>
      <c r="G76" s="905"/>
      <c r="H76" s="904"/>
      <c r="I76" s="903">
        <v>203974.49</v>
      </c>
      <c r="J76" s="905"/>
      <c r="K76" s="904"/>
      <c r="L76" s="903">
        <v>179750.35</v>
      </c>
      <c r="M76" s="905"/>
      <c r="N76" s="905"/>
      <c r="O76" s="905"/>
      <c r="P76" s="905"/>
      <c r="Q76" s="904"/>
      <c r="R76" s="903" t="s">
        <v>159</v>
      </c>
      <c r="S76" s="905"/>
      <c r="T76" s="905"/>
      <c r="U76" s="905"/>
      <c r="V76" s="905"/>
      <c r="W76" s="904"/>
      <c r="X76" s="730"/>
    </row>
    <row r="77" spans="1:24" ht="11.65" customHeight="1" x14ac:dyDescent="0.25">
      <c r="A77" s="697" t="s">
        <v>1022</v>
      </c>
      <c r="B77" s="903">
        <v>2448845.85</v>
      </c>
      <c r="C77" s="905"/>
      <c r="D77" s="905"/>
      <c r="E77" s="904"/>
      <c r="F77" s="903">
        <v>682390.72</v>
      </c>
      <c r="G77" s="905"/>
      <c r="H77" s="904"/>
      <c r="I77" s="903">
        <v>644393.39</v>
      </c>
      <c r="J77" s="905"/>
      <c r="K77" s="904"/>
      <c r="L77" s="903">
        <v>536411.57999999996</v>
      </c>
      <c r="M77" s="905"/>
      <c r="N77" s="905"/>
      <c r="O77" s="905"/>
      <c r="P77" s="905"/>
      <c r="Q77" s="904"/>
      <c r="R77" s="903" t="s">
        <v>159</v>
      </c>
      <c r="S77" s="905"/>
      <c r="T77" s="905"/>
      <c r="U77" s="905"/>
      <c r="V77" s="905"/>
      <c r="W77" s="904"/>
      <c r="X77" s="730"/>
    </row>
    <row r="78" spans="1:24" ht="11.65" customHeight="1" x14ac:dyDescent="0.25">
      <c r="A78" s="697" t="s">
        <v>1023</v>
      </c>
      <c r="B78" s="903">
        <v>28009</v>
      </c>
      <c r="C78" s="905"/>
      <c r="D78" s="905"/>
      <c r="E78" s="904"/>
      <c r="F78" s="903">
        <v>26529.18</v>
      </c>
      <c r="G78" s="905"/>
      <c r="H78" s="904"/>
      <c r="I78" s="903">
        <v>26529.18</v>
      </c>
      <c r="J78" s="905"/>
      <c r="K78" s="904"/>
      <c r="L78" s="903">
        <v>22417.67</v>
      </c>
      <c r="M78" s="905"/>
      <c r="N78" s="905"/>
      <c r="O78" s="905"/>
      <c r="P78" s="905"/>
      <c r="Q78" s="904"/>
      <c r="R78" s="903" t="s">
        <v>159</v>
      </c>
      <c r="S78" s="905"/>
      <c r="T78" s="905"/>
      <c r="U78" s="905"/>
      <c r="V78" s="905"/>
      <c r="W78" s="904"/>
      <c r="X78" s="730"/>
    </row>
    <row r="79" spans="1:24" ht="11.65" customHeight="1" x14ac:dyDescent="0.25">
      <c r="A79" s="697" t="s">
        <v>1024</v>
      </c>
      <c r="B79" s="903">
        <v>119355.24</v>
      </c>
      <c r="C79" s="905"/>
      <c r="D79" s="905"/>
      <c r="E79" s="904"/>
      <c r="F79" s="903">
        <v>50133.03</v>
      </c>
      <c r="G79" s="905"/>
      <c r="H79" s="904"/>
      <c r="I79" s="903">
        <v>50133.03</v>
      </c>
      <c r="J79" s="905"/>
      <c r="K79" s="904"/>
      <c r="L79" s="903">
        <v>49743.839999999997</v>
      </c>
      <c r="M79" s="905"/>
      <c r="N79" s="905"/>
      <c r="O79" s="905"/>
      <c r="P79" s="905"/>
      <c r="Q79" s="904"/>
      <c r="R79" s="903" t="s">
        <v>159</v>
      </c>
      <c r="S79" s="905"/>
      <c r="T79" s="905"/>
      <c r="U79" s="905"/>
      <c r="V79" s="905"/>
      <c r="W79" s="904"/>
      <c r="X79" s="730"/>
    </row>
    <row r="80" spans="1:24" ht="10.9" customHeight="1" x14ac:dyDescent="0.25">
      <c r="A80" s="697" t="s">
        <v>1025</v>
      </c>
      <c r="B80" s="903">
        <v>6</v>
      </c>
      <c r="C80" s="905"/>
      <c r="D80" s="905"/>
      <c r="E80" s="904"/>
      <c r="F80" s="903" t="s">
        <v>159</v>
      </c>
      <c r="G80" s="905"/>
      <c r="H80" s="904"/>
      <c r="I80" s="903" t="s">
        <v>159</v>
      </c>
      <c r="J80" s="905"/>
      <c r="K80" s="904"/>
      <c r="L80" s="903" t="s">
        <v>159</v>
      </c>
      <c r="M80" s="905"/>
      <c r="N80" s="905"/>
      <c r="O80" s="905"/>
      <c r="P80" s="905"/>
      <c r="Q80" s="904"/>
      <c r="R80" s="903" t="s">
        <v>159</v>
      </c>
      <c r="S80" s="905"/>
      <c r="T80" s="905"/>
      <c r="U80" s="905"/>
      <c r="V80" s="905"/>
      <c r="W80" s="904"/>
      <c r="X80" s="730"/>
    </row>
    <row r="81" spans="1:24" ht="11.65" customHeight="1" x14ac:dyDescent="0.25">
      <c r="A81" s="697" t="s">
        <v>1026</v>
      </c>
      <c r="B81" s="903">
        <v>50004</v>
      </c>
      <c r="C81" s="905"/>
      <c r="D81" s="905"/>
      <c r="E81" s="904"/>
      <c r="F81" s="903" t="s">
        <v>159</v>
      </c>
      <c r="G81" s="905"/>
      <c r="H81" s="904"/>
      <c r="I81" s="903" t="s">
        <v>159</v>
      </c>
      <c r="J81" s="905"/>
      <c r="K81" s="904"/>
      <c r="L81" s="903" t="s">
        <v>159</v>
      </c>
      <c r="M81" s="905"/>
      <c r="N81" s="905"/>
      <c r="O81" s="905"/>
      <c r="P81" s="905"/>
      <c r="Q81" s="904"/>
      <c r="R81" s="903" t="s">
        <v>159</v>
      </c>
      <c r="S81" s="905"/>
      <c r="T81" s="905"/>
      <c r="U81" s="905"/>
      <c r="V81" s="905"/>
      <c r="W81" s="904"/>
      <c r="X81" s="730"/>
    </row>
    <row r="82" spans="1:24" ht="11.65" customHeight="1" x14ac:dyDescent="0.25">
      <c r="A82" s="698" t="s">
        <v>1027</v>
      </c>
      <c r="B82" s="906">
        <v>4</v>
      </c>
      <c r="C82" s="908"/>
      <c r="D82" s="908"/>
      <c r="E82" s="907"/>
      <c r="F82" s="906" t="s">
        <v>159</v>
      </c>
      <c r="G82" s="908"/>
      <c r="H82" s="907"/>
      <c r="I82" s="906" t="s">
        <v>159</v>
      </c>
      <c r="J82" s="908"/>
      <c r="K82" s="907"/>
      <c r="L82" s="906" t="s">
        <v>159</v>
      </c>
      <c r="M82" s="908"/>
      <c r="N82" s="908"/>
      <c r="O82" s="908"/>
      <c r="P82" s="908"/>
      <c r="Q82" s="907"/>
      <c r="R82" s="906" t="s">
        <v>159</v>
      </c>
      <c r="S82" s="908"/>
      <c r="T82" s="908"/>
      <c r="U82" s="908"/>
      <c r="V82" s="908"/>
      <c r="W82" s="907"/>
      <c r="X82" s="730"/>
    </row>
    <row r="83" spans="1:24" ht="11.65" customHeight="1" x14ac:dyDescent="0.25">
      <c r="A83" s="797"/>
      <c r="B83" s="821"/>
      <c r="C83" s="821"/>
      <c r="D83" s="821"/>
      <c r="E83" s="821"/>
      <c r="F83" s="821"/>
      <c r="G83" s="821"/>
      <c r="H83" s="821"/>
      <c r="I83" s="821"/>
      <c r="J83" s="821"/>
      <c r="K83" s="821"/>
      <c r="L83" s="821"/>
      <c r="M83" s="821"/>
      <c r="N83" s="821"/>
      <c r="O83" s="821"/>
      <c r="P83" s="821"/>
      <c r="Q83" s="821"/>
      <c r="R83" s="821"/>
      <c r="S83" s="821"/>
      <c r="T83" s="821"/>
      <c r="U83" s="821"/>
      <c r="V83" s="821"/>
      <c r="W83" s="821"/>
      <c r="X83" s="797"/>
    </row>
    <row r="84" spans="1:24" ht="10.9" customHeight="1" x14ac:dyDescent="0.25">
      <c r="A84" s="799" t="s">
        <v>1028</v>
      </c>
      <c r="B84" s="823"/>
      <c r="C84" s="823"/>
      <c r="D84" s="823"/>
      <c r="E84" s="823"/>
      <c r="F84" s="823"/>
      <c r="G84" s="823"/>
      <c r="H84" s="823"/>
      <c r="I84" s="823"/>
      <c r="J84" s="823"/>
      <c r="K84" s="823"/>
      <c r="L84" s="823"/>
      <c r="M84" s="823"/>
      <c r="N84" s="823"/>
      <c r="O84" s="823"/>
      <c r="P84" s="823"/>
      <c r="Q84" s="823"/>
      <c r="R84" s="823"/>
      <c r="S84" s="823"/>
      <c r="T84" s="823"/>
      <c r="U84" s="823"/>
      <c r="V84" s="823"/>
      <c r="W84" s="800"/>
      <c r="X84" s="483"/>
    </row>
    <row r="85" spans="1:24" ht="45.75" customHeight="1" x14ac:dyDescent="0.25">
      <c r="A85" s="681" t="s">
        <v>1029</v>
      </c>
      <c r="B85" s="909" t="s">
        <v>360</v>
      </c>
      <c r="C85" s="910"/>
      <c r="D85" s="909" t="s">
        <v>361</v>
      </c>
      <c r="E85" s="911"/>
      <c r="F85" s="911"/>
      <c r="G85" s="910"/>
      <c r="H85" s="909" t="s">
        <v>362</v>
      </c>
      <c r="I85" s="910"/>
      <c r="J85" s="909" t="s">
        <v>1030</v>
      </c>
      <c r="K85" s="911"/>
      <c r="L85" s="911"/>
      <c r="M85" s="910"/>
      <c r="N85" s="909" t="s">
        <v>1031</v>
      </c>
      <c r="O85" s="911"/>
      <c r="P85" s="911"/>
      <c r="Q85" s="911"/>
      <c r="R85" s="911"/>
      <c r="S85" s="911"/>
      <c r="T85" s="910"/>
      <c r="U85" s="936" t="s">
        <v>1032</v>
      </c>
      <c r="V85" s="937"/>
      <c r="W85" s="938"/>
      <c r="X85" s="483"/>
    </row>
    <row r="86" spans="1:24" ht="11.65" customHeight="1" x14ac:dyDescent="0.25">
      <c r="A86" s="699" t="s">
        <v>1033</v>
      </c>
      <c r="B86" s="912">
        <v>19041003.149999999</v>
      </c>
      <c r="C86" s="913"/>
      <c r="D86" s="912">
        <v>19003005.82</v>
      </c>
      <c r="E86" s="914"/>
      <c r="F86" s="914"/>
      <c r="G86" s="913"/>
      <c r="H86" s="912">
        <v>17979784.050000001</v>
      </c>
      <c r="I86" s="913"/>
      <c r="J86" s="912" t="s">
        <v>159</v>
      </c>
      <c r="K86" s="914"/>
      <c r="L86" s="914"/>
      <c r="M86" s="913"/>
      <c r="N86" s="912" t="s">
        <v>159</v>
      </c>
      <c r="O86" s="914"/>
      <c r="P86" s="914"/>
      <c r="Q86" s="914"/>
      <c r="R86" s="914"/>
      <c r="S86" s="914"/>
      <c r="T86" s="913"/>
      <c r="U86" s="912">
        <v>1238315.18</v>
      </c>
      <c r="V86" s="914"/>
      <c r="W86" s="913"/>
      <c r="X86" s="730"/>
    </row>
    <row r="87" spans="1:24" ht="11.65" customHeight="1" x14ac:dyDescent="0.25">
      <c r="A87" s="697" t="s">
        <v>1034</v>
      </c>
      <c r="B87" s="903">
        <v>18953236.43</v>
      </c>
      <c r="C87" s="904"/>
      <c r="D87" s="903">
        <v>18953236.43</v>
      </c>
      <c r="E87" s="905"/>
      <c r="F87" s="905"/>
      <c r="G87" s="904"/>
      <c r="H87" s="903">
        <v>17935410.600000001</v>
      </c>
      <c r="I87" s="904"/>
      <c r="J87" s="903" t="s">
        <v>159</v>
      </c>
      <c r="K87" s="905"/>
      <c r="L87" s="905"/>
      <c r="M87" s="904"/>
      <c r="N87" s="903" t="s">
        <v>159</v>
      </c>
      <c r="O87" s="905"/>
      <c r="P87" s="905"/>
      <c r="Q87" s="905"/>
      <c r="R87" s="905"/>
      <c r="S87" s="905"/>
      <c r="T87" s="904"/>
      <c r="U87" s="903">
        <v>1354003.85</v>
      </c>
      <c r="V87" s="905"/>
      <c r="W87" s="904"/>
      <c r="X87" s="730"/>
    </row>
    <row r="88" spans="1:24" ht="10.9" customHeight="1" x14ac:dyDescent="0.25">
      <c r="A88" s="697" t="s">
        <v>1035</v>
      </c>
      <c r="B88" s="903" t="s">
        <v>159</v>
      </c>
      <c r="C88" s="904"/>
      <c r="D88" s="903" t="s">
        <v>159</v>
      </c>
      <c r="E88" s="905"/>
      <c r="F88" s="905"/>
      <c r="G88" s="904"/>
      <c r="H88" s="903" t="s">
        <v>159</v>
      </c>
      <c r="I88" s="904"/>
      <c r="J88" s="903" t="s">
        <v>159</v>
      </c>
      <c r="K88" s="905"/>
      <c r="L88" s="905"/>
      <c r="M88" s="904"/>
      <c r="N88" s="903" t="s">
        <v>159</v>
      </c>
      <c r="O88" s="905"/>
      <c r="P88" s="905"/>
      <c r="Q88" s="905"/>
      <c r="R88" s="905"/>
      <c r="S88" s="905"/>
      <c r="T88" s="904"/>
      <c r="U88" s="903" t="s">
        <v>159</v>
      </c>
      <c r="V88" s="905"/>
      <c r="W88" s="904"/>
      <c r="X88" s="730"/>
    </row>
    <row r="89" spans="1:24" ht="11.65" customHeight="1" x14ac:dyDescent="0.25">
      <c r="A89" s="697" t="s">
        <v>1036</v>
      </c>
      <c r="B89" s="903" t="s">
        <v>159</v>
      </c>
      <c r="C89" s="904"/>
      <c r="D89" s="903" t="s">
        <v>159</v>
      </c>
      <c r="E89" s="905"/>
      <c r="F89" s="905"/>
      <c r="G89" s="904"/>
      <c r="H89" s="903" t="s">
        <v>159</v>
      </c>
      <c r="I89" s="904"/>
      <c r="J89" s="903" t="s">
        <v>159</v>
      </c>
      <c r="K89" s="905"/>
      <c r="L89" s="905"/>
      <c r="M89" s="904"/>
      <c r="N89" s="903" t="s">
        <v>159</v>
      </c>
      <c r="O89" s="905"/>
      <c r="P89" s="905"/>
      <c r="Q89" s="905"/>
      <c r="R89" s="905"/>
      <c r="S89" s="905"/>
      <c r="T89" s="904"/>
      <c r="U89" s="903" t="s">
        <v>159</v>
      </c>
      <c r="V89" s="905"/>
      <c r="W89" s="904"/>
      <c r="X89" s="730"/>
    </row>
    <row r="90" spans="1:24" ht="2.85" customHeight="1" x14ac:dyDescent="0.25"/>
    <row r="91" spans="1:24" ht="11.65" customHeight="1" x14ac:dyDescent="0.25">
      <c r="A91" s="865" t="s">
        <v>2329</v>
      </c>
      <c r="B91" s="865"/>
      <c r="C91" s="865"/>
      <c r="D91" s="865"/>
      <c r="E91" s="865"/>
      <c r="F91" s="865"/>
      <c r="G91" s="865"/>
      <c r="H91" s="865"/>
      <c r="I91" s="865"/>
      <c r="J91" s="865"/>
      <c r="K91" s="865"/>
      <c r="L91" s="865"/>
      <c r="M91" s="865"/>
      <c r="N91" s="865"/>
      <c r="O91" s="865"/>
      <c r="P91" s="865"/>
      <c r="Q91" s="865"/>
      <c r="R91" s="865"/>
      <c r="S91" s="865"/>
      <c r="T91" s="865"/>
      <c r="U91" s="865"/>
      <c r="V91" s="865"/>
      <c r="W91" s="865"/>
    </row>
    <row r="92" spans="1:24" ht="11.65" customHeight="1" x14ac:dyDescent="0.25">
      <c r="A92" s="797" t="s">
        <v>134</v>
      </c>
      <c r="B92" s="797"/>
      <c r="C92" s="797"/>
      <c r="W92" s="693" t="s">
        <v>1037</v>
      </c>
    </row>
    <row r="93" spans="1:24" ht="10.9" customHeight="1" x14ac:dyDescent="0.25">
      <c r="A93" s="797" t="s">
        <v>333</v>
      </c>
      <c r="B93" s="797"/>
      <c r="C93" s="797"/>
    </row>
    <row r="94" spans="1:24" ht="11.65" customHeight="1" x14ac:dyDescent="0.25">
      <c r="A94" s="839" t="s">
        <v>964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39"/>
      <c r="O94" s="839"/>
      <c r="P94" s="839"/>
    </row>
    <row r="95" spans="1:24" ht="11.65" customHeight="1" x14ac:dyDescent="0.25">
      <c r="A95" s="797" t="s">
        <v>335</v>
      </c>
      <c r="B95" s="797"/>
      <c r="C95" s="797"/>
    </row>
    <row r="96" spans="1:24" ht="11.65" customHeight="1" x14ac:dyDescent="0.25">
      <c r="A96" s="797" t="s">
        <v>2036</v>
      </c>
      <c r="B96" s="797"/>
      <c r="C96" s="797"/>
    </row>
    <row r="97" spans="1:24" ht="5.85" customHeight="1" x14ac:dyDescent="0.25"/>
    <row r="98" spans="1:24" ht="10.9" customHeight="1" x14ac:dyDescent="0.25">
      <c r="A98" s="902" t="s">
        <v>965</v>
      </c>
      <c r="B98" s="902"/>
      <c r="C98" s="902"/>
      <c r="D98" s="479"/>
      <c r="E98" s="479"/>
      <c r="F98" s="479"/>
      <c r="G98" s="479"/>
      <c r="H98" s="479"/>
      <c r="I98" s="479"/>
      <c r="J98" s="479"/>
      <c r="K98" s="479"/>
      <c r="L98" s="479"/>
      <c r="M98" s="479"/>
      <c r="N98" s="479"/>
      <c r="O98" s="479"/>
      <c r="P98" s="887" t="s">
        <v>5</v>
      </c>
      <c r="Q98" s="887"/>
      <c r="R98" s="887"/>
      <c r="S98" s="887"/>
      <c r="T98" s="887"/>
      <c r="U98" s="887"/>
      <c r="V98" s="887"/>
      <c r="W98" s="887"/>
    </row>
    <row r="99" spans="1:24" ht="11.65" customHeight="1" x14ac:dyDescent="0.25">
      <c r="A99" s="799" t="s">
        <v>1028</v>
      </c>
      <c r="B99" s="823"/>
      <c r="C99" s="823"/>
      <c r="D99" s="823"/>
      <c r="E99" s="823"/>
      <c r="F99" s="823"/>
      <c r="G99" s="823"/>
      <c r="H99" s="823"/>
      <c r="I99" s="823"/>
      <c r="J99" s="823"/>
      <c r="K99" s="823"/>
      <c r="L99" s="823"/>
      <c r="M99" s="823"/>
      <c r="N99" s="823"/>
      <c r="O99" s="823"/>
      <c r="P99" s="823"/>
      <c r="Q99" s="823"/>
      <c r="R99" s="823"/>
      <c r="S99" s="823"/>
      <c r="T99" s="823"/>
      <c r="U99" s="823"/>
      <c r="V99" s="823"/>
      <c r="W99" s="800"/>
      <c r="X99" s="483"/>
    </row>
    <row r="100" spans="1:24" ht="45.75" customHeight="1" x14ac:dyDescent="0.25">
      <c r="A100" s="681" t="s">
        <v>1029</v>
      </c>
      <c r="B100" s="909" t="s">
        <v>360</v>
      </c>
      <c r="C100" s="910"/>
      <c r="D100" s="909" t="s">
        <v>361</v>
      </c>
      <c r="E100" s="911"/>
      <c r="F100" s="911"/>
      <c r="G100" s="910"/>
      <c r="H100" s="909" t="s">
        <v>362</v>
      </c>
      <c r="I100" s="910"/>
      <c r="J100" s="909" t="s">
        <v>1030</v>
      </c>
      <c r="K100" s="911"/>
      <c r="L100" s="911"/>
      <c r="M100" s="910"/>
      <c r="N100" s="909" t="s">
        <v>1031</v>
      </c>
      <c r="O100" s="911"/>
      <c r="P100" s="911"/>
      <c r="Q100" s="911"/>
      <c r="R100" s="911"/>
      <c r="S100" s="911"/>
      <c r="T100" s="910"/>
      <c r="U100" s="936" t="s">
        <v>1032</v>
      </c>
      <c r="V100" s="937"/>
      <c r="W100" s="938"/>
      <c r="X100" s="483"/>
    </row>
    <row r="101" spans="1:24" ht="11.65" customHeight="1" x14ac:dyDescent="0.25">
      <c r="A101" s="699" t="s">
        <v>1038</v>
      </c>
      <c r="B101" s="912">
        <v>87766.720000000001</v>
      </c>
      <c r="C101" s="913"/>
      <c r="D101" s="912">
        <v>49769.39</v>
      </c>
      <c r="E101" s="914"/>
      <c r="F101" s="914"/>
      <c r="G101" s="913"/>
      <c r="H101" s="912">
        <v>44373.45</v>
      </c>
      <c r="I101" s="913"/>
      <c r="J101" s="912" t="s">
        <v>159</v>
      </c>
      <c r="K101" s="914"/>
      <c r="L101" s="914"/>
      <c r="M101" s="913"/>
      <c r="N101" s="912" t="s">
        <v>159</v>
      </c>
      <c r="O101" s="914"/>
      <c r="P101" s="914"/>
      <c r="Q101" s="914"/>
      <c r="R101" s="914"/>
      <c r="S101" s="914"/>
      <c r="T101" s="913"/>
      <c r="U101" s="912" t="s">
        <v>159</v>
      </c>
      <c r="V101" s="914"/>
      <c r="W101" s="913"/>
      <c r="X101" s="730"/>
    </row>
    <row r="102" spans="1:24" ht="11.65" customHeight="1" x14ac:dyDescent="0.25">
      <c r="A102" s="697" t="s">
        <v>1039</v>
      </c>
      <c r="B102" s="903">
        <v>17819848.399999999</v>
      </c>
      <c r="C102" s="904"/>
      <c r="D102" s="903">
        <v>17819848.399999999</v>
      </c>
      <c r="E102" s="905"/>
      <c r="F102" s="905"/>
      <c r="G102" s="904"/>
      <c r="H102" s="903">
        <v>16971172.629999999</v>
      </c>
      <c r="I102" s="904"/>
      <c r="J102" s="903" t="s">
        <v>159</v>
      </c>
      <c r="K102" s="905"/>
      <c r="L102" s="905"/>
      <c r="M102" s="904"/>
      <c r="N102" s="903" t="s">
        <v>159</v>
      </c>
      <c r="O102" s="905"/>
      <c r="P102" s="905"/>
      <c r="Q102" s="905"/>
      <c r="R102" s="905"/>
      <c r="S102" s="905"/>
      <c r="T102" s="904"/>
      <c r="U102" s="934" t="s">
        <v>159</v>
      </c>
      <c r="V102" s="935"/>
      <c r="W102" s="935"/>
      <c r="X102" s="733"/>
    </row>
    <row r="103" spans="1:24" ht="10.9" customHeight="1" x14ac:dyDescent="0.25">
      <c r="A103" s="706" t="s">
        <v>1040</v>
      </c>
      <c r="B103" s="903" t="s">
        <v>159</v>
      </c>
      <c r="C103" s="904"/>
      <c r="D103" s="903" t="s">
        <v>159</v>
      </c>
      <c r="E103" s="905"/>
      <c r="F103" s="905"/>
      <c r="G103" s="904"/>
      <c r="H103" s="903" t="s">
        <v>159</v>
      </c>
      <c r="I103" s="904"/>
      <c r="J103" s="903" t="s">
        <v>159</v>
      </c>
      <c r="K103" s="905"/>
      <c r="L103" s="905"/>
      <c r="M103" s="904"/>
      <c r="N103" s="903" t="s">
        <v>159</v>
      </c>
      <c r="O103" s="905"/>
      <c r="P103" s="905"/>
      <c r="Q103" s="905"/>
      <c r="R103" s="905"/>
      <c r="S103" s="905"/>
      <c r="T103" s="904"/>
      <c r="U103" s="934" t="s">
        <v>159</v>
      </c>
      <c r="V103" s="935"/>
      <c r="W103" s="935"/>
      <c r="X103" s="733"/>
    </row>
    <row r="104" spans="1:24" ht="11.65" customHeight="1" x14ac:dyDescent="0.25">
      <c r="A104" s="705" t="s">
        <v>1041</v>
      </c>
      <c r="B104" s="906" t="s">
        <v>159</v>
      </c>
      <c r="C104" s="907"/>
      <c r="D104" s="906" t="s">
        <v>159</v>
      </c>
      <c r="E104" s="908"/>
      <c r="F104" s="908"/>
      <c r="G104" s="907"/>
      <c r="H104" s="906" t="s">
        <v>159</v>
      </c>
      <c r="I104" s="907"/>
      <c r="J104" s="906" t="s">
        <v>159</v>
      </c>
      <c r="K104" s="908"/>
      <c r="L104" s="908"/>
      <c r="M104" s="907"/>
      <c r="N104" s="906" t="s">
        <v>159</v>
      </c>
      <c r="O104" s="908"/>
      <c r="P104" s="908"/>
      <c r="Q104" s="908"/>
      <c r="R104" s="908"/>
      <c r="S104" s="908"/>
      <c r="T104" s="907"/>
      <c r="U104" s="934" t="s">
        <v>159</v>
      </c>
      <c r="V104" s="935"/>
      <c r="W104" s="935"/>
      <c r="X104" s="733"/>
    </row>
    <row r="105" spans="1:24" ht="11.65" customHeight="1" x14ac:dyDescent="0.25">
      <c r="A105" s="480"/>
      <c r="B105" s="480"/>
      <c r="C105" s="480"/>
      <c r="D105" s="480"/>
      <c r="E105" s="480"/>
      <c r="F105" s="480"/>
      <c r="G105" s="480"/>
      <c r="H105" s="480"/>
      <c r="I105" s="480"/>
      <c r="J105" s="480"/>
      <c r="K105" s="480"/>
      <c r="L105" s="480"/>
      <c r="M105" s="480"/>
      <c r="N105" s="480"/>
      <c r="O105" s="480"/>
      <c r="P105" s="480"/>
      <c r="Q105" s="480"/>
      <c r="R105" s="480"/>
      <c r="S105" s="480"/>
      <c r="T105" s="480"/>
      <c r="U105" s="479"/>
      <c r="V105" s="479"/>
      <c r="W105" s="479"/>
    </row>
    <row r="106" spans="1:24" ht="28.35" customHeight="1" x14ac:dyDescent="0.25">
      <c r="A106" s="681" t="s">
        <v>1042</v>
      </c>
      <c r="B106" s="909" t="s">
        <v>1043</v>
      </c>
      <c r="C106" s="911"/>
      <c r="D106" s="911"/>
      <c r="E106" s="911"/>
      <c r="F106" s="910"/>
      <c r="G106" s="909" t="s">
        <v>1044</v>
      </c>
      <c r="H106" s="911"/>
      <c r="I106" s="911"/>
      <c r="J106" s="910"/>
      <c r="K106" s="909" t="s">
        <v>1045</v>
      </c>
      <c r="L106" s="911"/>
      <c r="M106" s="911"/>
      <c r="N106" s="911"/>
      <c r="O106" s="911"/>
      <c r="P106" s="911"/>
      <c r="Q106" s="911"/>
      <c r="R106" s="910"/>
      <c r="S106" s="909" t="s">
        <v>1046</v>
      </c>
      <c r="T106" s="911"/>
      <c r="U106" s="911"/>
      <c r="V106" s="911"/>
      <c r="W106" s="910"/>
      <c r="X106" s="483"/>
    </row>
    <row r="107" spans="1:24" ht="11.65" customHeight="1" x14ac:dyDescent="0.25">
      <c r="A107" s="699" t="s">
        <v>1047</v>
      </c>
      <c r="B107" s="912">
        <v>12319462.810000001</v>
      </c>
      <c r="C107" s="914"/>
      <c r="D107" s="914"/>
      <c r="E107" s="914"/>
      <c r="F107" s="913"/>
      <c r="G107" s="912">
        <v>17819848.399999999</v>
      </c>
      <c r="H107" s="914"/>
      <c r="I107" s="914"/>
      <c r="J107" s="913"/>
      <c r="K107" s="912">
        <v>17819848.399999999</v>
      </c>
      <c r="L107" s="914"/>
      <c r="M107" s="914"/>
      <c r="N107" s="914"/>
      <c r="O107" s="914"/>
      <c r="P107" s="914"/>
      <c r="Q107" s="914"/>
      <c r="R107" s="913"/>
      <c r="S107" s="912">
        <v>100</v>
      </c>
      <c r="T107" s="914"/>
      <c r="U107" s="914"/>
      <c r="V107" s="914"/>
      <c r="W107" s="913"/>
      <c r="X107" s="730"/>
    </row>
    <row r="108" spans="1:24" ht="11.65" customHeight="1" x14ac:dyDescent="0.25">
      <c r="A108" s="697" t="s">
        <v>1048</v>
      </c>
      <c r="B108" s="903" t="s">
        <v>159</v>
      </c>
      <c r="C108" s="905"/>
      <c r="D108" s="905"/>
      <c r="E108" s="905"/>
      <c r="F108" s="904"/>
      <c r="G108" s="903" t="s">
        <v>159</v>
      </c>
      <c r="H108" s="905"/>
      <c r="I108" s="905"/>
      <c r="J108" s="904"/>
      <c r="K108" s="903" t="s">
        <v>159</v>
      </c>
      <c r="L108" s="905"/>
      <c r="M108" s="905"/>
      <c r="N108" s="905"/>
      <c r="O108" s="905"/>
      <c r="P108" s="905"/>
      <c r="Q108" s="905"/>
      <c r="R108" s="904"/>
      <c r="S108" s="903" t="s">
        <v>159</v>
      </c>
      <c r="T108" s="905"/>
      <c r="U108" s="905"/>
      <c r="V108" s="905"/>
      <c r="W108" s="904"/>
      <c r="X108" s="730"/>
    </row>
    <row r="109" spans="1:24" ht="10.9" customHeight="1" x14ac:dyDescent="0.25">
      <c r="A109" s="698" t="s">
        <v>1049</v>
      </c>
      <c r="B109" s="906" t="s">
        <v>159</v>
      </c>
      <c r="C109" s="908"/>
      <c r="D109" s="908"/>
      <c r="E109" s="908"/>
      <c r="F109" s="907"/>
      <c r="G109" s="906" t="s">
        <v>159</v>
      </c>
      <c r="H109" s="908"/>
      <c r="I109" s="908"/>
      <c r="J109" s="907"/>
      <c r="K109" s="906" t="s">
        <v>159</v>
      </c>
      <c r="L109" s="908"/>
      <c r="M109" s="908"/>
      <c r="N109" s="908"/>
      <c r="O109" s="908"/>
      <c r="P109" s="908"/>
      <c r="Q109" s="908"/>
      <c r="R109" s="907"/>
      <c r="S109" s="906" t="s">
        <v>159</v>
      </c>
      <c r="T109" s="908"/>
      <c r="U109" s="908"/>
      <c r="V109" s="908"/>
      <c r="W109" s="907"/>
      <c r="X109" s="730"/>
    </row>
    <row r="110" spans="1:24" ht="11.65" customHeight="1" x14ac:dyDescent="0.25">
      <c r="A110" s="480"/>
      <c r="B110" s="480"/>
      <c r="C110" s="480"/>
      <c r="D110" s="480"/>
      <c r="E110" s="480"/>
      <c r="F110" s="480"/>
      <c r="G110" s="480"/>
      <c r="H110" s="480"/>
      <c r="I110" s="480"/>
      <c r="J110" s="480"/>
      <c r="K110" s="480"/>
      <c r="L110" s="480"/>
      <c r="M110" s="480"/>
      <c r="N110" s="480"/>
      <c r="O110" s="480"/>
      <c r="P110" s="480"/>
      <c r="Q110" s="480"/>
      <c r="R110" s="480"/>
      <c r="S110" s="480"/>
      <c r="T110" s="480"/>
      <c r="U110" s="480"/>
      <c r="V110" s="480"/>
      <c r="W110" s="480"/>
    </row>
    <row r="111" spans="1:24" ht="28.35" customHeight="1" x14ac:dyDescent="0.25">
      <c r="A111" s="681" t="s">
        <v>1050</v>
      </c>
      <c r="B111" s="909" t="s">
        <v>1051</v>
      </c>
      <c r="C111" s="911"/>
      <c r="D111" s="910"/>
      <c r="E111" s="909" t="s">
        <v>1052</v>
      </c>
      <c r="F111" s="911"/>
      <c r="G111" s="911"/>
      <c r="H111" s="910"/>
      <c r="I111" s="909" t="s">
        <v>1053</v>
      </c>
      <c r="J111" s="911"/>
      <c r="K111" s="911"/>
      <c r="L111" s="910"/>
      <c r="M111" s="909" t="s">
        <v>1054</v>
      </c>
      <c r="N111" s="911"/>
      <c r="O111" s="911"/>
      <c r="P111" s="911"/>
      <c r="Q111" s="911"/>
      <c r="R111" s="911"/>
      <c r="S111" s="910"/>
      <c r="T111" s="909" t="s">
        <v>1055</v>
      </c>
      <c r="U111" s="911"/>
      <c r="V111" s="911"/>
      <c r="W111" s="910"/>
      <c r="X111" s="483"/>
    </row>
    <row r="112" spans="1:24" ht="11.65" customHeight="1" x14ac:dyDescent="0.25">
      <c r="A112" s="664" t="s">
        <v>1056</v>
      </c>
      <c r="B112" s="898">
        <v>1776469.06</v>
      </c>
      <c r="C112" s="899"/>
      <c r="D112" s="900"/>
      <c r="E112" s="898" t="s">
        <v>159</v>
      </c>
      <c r="F112" s="899"/>
      <c r="G112" s="899"/>
      <c r="H112" s="900"/>
      <c r="I112" s="898" t="s">
        <v>159</v>
      </c>
      <c r="J112" s="899"/>
      <c r="K112" s="899"/>
      <c r="L112" s="900"/>
      <c r="M112" s="898" t="s">
        <v>159</v>
      </c>
      <c r="N112" s="899"/>
      <c r="O112" s="899"/>
      <c r="P112" s="899"/>
      <c r="Q112" s="899"/>
      <c r="R112" s="899"/>
      <c r="S112" s="900"/>
      <c r="T112" s="898" t="s">
        <v>159</v>
      </c>
      <c r="U112" s="899"/>
      <c r="V112" s="899"/>
      <c r="W112" s="900"/>
      <c r="X112" s="730"/>
    </row>
    <row r="113" spans="1:24" ht="11.65" customHeight="1" x14ac:dyDescent="0.25">
      <c r="A113" s="480"/>
      <c r="B113" s="480"/>
      <c r="C113" s="480"/>
      <c r="D113" s="480"/>
      <c r="E113" s="480"/>
      <c r="F113" s="480"/>
      <c r="G113" s="480"/>
      <c r="H113" s="480"/>
      <c r="I113" s="480"/>
      <c r="J113" s="480"/>
      <c r="K113" s="480"/>
      <c r="L113" s="480"/>
      <c r="M113" s="480"/>
      <c r="N113" s="480"/>
      <c r="O113" s="480"/>
      <c r="P113" s="480"/>
      <c r="Q113" s="480"/>
      <c r="R113" s="480"/>
      <c r="S113" s="480"/>
      <c r="T113" s="480"/>
      <c r="U113" s="480"/>
      <c r="V113" s="480"/>
      <c r="W113" s="480"/>
    </row>
    <row r="114" spans="1:24" ht="51.6" customHeight="1" x14ac:dyDescent="0.25">
      <c r="A114" s="681" t="s">
        <v>1057</v>
      </c>
      <c r="B114" s="679" t="s">
        <v>1058</v>
      </c>
      <c r="C114" s="909" t="s">
        <v>1059</v>
      </c>
      <c r="D114" s="911"/>
      <c r="E114" s="911"/>
      <c r="F114" s="911"/>
      <c r="G114" s="910"/>
      <c r="H114" s="909" t="s">
        <v>1060</v>
      </c>
      <c r="I114" s="911"/>
      <c r="J114" s="910"/>
      <c r="K114" s="909" t="s">
        <v>1061</v>
      </c>
      <c r="L114" s="911"/>
      <c r="M114" s="911"/>
      <c r="N114" s="910"/>
      <c r="O114" s="909" t="s">
        <v>1062</v>
      </c>
      <c r="P114" s="911"/>
      <c r="Q114" s="911"/>
      <c r="R114" s="911"/>
      <c r="S114" s="911"/>
      <c r="T114" s="911"/>
      <c r="U114" s="910"/>
      <c r="V114" s="909" t="s">
        <v>1063</v>
      </c>
      <c r="W114" s="910"/>
      <c r="X114" s="483"/>
    </row>
    <row r="115" spans="1:24" ht="11.65" customHeight="1" x14ac:dyDescent="0.25">
      <c r="A115" s="699" t="s">
        <v>1064</v>
      </c>
      <c r="B115" s="690" t="s">
        <v>159</v>
      </c>
      <c r="C115" s="912" t="s">
        <v>159</v>
      </c>
      <c r="D115" s="914"/>
      <c r="E115" s="914"/>
      <c r="F115" s="914"/>
      <c r="G115" s="913"/>
      <c r="H115" s="912" t="s">
        <v>159</v>
      </c>
      <c r="I115" s="914"/>
      <c r="J115" s="913"/>
      <c r="K115" s="912" t="s">
        <v>159</v>
      </c>
      <c r="L115" s="914"/>
      <c r="M115" s="914"/>
      <c r="N115" s="913"/>
      <c r="O115" s="912" t="s">
        <v>159</v>
      </c>
      <c r="P115" s="914"/>
      <c r="Q115" s="914"/>
      <c r="R115" s="914"/>
      <c r="S115" s="914"/>
      <c r="T115" s="914"/>
      <c r="U115" s="913"/>
      <c r="V115" s="912" t="s">
        <v>159</v>
      </c>
      <c r="W115" s="913"/>
      <c r="X115" s="730"/>
    </row>
    <row r="116" spans="1:24" ht="10.9" customHeight="1" x14ac:dyDescent="0.25">
      <c r="A116" s="697" t="s">
        <v>1065</v>
      </c>
      <c r="B116" s="687" t="s">
        <v>159</v>
      </c>
      <c r="C116" s="903" t="s">
        <v>159</v>
      </c>
      <c r="D116" s="905"/>
      <c r="E116" s="905"/>
      <c r="F116" s="905"/>
      <c r="G116" s="904"/>
      <c r="H116" s="903" t="s">
        <v>159</v>
      </c>
      <c r="I116" s="905"/>
      <c r="J116" s="904"/>
      <c r="K116" s="903" t="s">
        <v>159</v>
      </c>
      <c r="L116" s="905"/>
      <c r="M116" s="905"/>
      <c r="N116" s="904"/>
      <c r="O116" s="903" t="s">
        <v>159</v>
      </c>
      <c r="P116" s="905"/>
      <c r="Q116" s="905"/>
      <c r="R116" s="905"/>
      <c r="S116" s="905"/>
      <c r="T116" s="905"/>
      <c r="U116" s="904"/>
      <c r="V116" s="903" t="s">
        <v>159</v>
      </c>
      <c r="W116" s="904"/>
      <c r="X116" s="730"/>
    </row>
    <row r="117" spans="1:24" ht="11.65" customHeight="1" x14ac:dyDescent="0.25">
      <c r="A117" s="698" t="s">
        <v>1066</v>
      </c>
      <c r="B117" s="686" t="s">
        <v>159</v>
      </c>
      <c r="C117" s="906" t="s">
        <v>159</v>
      </c>
      <c r="D117" s="908"/>
      <c r="E117" s="908"/>
      <c r="F117" s="908"/>
      <c r="G117" s="907"/>
      <c r="H117" s="906" t="s">
        <v>159</v>
      </c>
      <c r="I117" s="908"/>
      <c r="J117" s="907"/>
      <c r="K117" s="906" t="s">
        <v>159</v>
      </c>
      <c r="L117" s="908"/>
      <c r="M117" s="908"/>
      <c r="N117" s="907"/>
      <c r="O117" s="906" t="s">
        <v>159</v>
      </c>
      <c r="P117" s="908"/>
      <c r="Q117" s="908"/>
      <c r="R117" s="908"/>
      <c r="S117" s="908"/>
      <c r="T117" s="908"/>
      <c r="U117" s="907"/>
      <c r="V117" s="906" t="s">
        <v>159</v>
      </c>
      <c r="W117" s="907"/>
      <c r="X117" s="730"/>
    </row>
    <row r="118" spans="1:24" ht="11.65" customHeight="1" x14ac:dyDescent="0.25">
      <c r="A118" s="480"/>
      <c r="B118" s="480"/>
      <c r="C118" s="480"/>
      <c r="D118" s="480"/>
      <c r="E118" s="480"/>
      <c r="F118" s="480"/>
      <c r="G118" s="480"/>
      <c r="H118" s="480"/>
      <c r="I118" s="480"/>
      <c r="J118" s="480"/>
      <c r="K118" s="480"/>
      <c r="L118" s="480"/>
      <c r="M118" s="480"/>
      <c r="N118" s="480"/>
      <c r="O118" s="480"/>
      <c r="P118" s="480"/>
      <c r="Q118" s="480"/>
      <c r="R118" s="480"/>
      <c r="S118" s="480"/>
      <c r="T118" s="480"/>
      <c r="U118" s="480"/>
      <c r="V118" s="480"/>
      <c r="W118" s="480"/>
    </row>
    <row r="119" spans="1:24" ht="11.65" customHeight="1" x14ac:dyDescent="0.25">
      <c r="A119" s="799" t="s">
        <v>1067</v>
      </c>
      <c r="B119" s="823"/>
      <c r="C119" s="823"/>
      <c r="D119" s="823"/>
      <c r="E119" s="823"/>
      <c r="F119" s="823"/>
      <c r="G119" s="823"/>
      <c r="H119" s="823"/>
      <c r="I119" s="823"/>
      <c r="J119" s="823"/>
      <c r="K119" s="823"/>
      <c r="L119" s="823"/>
      <c r="M119" s="823"/>
      <c r="N119" s="823"/>
      <c r="O119" s="823"/>
      <c r="P119" s="823"/>
      <c r="Q119" s="823"/>
      <c r="R119" s="823"/>
      <c r="S119" s="823"/>
      <c r="T119" s="823"/>
      <c r="U119" s="823"/>
      <c r="V119" s="823"/>
      <c r="W119" s="800"/>
      <c r="X119" s="483"/>
    </row>
    <row r="120" spans="1:24" ht="34.15" customHeight="1" x14ac:dyDescent="0.25">
      <c r="A120" s="679" t="s">
        <v>1068</v>
      </c>
      <c r="B120" s="909" t="s">
        <v>359</v>
      </c>
      <c r="C120" s="911"/>
      <c r="D120" s="911"/>
      <c r="E120" s="910"/>
      <c r="F120" s="909" t="s">
        <v>360</v>
      </c>
      <c r="G120" s="911"/>
      <c r="H120" s="910"/>
      <c r="I120" s="909" t="s">
        <v>361</v>
      </c>
      <c r="J120" s="911"/>
      <c r="K120" s="910"/>
      <c r="L120" s="909" t="s">
        <v>362</v>
      </c>
      <c r="M120" s="911"/>
      <c r="N120" s="911"/>
      <c r="O120" s="911"/>
      <c r="P120" s="911"/>
      <c r="Q120" s="910"/>
      <c r="R120" s="909" t="s">
        <v>1012</v>
      </c>
      <c r="S120" s="911"/>
      <c r="T120" s="911"/>
      <c r="U120" s="911"/>
      <c r="V120" s="911"/>
      <c r="W120" s="910"/>
      <c r="X120" s="483"/>
    </row>
    <row r="121" spans="1:24" ht="11.65" customHeight="1" x14ac:dyDescent="0.25">
      <c r="A121" s="699" t="s">
        <v>1069</v>
      </c>
      <c r="B121" s="912">
        <v>21690187.399999999</v>
      </c>
      <c r="C121" s="914"/>
      <c r="D121" s="914"/>
      <c r="E121" s="913"/>
      <c r="F121" s="912">
        <v>5327054.16</v>
      </c>
      <c r="G121" s="914"/>
      <c r="H121" s="913"/>
      <c r="I121" s="912">
        <v>4964458.46</v>
      </c>
      <c r="J121" s="914"/>
      <c r="K121" s="913"/>
      <c r="L121" s="912">
        <v>4430516.82</v>
      </c>
      <c r="M121" s="914"/>
      <c r="N121" s="914"/>
      <c r="O121" s="914"/>
      <c r="P121" s="914"/>
      <c r="Q121" s="913"/>
      <c r="R121" s="912" t="s">
        <v>159</v>
      </c>
      <c r="S121" s="914"/>
      <c r="T121" s="914"/>
      <c r="U121" s="914"/>
      <c r="V121" s="914"/>
      <c r="W121" s="913"/>
      <c r="X121" s="730"/>
    </row>
    <row r="122" spans="1:24" ht="10.9" customHeight="1" x14ac:dyDescent="0.25">
      <c r="A122" s="697" t="s">
        <v>1070</v>
      </c>
      <c r="B122" s="903">
        <v>3935101.41</v>
      </c>
      <c r="C122" s="905"/>
      <c r="D122" s="905"/>
      <c r="E122" s="904"/>
      <c r="F122" s="903">
        <v>2351257.92</v>
      </c>
      <c r="G122" s="905"/>
      <c r="H122" s="904"/>
      <c r="I122" s="903">
        <v>2299933.04</v>
      </c>
      <c r="J122" s="905"/>
      <c r="K122" s="904"/>
      <c r="L122" s="903">
        <v>2125998.2999999998</v>
      </c>
      <c r="M122" s="905"/>
      <c r="N122" s="905"/>
      <c r="O122" s="905"/>
      <c r="P122" s="905"/>
      <c r="Q122" s="904"/>
      <c r="R122" s="903" t="s">
        <v>159</v>
      </c>
      <c r="S122" s="905"/>
      <c r="T122" s="905"/>
      <c r="U122" s="905"/>
      <c r="V122" s="905"/>
      <c r="W122" s="904"/>
      <c r="X122" s="730"/>
    </row>
    <row r="123" spans="1:24" ht="11.65" customHeight="1" x14ac:dyDescent="0.25">
      <c r="A123" s="697" t="s">
        <v>1071</v>
      </c>
      <c r="B123" s="903">
        <v>13375085.58</v>
      </c>
      <c r="C123" s="905"/>
      <c r="D123" s="905"/>
      <c r="E123" s="904"/>
      <c r="F123" s="903">
        <v>1170430.83</v>
      </c>
      <c r="G123" s="905"/>
      <c r="H123" s="904"/>
      <c r="I123" s="903">
        <v>886148.69</v>
      </c>
      <c r="J123" s="905"/>
      <c r="K123" s="904"/>
      <c r="L123" s="903">
        <v>668289.01</v>
      </c>
      <c r="M123" s="905"/>
      <c r="N123" s="905"/>
      <c r="O123" s="905"/>
      <c r="P123" s="905"/>
      <c r="Q123" s="904"/>
      <c r="R123" s="903" t="s">
        <v>159</v>
      </c>
      <c r="S123" s="905"/>
      <c r="T123" s="905"/>
      <c r="U123" s="905"/>
      <c r="V123" s="905"/>
      <c r="W123" s="904"/>
      <c r="X123" s="730"/>
    </row>
    <row r="124" spans="1:24" ht="11.65" customHeight="1" x14ac:dyDescent="0.25">
      <c r="A124" s="697" t="s">
        <v>1072</v>
      </c>
      <c r="B124" s="903">
        <v>289661.53999999998</v>
      </c>
      <c r="C124" s="905"/>
      <c r="D124" s="905"/>
      <c r="E124" s="904"/>
      <c r="F124" s="903">
        <v>24518.97</v>
      </c>
      <c r="G124" s="905"/>
      <c r="H124" s="904"/>
      <c r="I124" s="903">
        <v>24518.97</v>
      </c>
      <c r="J124" s="905"/>
      <c r="K124" s="904"/>
      <c r="L124" s="903">
        <v>16345.98</v>
      </c>
      <c r="M124" s="905"/>
      <c r="N124" s="905"/>
      <c r="O124" s="905"/>
      <c r="P124" s="905"/>
      <c r="Q124" s="904"/>
      <c r="R124" s="903" t="s">
        <v>159</v>
      </c>
      <c r="S124" s="905"/>
      <c r="T124" s="905"/>
      <c r="U124" s="905"/>
      <c r="V124" s="905"/>
      <c r="W124" s="904"/>
      <c r="X124" s="730"/>
    </row>
    <row r="125" spans="1:24" ht="11.65" customHeight="1" x14ac:dyDescent="0.25">
      <c r="A125" s="697" t="s">
        <v>1073</v>
      </c>
      <c r="B125" s="903">
        <v>1027443.45</v>
      </c>
      <c r="C125" s="905"/>
      <c r="D125" s="905"/>
      <c r="E125" s="904"/>
      <c r="F125" s="903">
        <v>675065.31</v>
      </c>
      <c r="G125" s="905"/>
      <c r="H125" s="904"/>
      <c r="I125" s="903">
        <v>674234.48</v>
      </c>
      <c r="J125" s="905"/>
      <c r="K125" s="904"/>
      <c r="L125" s="903">
        <v>610290.43000000005</v>
      </c>
      <c r="M125" s="905"/>
      <c r="N125" s="905"/>
      <c r="O125" s="905"/>
      <c r="P125" s="905"/>
      <c r="Q125" s="904"/>
      <c r="R125" s="903" t="s">
        <v>159</v>
      </c>
      <c r="S125" s="905"/>
      <c r="T125" s="905"/>
      <c r="U125" s="905"/>
      <c r="V125" s="905"/>
      <c r="W125" s="904"/>
      <c r="X125" s="730"/>
    </row>
    <row r="126" spans="1:24" ht="10.9" customHeight="1" x14ac:dyDescent="0.25">
      <c r="A126" s="697" t="s">
        <v>1074</v>
      </c>
      <c r="B126" s="903">
        <v>109658</v>
      </c>
      <c r="C126" s="905"/>
      <c r="D126" s="905"/>
      <c r="E126" s="904"/>
      <c r="F126" s="903">
        <v>45177.31</v>
      </c>
      <c r="G126" s="905"/>
      <c r="H126" s="904"/>
      <c r="I126" s="903">
        <v>33686.160000000003</v>
      </c>
      <c r="J126" s="905"/>
      <c r="K126" s="904"/>
      <c r="L126" s="903">
        <v>30862.5</v>
      </c>
      <c r="M126" s="905"/>
      <c r="N126" s="905"/>
      <c r="O126" s="905"/>
      <c r="P126" s="905"/>
      <c r="Q126" s="904"/>
      <c r="R126" s="903" t="s">
        <v>159</v>
      </c>
      <c r="S126" s="905"/>
      <c r="T126" s="905"/>
      <c r="U126" s="905"/>
      <c r="V126" s="905"/>
      <c r="W126" s="904"/>
      <c r="X126" s="730"/>
    </row>
    <row r="127" spans="1:24" ht="11.65" customHeight="1" x14ac:dyDescent="0.25">
      <c r="A127" s="697" t="s">
        <v>1075</v>
      </c>
      <c r="B127" s="903">
        <v>732504</v>
      </c>
      <c r="C127" s="905"/>
      <c r="D127" s="905"/>
      <c r="E127" s="904"/>
      <c r="F127" s="903">
        <v>462972.61</v>
      </c>
      <c r="G127" s="905"/>
      <c r="H127" s="904"/>
      <c r="I127" s="903">
        <v>448305.91</v>
      </c>
      <c r="J127" s="905"/>
      <c r="K127" s="904"/>
      <c r="L127" s="903">
        <v>405068.71</v>
      </c>
      <c r="M127" s="905"/>
      <c r="N127" s="905"/>
      <c r="O127" s="905"/>
      <c r="P127" s="905"/>
      <c r="Q127" s="904"/>
      <c r="R127" s="903" t="s">
        <v>159</v>
      </c>
      <c r="S127" s="905"/>
      <c r="T127" s="905"/>
      <c r="U127" s="905"/>
      <c r="V127" s="905"/>
      <c r="W127" s="904"/>
      <c r="X127" s="730"/>
    </row>
    <row r="128" spans="1:24" ht="11.65" customHeight="1" x14ac:dyDescent="0.25">
      <c r="A128" s="698" t="s">
        <v>1076</v>
      </c>
      <c r="B128" s="906">
        <v>2220733.42</v>
      </c>
      <c r="C128" s="908"/>
      <c r="D128" s="908"/>
      <c r="E128" s="907"/>
      <c r="F128" s="906">
        <v>597631.21</v>
      </c>
      <c r="G128" s="908"/>
      <c r="H128" s="907"/>
      <c r="I128" s="906">
        <v>597631.21</v>
      </c>
      <c r="J128" s="908"/>
      <c r="K128" s="907"/>
      <c r="L128" s="906">
        <v>573661.89</v>
      </c>
      <c r="M128" s="908"/>
      <c r="N128" s="908"/>
      <c r="O128" s="908"/>
      <c r="P128" s="908"/>
      <c r="Q128" s="907"/>
      <c r="R128" s="906" t="s">
        <v>159</v>
      </c>
      <c r="S128" s="908"/>
      <c r="T128" s="908"/>
      <c r="U128" s="908"/>
      <c r="V128" s="908"/>
      <c r="W128" s="907"/>
      <c r="X128" s="730"/>
    </row>
    <row r="129" spans="1:24" ht="5.85" customHeight="1" x14ac:dyDescent="0.25">
      <c r="A129" s="482"/>
      <c r="B129" s="482"/>
      <c r="C129" s="482"/>
      <c r="D129" s="482"/>
      <c r="E129" s="482"/>
      <c r="F129" s="482"/>
      <c r="G129" s="482"/>
      <c r="H129" s="482"/>
      <c r="I129" s="482"/>
      <c r="J129" s="482"/>
      <c r="K129" s="482"/>
      <c r="L129" s="482"/>
      <c r="M129" s="482"/>
      <c r="N129" s="482"/>
      <c r="O129" s="482"/>
      <c r="P129" s="482"/>
      <c r="Q129" s="482"/>
      <c r="R129" s="482"/>
      <c r="S129" s="482"/>
      <c r="T129" s="482"/>
      <c r="U129" s="482"/>
      <c r="V129" s="482"/>
      <c r="W129" s="482"/>
    </row>
    <row r="130" spans="1:24" ht="25.5" customHeight="1" x14ac:dyDescent="0.25"/>
    <row r="131" spans="1:24" ht="11.65" customHeight="1" x14ac:dyDescent="0.25">
      <c r="A131" s="865" t="s">
        <v>2329</v>
      </c>
      <c r="B131" s="865"/>
      <c r="C131" s="865"/>
      <c r="D131" s="865"/>
      <c r="E131" s="865"/>
      <c r="F131" s="865"/>
      <c r="G131" s="865"/>
      <c r="H131" s="865"/>
      <c r="I131" s="865"/>
      <c r="J131" s="865"/>
      <c r="K131" s="865"/>
      <c r="L131" s="865"/>
      <c r="M131" s="865"/>
      <c r="N131" s="865"/>
      <c r="O131" s="865"/>
      <c r="P131" s="865"/>
      <c r="Q131" s="865"/>
      <c r="R131" s="865"/>
      <c r="S131" s="865"/>
      <c r="T131" s="865"/>
      <c r="U131" s="865"/>
      <c r="V131" s="865"/>
      <c r="W131" s="865"/>
    </row>
    <row r="132" spans="1:24" ht="11.65" customHeight="1" x14ac:dyDescent="0.25">
      <c r="A132" s="797" t="s">
        <v>134</v>
      </c>
      <c r="B132" s="797"/>
      <c r="C132" s="797"/>
      <c r="W132" s="693" t="s">
        <v>1077</v>
      </c>
    </row>
    <row r="133" spans="1:24" ht="10.9" customHeight="1" x14ac:dyDescent="0.25">
      <c r="A133" s="797" t="s">
        <v>333</v>
      </c>
      <c r="B133" s="797"/>
      <c r="C133" s="797"/>
    </row>
    <row r="134" spans="1:24" ht="11.65" customHeight="1" x14ac:dyDescent="0.25">
      <c r="A134" s="839" t="s">
        <v>964</v>
      </c>
      <c r="B134" s="839"/>
      <c r="C134" s="839"/>
      <c r="D134" s="839"/>
      <c r="E134" s="839"/>
      <c r="F134" s="839"/>
      <c r="G134" s="839"/>
      <c r="H134" s="839"/>
      <c r="I134" s="839"/>
      <c r="J134" s="839"/>
      <c r="K134" s="839"/>
      <c r="L134" s="839"/>
      <c r="M134" s="839"/>
      <c r="N134" s="839"/>
      <c r="O134" s="839"/>
      <c r="P134" s="839"/>
    </row>
    <row r="135" spans="1:24" ht="11.65" customHeight="1" x14ac:dyDescent="0.25">
      <c r="A135" s="797" t="s">
        <v>335</v>
      </c>
      <c r="B135" s="797"/>
      <c r="C135" s="797"/>
    </row>
    <row r="136" spans="1:24" ht="11.65" customHeight="1" x14ac:dyDescent="0.25">
      <c r="A136" s="797" t="s">
        <v>2036</v>
      </c>
      <c r="B136" s="797"/>
      <c r="C136" s="797"/>
    </row>
    <row r="137" spans="1:24" ht="5.0999999999999996" customHeight="1" x14ac:dyDescent="0.25"/>
    <row r="138" spans="1:24" ht="11.65" customHeight="1" x14ac:dyDescent="0.25">
      <c r="A138" s="902" t="s">
        <v>965</v>
      </c>
      <c r="B138" s="902"/>
      <c r="C138" s="902"/>
      <c r="D138" s="479"/>
      <c r="E138" s="479"/>
      <c r="F138" s="479"/>
      <c r="G138" s="479"/>
      <c r="H138" s="479"/>
      <c r="I138" s="479"/>
      <c r="J138" s="479"/>
      <c r="K138" s="479"/>
      <c r="L138" s="479"/>
      <c r="M138" s="479"/>
      <c r="N138" s="479"/>
      <c r="O138" s="479"/>
      <c r="P138" s="887" t="s">
        <v>5</v>
      </c>
      <c r="Q138" s="887"/>
      <c r="R138" s="887"/>
      <c r="S138" s="887"/>
      <c r="T138" s="887"/>
      <c r="U138" s="887"/>
      <c r="V138" s="887"/>
      <c r="W138" s="887"/>
    </row>
    <row r="139" spans="1:24" ht="11.65" customHeight="1" x14ac:dyDescent="0.25">
      <c r="A139" s="799" t="s">
        <v>1078</v>
      </c>
      <c r="B139" s="823"/>
      <c r="C139" s="823"/>
      <c r="D139" s="823"/>
      <c r="E139" s="823"/>
      <c r="F139" s="823"/>
      <c r="G139" s="823"/>
      <c r="H139" s="823"/>
      <c r="I139" s="823"/>
      <c r="J139" s="823"/>
      <c r="K139" s="823"/>
      <c r="L139" s="823"/>
      <c r="M139" s="823"/>
      <c r="N139" s="823"/>
      <c r="O139" s="823"/>
      <c r="P139" s="823"/>
      <c r="Q139" s="823"/>
      <c r="R139" s="823"/>
      <c r="S139" s="823"/>
      <c r="T139" s="823"/>
      <c r="U139" s="823"/>
      <c r="V139" s="823"/>
      <c r="W139" s="800"/>
      <c r="X139" s="483"/>
    </row>
    <row r="140" spans="1:24" ht="34.15" customHeight="1" x14ac:dyDescent="0.25">
      <c r="A140" s="679" t="s">
        <v>1079</v>
      </c>
      <c r="B140" s="909" t="s">
        <v>359</v>
      </c>
      <c r="C140" s="911"/>
      <c r="D140" s="911"/>
      <c r="E140" s="910"/>
      <c r="F140" s="909" t="s">
        <v>360</v>
      </c>
      <c r="G140" s="911"/>
      <c r="H140" s="910"/>
      <c r="I140" s="909" t="s">
        <v>361</v>
      </c>
      <c r="J140" s="911"/>
      <c r="K140" s="910"/>
      <c r="L140" s="909" t="s">
        <v>362</v>
      </c>
      <c r="M140" s="911"/>
      <c r="N140" s="911"/>
      <c r="O140" s="911"/>
      <c r="P140" s="911"/>
      <c r="Q140" s="910"/>
      <c r="R140" s="909" t="s">
        <v>1012</v>
      </c>
      <c r="S140" s="911"/>
      <c r="T140" s="911"/>
      <c r="U140" s="911"/>
      <c r="V140" s="911"/>
      <c r="W140" s="910"/>
      <c r="X140" s="483"/>
    </row>
    <row r="141" spans="1:24" ht="11.65" customHeight="1" x14ac:dyDescent="0.25">
      <c r="A141" s="699" t="s">
        <v>1080</v>
      </c>
      <c r="B141" s="912">
        <v>54007480.869999997</v>
      </c>
      <c r="C141" s="914"/>
      <c r="D141" s="914"/>
      <c r="E141" s="913"/>
      <c r="F141" s="912">
        <v>24368057.309999999</v>
      </c>
      <c r="G141" s="914"/>
      <c r="H141" s="913"/>
      <c r="I141" s="912">
        <v>23967464.280000001</v>
      </c>
      <c r="J141" s="914"/>
      <c r="K141" s="913"/>
      <c r="L141" s="912">
        <v>22410300.870000001</v>
      </c>
      <c r="M141" s="914"/>
      <c r="N141" s="914"/>
      <c r="O141" s="914"/>
      <c r="P141" s="914"/>
      <c r="Q141" s="913"/>
      <c r="R141" s="912" t="s">
        <v>159</v>
      </c>
      <c r="S141" s="914"/>
      <c r="T141" s="914"/>
      <c r="U141" s="914"/>
      <c r="V141" s="914"/>
      <c r="W141" s="913"/>
      <c r="X141" s="730"/>
    </row>
    <row r="142" spans="1:24" ht="11.65" customHeight="1" x14ac:dyDescent="0.25">
      <c r="A142" s="697" t="s">
        <v>1081</v>
      </c>
      <c r="B142" s="903">
        <v>11329882.689999999</v>
      </c>
      <c r="C142" s="905"/>
      <c r="D142" s="905"/>
      <c r="E142" s="904"/>
      <c r="F142" s="903">
        <v>6084920.1299999999</v>
      </c>
      <c r="G142" s="905"/>
      <c r="H142" s="904"/>
      <c r="I142" s="903">
        <v>6033595.25</v>
      </c>
      <c r="J142" s="905"/>
      <c r="K142" s="904"/>
      <c r="L142" s="903">
        <v>5710397.71</v>
      </c>
      <c r="M142" s="905"/>
      <c r="N142" s="905"/>
      <c r="O142" s="905"/>
      <c r="P142" s="905"/>
      <c r="Q142" s="904"/>
      <c r="R142" s="903" t="s">
        <v>159</v>
      </c>
      <c r="S142" s="905"/>
      <c r="T142" s="905"/>
      <c r="U142" s="905"/>
      <c r="V142" s="905"/>
      <c r="W142" s="904"/>
      <c r="X142" s="730"/>
    </row>
    <row r="143" spans="1:24" ht="10.9" customHeight="1" x14ac:dyDescent="0.25">
      <c r="A143" s="697" t="s">
        <v>1082</v>
      </c>
      <c r="B143" s="903">
        <v>7809677.3499999996</v>
      </c>
      <c r="C143" s="905"/>
      <c r="D143" s="905"/>
      <c r="E143" s="904"/>
      <c r="F143" s="903">
        <v>3644583.05</v>
      </c>
      <c r="G143" s="905"/>
      <c r="H143" s="904"/>
      <c r="I143" s="903">
        <v>3607327.92</v>
      </c>
      <c r="J143" s="905"/>
      <c r="K143" s="904"/>
      <c r="L143" s="903">
        <v>3433244.39</v>
      </c>
      <c r="M143" s="905"/>
      <c r="N143" s="905"/>
      <c r="O143" s="905"/>
      <c r="P143" s="905"/>
      <c r="Q143" s="904"/>
      <c r="R143" s="903" t="s">
        <v>159</v>
      </c>
      <c r="S143" s="905"/>
      <c r="T143" s="905"/>
      <c r="U143" s="905"/>
      <c r="V143" s="905"/>
      <c r="W143" s="904"/>
      <c r="X143" s="730"/>
    </row>
    <row r="144" spans="1:24" ht="11.65" customHeight="1" x14ac:dyDescent="0.25">
      <c r="A144" s="697" t="s">
        <v>1083</v>
      </c>
      <c r="B144" s="903">
        <v>3520205.34</v>
      </c>
      <c r="C144" s="905"/>
      <c r="D144" s="905"/>
      <c r="E144" s="904"/>
      <c r="F144" s="903">
        <v>2440337.08</v>
      </c>
      <c r="G144" s="905"/>
      <c r="H144" s="904"/>
      <c r="I144" s="903">
        <v>2426267.33</v>
      </c>
      <c r="J144" s="905"/>
      <c r="K144" s="904"/>
      <c r="L144" s="903">
        <v>2277153.3199999998</v>
      </c>
      <c r="M144" s="905"/>
      <c r="N144" s="905"/>
      <c r="O144" s="905"/>
      <c r="P144" s="905"/>
      <c r="Q144" s="904"/>
      <c r="R144" s="903" t="s">
        <v>159</v>
      </c>
      <c r="S144" s="905"/>
      <c r="T144" s="905"/>
      <c r="U144" s="905"/>
      <c r="V144" s="905"/>
      <c r="W144" s="904"/>
      <c r="X144" s="730"/>
    </row>
    <row r="145" spans="1:24" ht="11.65" customHeight="1" x14ac:dyDescent="0.25">
      <c r="A145" s="698" t="s">
        <v>1084</v>
      </c>
      <c r="B145" s="906">
        <v>42677598.18</v>
      </c>
      <c r="C145" s="908"/>
      <c r="D145" s="908"/>
      <c r="E145" s="907"/>
      <c r="F145" s="906">
        <v>18283137.18</v>
      </c>
      <c r="G145" s="908"/>
      <c r="H145" s="907"/>
      <c r="I145" s="906">
        <v>17933869.030000001</v>
      </c>
      <c r="J145" s="908"/>
      <c r="K145" s="907"/>
      <c r="L145" s="906">
        <v>16699903.16</v>
      </c>
      <c r="M145" s="908"/>
      <c r="N145" s="908"/>
      <c r="O145" s="908"/>
      <c r="P145" s="908"/>
      <c r="Q145" s="907"/>
      <c r="R145" s="906" t="s">
        <v>159</v>
      </c>
      <c r="S145" s="908"/>
      <c r="T145" s="908"/>
      <c r="U145" s="908"/>
      <c r="V145" s="908"/>
      <c r="W145" s="907"/>
      <c r="X145" s="730"/>
    </row>
    <row r="146" spans="1:24" ht="17.45" customHeight="1" x14ac:dyDescent="0.25">
      <c r="A146" s="799" t="s">
        <v>1085</v>
      </c>
      <c r="B146" s="823"/>
      <c r="C146" s="823"/>
      <c r="D146" s="823"/>
      <c r="E146" s="823"/>
      <c r="F146" s="823"/>
      <c r="G146" s="823"/>
      <c r="H146" s="823"/>
      <c r="I146" s="823"/>
      <c r="J146" s="823"/>
      <c r="K146" s="823"/>
      <c r="L146" s="823"/>
      <c r="M146" s="823"/>
      <c r="N146" s="823"/>
      <c r="O146" s="823"/>
      <c r="P146" s="823"/>
      <c r="Q146" s="800"/>
      <c r="R146" s="799" t="s">
        <v>113</v>
      </c>
      <c r="S146" s="823"/>
      <c r="T146" s="823"/>
      <c r="U146" s="823"/>
      <c r="V146" s="823"/>
      <c r="W146" s="800"/>
      <c r="X146" s="483"/>
    </row>
    <row r="147" spans="1:24" ht="10.9" customHeight="1" x14ac:dyDescent="0.25">
      <c r="A147" s="884" t="s">
        <v>1086</v>
      </c>
      <c r="B147" s="885"/>
      <c r="C147" s="885"/>
      <c r="D147" s="885"/>
      <c r="E147" s="885"/>
      <c r="F147" s="885"/>
      <c r="G147" s="885"/>
      <c r="H147" s="885"/>
      <c r="I147" s="885"/>
      <c r="J147" s="885"/>
      <c r="K147" s="885"/>
      <c r="L147" s="885"/>
      <c r="M147" s="885"/>
      <c r="N147" s="885"/>
      <c r="O147" s="885"/>
      <c r="P147" s="885"/>
      <c r="Q147" s="886"/>
      <c r="R147" s="912">
        <v>4964458.46</v>
      </c>
      <c r="S147" s="914"/>
      <c r="T147" s="914"/>
      <c r="U147" s="914"/>
      <c r="V147" s="914"/>
      <c r="W147" s="913"/>
      <c r="X147" s="730"/>
    </row>
    <row r="148" spans="1:24" ht="11.65" customHeight="1" x14ac:dyDescent="0.25">
      <c r="A148" s="864" t="s">
        <v>1087</v>
      </c>
      <c r="B148" s="865"/>
      <c r="C148" s="865"/>
      <c r="D148" s="865"/>
      <c r="E148" s="865"/>
      <c r="F148" s="865"/>
      <c r="G148" s="865"/>
      <c r="H148" s="865"/>
      <c r="I148" s="865"/>
      <c r="J148" s="865"/>
      <c r="K148" s="865"/>
      <c r="L148" s="865"/>
      <c r="M148" s="865"/>
      <c r="N148" s="865"/>
      <c r="O148" s="865"/>
      <c r="P148" s="865"/>
      <c r="Q148" s="866"/>
      <c r="R148" s="903">
        <v>9337234.6999999993</v>
      </c>
      <c r="S148" s="905"/>
      <c r="T148" s="905"/>
      <c r="U148" s="905"/>
      <c r="V148" s="905"/>
      <c r="W148" s="904"/>
      <c r="X148" s="730"/>
    </row>
    <row r="149" spans="1:24" ht="11.65" customHeight="1" x14ac:dyDescent="0.25">
      <c r="A149" s="864" t="s">
        <v>1088</v>
      </c>
      <c r="B149" s="865"/>
      <c r="C149" s="865"/>
      <c r="D149" s="865"/>
      <c r="E149" s="865"/>
      <c r="F149" s="865"/>
      <c r="G149" s="865"/>
      <c r="H149" s="865"/>
      <c r="I149" s="865"/>
      <c r="J149" s="865"/>
      <c r="K149" s="865"/>
      <c r="L149" s="865"/>
      <c r="M149" s="865"/>
      <c r="N149" s="865"/>
      <c r="O149" s="865"/>
      <c r="P149" s="865"/>
      <c r="Q149" s="866"/>
      <c r="R149" s="903" t="s">
        <v>159</v>
      </c>
      <c r="S149" s="905"/>
      <c r="T149" s="905"/>
      <c r="U149" s="905"/>
      <c r="V149" s="905"/>
      <c r="W149" s="904"/>
      <c r="X149" s="730"/>
    </row>
    <row r="150" spans="1:24" ht="11.65" customHeight="1" x14ac:dyDescent="0.25">
      <c r="A150" s="864" t="s">
        <v>1686</v>
      </c>
      <c r="B150" s="865"/>
      <c r="C150" s="865"/>
      <c r="D150" s="865"/>
      <c r="E150" s="865"/>
      <c r="F150" s="865"/>
      <c r="G150" s="865"/>
      <c r="H150" s="865"/>
      <c r="I150" s="865"/>
      <c r="J150" s="865"/>
      <c r="K150" s="865"/>
      <c r="L150" s="865"/>
      <c r="M150" s="865"/>
      <c r="N150" s="865"/>
      <c r="O150" s="865"/>
      <c r="P150" s="865"/>
      <c r="Q150" s="866"/>
      <c r="R150" s="903" t="s">
        <v>159</v>
      </c>
      <c r="S150" s="905"/>
      <c r="T150" s="905"/>
      <c r="U150" s="905"/>
      <c r="V150" s="905"/>
      <c r="W150" s="904"/>
      <c r="X150" s="730"/>
    </row>
    <row r="151" spans="1:24" ht="10.9" customHeight="1" x14ac:dyDescent="0.25">
      <c r="A151" s="864" t="s">
        <v>1089</v>
      </c>
      <c r="B151" s="865"/>
      <c r="C151" s="865"/>
      <c r="D151" s="865"/>
      <c r="E151" s="865"/>
      <c r="F151" s="865"/>
      <c r="G151" s="865"/>
      <c r="H151" s="865"/>
      <c r="I151" s="865"/>
      <c r="J151" s="865"/>
      <c r="K151" s="865"/>
      <c r="L151" s="865"/>
      <c r="M151" s="865"/>
      <c r="N151" s="865"/>
      <c r="O151" s="865"/>
      <c r="P151" s="865"/>
      <c r="Q151" s="866"/>
      <c r="R151" s="903" t="s">
        <v>159</v>
      </c>
      <c r="S151" s="905"/>
      <c r="T151" s="905"/>
      <c r="U151" s="905"/>
      <c r="V151" s="905"/>
      <c r="W151" s="904"/>
      <c r="X151" s="730"/>
    </row>
    <row r="152" spans="1:24" ht="11.65" customHeight="1" x14ac:dyDescent="0.25">
      <c r="A152" s="867" t="s">
        <v>2334</v>
      </c>
      <c r="B152" s="868"/>
      <c r="C152" s="868"/>
      <c r="D152" s="868"/>
      <c r="E152" s="868"/>
      <c r="F152" s="868"/>
      <c r="G152" s="868"/>
      <c r="H152" s="868"/>
      <c r="I152" s="868"/>
      <c r="J152" s="868"/>
      <c r="K152" s="868"/>
      <c r="L152" s="868"/>
      <c r="M152" s="868"/>
      <c r="N152" s="868"/>
      <c r="O152" s="868"/>
      <c r="P152" s="868"/>
      <c r="Q152" s="869"/>
      <c r="R152" s="906" t="s">
        <v>159</v>
      </c>
      <c r="S152" s="908"/>
      <c r="T152" s="908"/>
      <c r="U152" s="908"/>
      <c r="V152" s="908"/>
      <c r="W152" s="907"/>
      <c r="X152" s="730"/>
    </row>
    <row r="153" spans="1:24" ht="11.65" customHeight="1" x14ac:dyDescent="0.25">
      <c r="A153" s="939" t="s">
        <v>1090</v>
      </c>
      <c r="B153" s="940"/>
      <c r="C153" s="940"/>
      <c r="D153" s="940"/>
      <c r="E153" s="940"/>
      <c r="F153" s="940"/>
      <c r="G153" s="940"/>
      <c r="H153" s="940"/>
      <c r="I153" s="940"/>
      <c r="J153" s="940"/>
      <c r="K153" s="940"/>
      <c r="L153" s="940"/>
      <c r="M153" s="940"/>
      <c r="N153" s="940"/>
      <c r="O153" s="940"/>
      <c r="P153" s="940"/>
      <c r="Q153" s="941"/>
      <c r="R153" s="895">
        <v>14301693.16</v>
      </c>
      <c r="S153" s="897"/>
      <c r="T153" s="897"/>
      <c r="U153" s="897"/>
      <c r="V153" s="897"/>
      <c r="W153" s="896"/>
      <c r="X153" s="730"/>
    </row>
    <row r="154" spans="1:24" ht="11.65" customHeight="1" x14ac:dyDescent="0.25">
      <c r="A154" s="480"/>
      <c r="B154" s="480"/>
      <c r="C154" s="480"/>
      <c r="D154" s="480"/>
      <c r="E154" s="480"/>
      <c r="F154" s="480"/>
      <c r="G154" s="480"/>
      <c r="H154" s="480"/>
      <c r="I154" s="480"/>
      <c r="J154" s="480"/>
      <c r="K154" s="480"/>
      <c r="L154" s="480"/>
      <c r="M154" s="480"/>
      <c r="N154" s="480"/>
      <c r="O154" s="480"/>
      <c r="P154" s="480"/>
      <c r="Q154" s="480"/>
      <c r="R154" s="480"/>
      <c r="S154" s="480"/>
      <c r="T154" s="480"/>
      <c r="U154" s="480"/>
      <c r="V154" s="480"/>
      <c r="W154" s="480"/>
    </row>
    <row r="155" spans="1:24" ht="16.7" customHeight="1" x14ac:dyDescent="0.25">
      <c r="A155" s="681" t="s">
        <v>1091</v>
      </c>
      <c r="B155" s="909" t="s">
        <v>1092</v>
      </c>
      <c r="C155" s="911"/>
      <c r="D155" s="911"/>
      <c r="E155" s="911"/>
      <c r="F155" s="911"/>
      <c r="G155" s="911"/>
      <c r="H155" s="910"/>
      <c r="I155" s="909" t="s">
        <v>1093</v>
      </c>
      <c r="J155" s="911"/>
      <c r="K155" s="911"/>
      <c r="L155" s="911"/>
      <c r="M155" s="911"/>
      <c r="N155" s="911"/>
      <c r="O155" s="911"/>
      <c r="P155" s="911"/>
      <c r="Q155" s="910"/>
      <c r="R155" s="909" t="s">
        <v>1094</v>
      </c>
      <c r="S155" s="911"/>
      <c r="T155" s="911"/>
      <c r="U155" s="911"/>
      <c r="V155" s="911"/>
      <c r="W155" s="910"/>
      <c r="X155" s="483"/>
    </row>
    <row r="156" spans="1:24" ht="11.65" customHeight="1" x14ac:dyDescent="0.25">
      <c r="A156" s="664" t="s">
        <v>1095</v>
      </c>
      <c r="B156" s="898">
        <v>14737513.66</v>
      </c>
      <c r="C156" s="899"/>
      <c r="D156" s="899"/>
      <c r="E156" s="899"/>
      <c r="F156" s="899"/>
      <c r="G156" s="899"/>
      <c r="H156" s="900"/>
      <c r="I156" s="898">
        <v>14301693.16</v>
      </c>
      <c r="J156" s="899"/>
      <c r="K156" s="899"/>
      <c r="L156" s="899"/>
      <c r="M156" s="899"/>
      <c r="N156" s="899"/>
      <c r="O156" s="899"/>
      <c r="P156" s="899"/>
      <c r="Q156" s="900"/>
      <c r="R156" s="898">
        <v>24.26</v>
      </c>
      <c r="S156" s="899"/>
      <c r="T156" s="899"/>
      <c r="U156" s="899"/>
      <c r="V156" s="899"/>
      <c r="W156" s="900"/>
      <c r="X156" s="730"/>
    </row>
    <row r="157" spans="1:24" ht="11.65" customHeight="1" x14ac:dyDescent="0.25">
      <c r="A157" s="480"/>
      <c r="B157" s="480"/>
      <c r="C157" s="480"/>
      <c r="D157" s="480"/>
      <c r="E157" s="480"/>
      <c r="F157" s="480"/>
      <c r="G157" s="480"/>
      <c r="H157" s="480"/>
      <c r="I157" s="480"/>
      <c r="J157" s="480"/>
      <c r="K157" s="480"/>
      <c r="L157" s="480"/>
      <c r="M157" s="480"/>
      <c r="N157" s="480"/>
      <c r="O157" s="480"/>
      <c r="P157" s="480"/>
      <c r="Q157" s="480"/>
      <c r="R157" s="480"/>
      <c r="S157" s="480"/>
      <c r="T157" s="480"/>
      <c r="U157" s="480"/>
      <c r="V157" s="480"/>
      <c r="W157" s="480"/>
    </row>
    <row r="158" spans="1:24" ht="28.35" customHeight="1" x14ac:dyDescent="0.25">
      <c r="A158" s="679" t="s">
        <v>1096</v>
      </c>
      <c r="B158" s="909" t="s">
        <v>1097</v>
      </c>
      <c r="C158" s="911"/>
      <c r="D158" s="911"/>
      <c r="E158" s="910"/>
      <c r="F158" s="909" t="s">
        <v>1098</v>
      </c>
      <c r="G158" s="911"/>
      <c r="H158" s="910"/>
      <c r="I158" s="909" t="s">
        <v>1099</v>
      </c>
      <c r="J158" s="911"/>
      <c r="K158" s="910"/>
      <c r="L158" s="909" t="s">
        <v>1100</v>
      </c>
      <c r="M158" s="911"/>
      <c r="N158" s="911"/>
      <c r="O158" s="911"/>
      <c r="P158" s="911"/>
      <c r="Q158" s="910"/>
      <c r="R158" s="909" t="s">
        <v>1101</v>
      </c>
      <c r="S158" s="911"/>
      <c r="T158" s="911"/>
      <c r="U158" s="911"/>
      <c r="V158" s="911"/>
      <c r="W158" s="910"/>
      <c r="X158" s="483"/>
    </row>
    <row r="159" spans="1:24" ht="11.65" customHeight="1" x14ac:dyDescent="0.25">
      <c r="A159" s="699" t="s">
        <v>1102</v>
      </c>
      <c r="B159" s="912">
        <v>6274346.6500000004</v>
      </c>
      <c r="C159" s="914"/>
      <c r="D159" s="914"/>
      <c r="E159" s="913"/>
      <c r="F159" s="912">
        <v>116830.25</v>
      </c>
      <c r="G159" s="914"/>
      <c r="H159" s="913"/>
      <c r="I159" s="912">
        <v>1645287.27</v>
      </c>
      <c r="J159" s="914"/>
      <c r="K159" s="913"/>
      <c r="L159" s="912" t="s">
        <v>159</v>
      </c>
      <c r="M159" s="914"/>
      <c r="N159" s="914"/>
      <c r="O159" s="914"/>
      <c r="P159" s="914"/>
      <c r="Q159" s="913"/>
      <c r="R159" s="912">
        <v>4629059.38</v>
      </c>
      <c r="S159" s="914"/>
      <c r="T159" s="914"/>
      <c r="U159" s="914"/>
      <c r="V159" s="914"/>
      <c r="W159" s="913"/>
      <c r="X159" s="730"/>
    </row>
    <row r="160" spans="1:24" ht="11.65" customHeight="1" x14ac:dyDescent="0.25">
      <c r="A160" s="697" t="s">
        <v>1103</v>
      </c>
      <c r="B160" s="903">
        <v>6065218</v>
      </c>
      <c r="C160" s="905"/>
      <c r="D160" s="905"/>
      <c r="E160" s="904"/>
      <c r="F160" s="903">
        <v>100789.94</v>
      </c>
      <c r="G160" s="905"/>
      <c r="H160" s="904"/>
      <c r="I160" s="903">
        <v>1436158.62</v>
      </c>
      <c r="J160" s="905"/>
      <c r="K160" s="904"/>
      <c r="L160" s="903" t="s">
        <v>159</v>
      </c>
      <c r="M160" s="905"/>
      <c r="N160" s="905"/>
      <c r="O160" s="905"/>
      <c r="P160" s="905"/>
      <c r="Q160" s="904"/>
      <c r="R160" s="903">
        <v>4629059.38</v>
      </c>
      <c r="S160" s="905"/>
      <c r="T160" s="905"/>
      <c r="U160" s="905"/>
      <c r="V160" s="905"/>
      <c r="W160" s="904"/>
      <c r="X160" s="730"/>
    </row>
    <row r="161" spans="1:24" ht="10.9" customHeight="1" x14ac:dyDescent="0.25">
      <c r="A161" s="697" t="s">
        <v>1104</v>
      </c>
      <c r="B161" s="903">
        <v>122963.2</v>
      </c>
      <c r="C161" s="905"/>
      <c r="D161" s="905"/>
      <c r="E161" s="904"/>
      <c r="F161" s="903" t="s">
        <v>159</v>
      </c>
      <c r="G161" s="905"/>
      <c r="H161" s="904"/>
      <c r="I161" s="903">
        <v>122963.2</v>
      </c>
      <c r="J161" s="905"/>
      <c r="K161" s="904"/>
      <c r="L161" s="903" t="s">
        <v>159</v>
      </c>
      <c r="M161" s="905"/>
      <c r="N161" s="905"/>
      <c r="O161" s="905"/>
      <c r="P161" s="905"/>
      <c r="Q161" s="904"/>
      <c r="R161" s="903" t="s">
        <v>159</v>
      </c>
      <c r="S161" s="905"/>
      <c r="T161" s="905"/>
      <c r="U161" s="905"/>
      <c r="V161" s="905"/>
      <c r="W161" s="904"/>
      <c r="X161" s="730"/>
    </row>
    <row r="162" spans="1:24" ht="11.65" customHeight="1" x14ac:dyDescent="0.25">
      <c r="A162" s="698" t="s">
        <v>1105</v>
      </c>
      <c r="B162" s="906">
        <v>86165.45</v>
      </c>
      <c r="C162" s="908"/>
      <c r="D162" s="908"/>
      <c r="E162" s="907"/>
      <c r="F162" s="906">
        <v>16040.31</v>
      </c>
      <c r="G162" s="908"/>
      <c r="H162" s="907"/>
      <c r="I162" s="906">
        <v>86165.45</v>
      </c>
      <c r="J162" s="908"/>
      <c r="K162" s="907"/>
      <c r="L162" s="906" t="s">
        <v>159</v>
      </c>
      <c r="M162" s="908"/>
      <c r="N162" s="908"/>
      <c r="O162" s="908"/>
      <c r="P162" s="908"/>
      <c r="Q162" s="907"/>
      <c r="R162" s="906" t="s">
        <v>159</v>
      </c>
      <c r="S162" s="908"/>
      <c r="T162" s="908"/>
      <c r="U162" s="908"/>
      <c r="V162" s="908"/>
      <c r="W162" s="907"/>
      <c r="X162" s="730"/>
    </row>
    <row r="163" spans="1:24" ht="11.65" customHeight="1" x14ac:dyDescent="0.25">
      <c r="A163" s="480"/>
      <c r="B163" s="480"/>
      <c r="C163" s="480"/>
      <c r="D163" s="480"/>
      <c r="E163" s="480"/>
      <c r="F163" s="480"/>
      <c r="G163" s="480"/>
      <c r="H163" s="480"/>
      <c r="I163" s="480"/>
      <c r="J163" s="480"/>
      <c r="K163" s="480"/>
      <c r="L163" s="480"/>
      <c r="M163" s="480"/>
      <c r="N163" s="480"/>
      <c r="O163" s="480"/>
      <c r="P163" s="480"/>
      <c r="Q163" s="480"/>
      <c r="R163" s="480"/>
      <c r="S163" s="480"/>
      <c r="T163" s="480"/>
      <c r="U163" s="480"/>
      <c r="V163" s="480"/>
      <c r="W163" s="480"/>
    </row>
    <row r="164" spans="1:24" ht="11.65" customHeight="1" x14ac:dyDescent="0.25">
      <c r="A164" s="799" t="s">
        <v>1106</v>
      </c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00"/>
      <c r="X164" s="483"/>
    </row>
    <row r="165" spans="1:24" ht="28.35" customHeight="1" x14ac:dyDescent="0.25">
      <c r="A165" s="681" t="s">
        <v>1107</v>
      </c>
      <c r="B165" s="909" t="s">
        <v>340</v>
      </c>
      <c r="C165" s="911"/>
      <c r="D165" s="911"/>
      <c r="E165" s="911"/>
      <c r="F165" s="911"/>
      <c r="G165" s="911"/>
      <c r="H165" s="910"/>
      <c r="I165" s="909" t="s">
        <v>341</v>
      </c>
      <c r="J165" s="911"/>
      <c r="K165" s="911"/>
      <c r="L165" s="911"/>
      <c r="M165" s="911"/>
      <c r="N165" s="911"/>
      <c r="O165" s="911"/>
      <c r="P165" s="911"/>
      <c r="Q165" s="911"/>
      <c r="R165" s="911"/>
      <c r="S165" s="911"/>
      <c r="T165" s="911"/>
      <c r="U165" s="911"/>
      <c r="V165" s="911"/>
      <c r="W165" s="910"/>
      <c r="X165" s="483"/>
    </row>
    <row r="166" spans="1:24" ht="14.45" customHeight="1" x14ac:dyDescent="0.25">
      <c r="A166" s="694" t="s">
        <v>1108</v>
      </c>
      <c r="B166" s="831" t="s">
        <v>2335</v>
      </c>
      <c r="C166" s="805"/>
      <c r="D166" s="805"/>
      <c r="E166" s="805"/>
      <c r="F166" s="805"/>
      <c r="G166" s="805"/>
      <c r="H166" s="804"/>
      <c r="I166" s="831" t="s">
        <v>2336</v>
      </c>
      <c r="J166" s="805"/>
      <c r="K166" s="805"/>
      <c r="L166" s="805"/>
      <c r="M166" s="805"/>
      <c r="N166" s="805"/>
      <c r="O166" s="805"/>
      <c r="P166" s="805"/>
      <c r="Q166" s="805"/>
      <c r="R166" s="805"/>
      <c r="S166" s="805"/>
      <c r="T166" s="805"/>
      <c r="U166" s="805"/>
      <c r="V166" s="805"/>
      <c r="W166" s="804"/>
      <c r="X166" s="483"/>
    </row>
    <row r="167" spans="1:24" ht="13.9" customHeight="1" x14ac:dyDescent="0.25">
      <c r="A167" s="691" t="s">
        <v>1109</v>
      </c>
      <c r="B167" s="806" t="s">
        <v>1563</v>
      </c>
      <c r="C167" s="807"/>
      <c r="D167" s="807"/>
      <c r="E167" s="807"/>
      <c r="F167" s="807"/>
      <c r="G167" s="807"/>
      <c r="H167" s="808"/>
      <c r="I167" s="806" t="s">
        <v>2337</v>
      </c>
      <c r="J167" s="807"/>
      <c r="K167" s="807"/>
      <c r="L167" s="807"/>
      <c r="M167" s="807"/>
      <c r="N167" s="807"/>
      <c r="O167" s="807"/>
      <c r="P167" s="807"/>
      <c r="Q167" s="807"/>
      <c r="R167" s="807"/>
      <c r="S167" s="807"/>
      <c r="T167" s="807"/>
      <c r="U167" s="807"/>
      <c r="V167" s="807"/>
      <c r="W167" s="808"/>
      <c r="X167" s="483"/>
    </row>
    <row r="168" spans="1:24" ht="14.45" customHeight="1" x14ac:dyDescent="0.25">
      <c r="A168" s="691" t="s">
        <v>1110</v>
      </c>
      <c r="B168" s="806" t="s">
        <v>1564</v>
      </c>
      <c r="C168" s="807"/>
      <c r="D168" s="807"/>
      <c r="E168" s="807"/>
      <c r="F168" s="807"/>
      <c r="G168" s="807"/>
      <c r="H168" s="808"/>
      <c r="I168" s="806" t="s">
        <v>2338</v>
      </c>
      <c r="J168" s="807"/>
      <c r="K168" s="807"/>
      <c r="L168" s="807"/>
      <c r="M168" s="807"/>
      <c r="N168" s="807"/>
      <c r="O168" s="807"/>
      <c r="P168" s="807"/>
      <c r="Q168" s="807"/>
      <c r="R168" s="807"/>
      <c r="S168" s="807"/>
      <c r="T168" s="807"/>
      <c r="U168" s="807"/>
      <c r="V168" s="807"/>
      <c r="W168" s="808"/>
      <c r="X168" s="483"/>
    </row>
    <row r="169" spans="1:24" ht="14.45" customHeight="1" x14ac:dyDescent="0.25">
      <c r="A169" s="691" t="s">
        <v>1111</v>
      </c>
      <c r="B169" s="806" t="s">
        <v>1565</v>
      </c>
      <c r="C169" s="807"/>
      <c r="D169" s="807"/>
      <c r="E169" s="807"/>
      <c r="F169" s="807"/>
      <c r="G169" s="807"/>
      <c r="H169" s="808"/>
      <c r="I169" s="806" t="s">
        <v>2339</v>
      </c>
      <c r="J169" s="807"/>
      <c r="K169" s="807"/>
      <c r="L169" s="807"/>
      <c r="M169" s="807"/>
      <c r="N169" s="807"/>
      <c r="O169" s="807"/>
      <c r="P169" s="807"/>
      <c r="Q169" s="807"/>
      <c r="R169" s="807"/>
      <c r="S169" s="807"/>
      <c r="T169" s="807"/>
      <c r="U169" s="807"/>
      <c r="V169" s="807"/>
      <c r="W169" s="808"/>
      <c r="X169" s="483"/>
    </row>
    <row r="170" spans="1:24" ht="13.9" customHeight="1" x14ac:dyDescent="0.25">
      <c r="A170" s="691" t="s">
        <v>1112</v>
      </c>
      <c r="B170" s="806" t="s">
        <v>1566</v>
      </c>
      <c r="C170" s="807"/>
      <c r="D170" s="807"/>
      <c r="E170" s="807"/>
      <c r="F170" s="807"/>
      <c r="G170" s="807"/>
      <c r="H170" s="808"/>
      <c r="I170" s="806" t="s">
        <v>2340</v>
      </c>
      <c r="J170" s="807"/>
      <c r="K170" s="807"/>
      <c r="L170" s="807"/>
      <c r="M170" s="807"/>
      <c r="N170" s="807"/>
      <c r="O170" s="807"/>
      <c r="P170" s="807"/>
      <c r="Q170" s="807"/>
      <c r="R170" s="807"/>
      <c r="S170" s="807"/>
      <c r="T170" s="807"/>
      <c r="U170" s="807"/>
      <c r="V170" s="807"/>
      <c r="W170" s="808"/>
      <c r="X170" s="483"/>
    </row>
    <row r="171" spans="1:24" ht="14.45" customHeight="1" x14ac:dyDescent="0.25">
      <c r="A171" s="691" t="s">
        <v>1113</v>
      </c>
      <c r="B171" s="806" t="s">
        <v>1567</v>
      </c>
      <c r="C171" s="807"/>
      <c r="D171" s="807"/>
      <c r="E171" s="807"/>
      <c r="F171" s="807"/>
      <c r="G171" s="807"/>
      <c r="H171" s="808"/>
      <c r="I171" s="806" t="s">
        <v>2341</v>
      </c>
      <c r="J171" s="807"/>
      <c r="K171" s="807"/>
      <c r="L171" s="807"/>
      <c r="M171" s="807"/>
      <c r="N171" s="807"/>
      <c r="O171" s="807"/>
      <c r="P171" s="807"/>
      <c r="Q171" s="807"/>
      <c r="R171" s="807"/>
      <c r="S171" s="807"/>
      <c r="T171" s="807"/>
      <c r="U171" s="807"/>
      <c r="V171" s="807"/>
      <c r="W171" s="808"/>
      <c r="X171" s="483"/>
    </row>
    <row r="172" spans="1:24" ht="14.45" customHeight="1" x14ac:dyDescent="0.25">
      <c r="A172" s="691" t="s">
        <v>1114</v>
      </c>
      <c r="B172" s="806" t="s">
        <v>1568</v>
      </c>
      <c r="C172" s="807"/>
      <c r="D172" s="807"/>
      <c r="E172" s="807"/>
      <c r="F172" s="807"/>
      <c r="G172" s="807"/>
      <c r="H172" s="808"/>
      <c r="I172" s="806" t="s">
        <v>2342</v>
      </c>
      <c r="J172" s="807"/>
      <c r="K172" s="807"/>
      <c r="L172" s="807"/>
      <c r="M172" s="807"/>
      <c r="N172" s="807"/>
      <c r="O172" s="807"/>
      <c r="P172" s="807"/>
      <c r="Q172" s="807"/>
      <c r="R172" s="807"/>
      <c r="S172" s="807"/>
      <c r="T172" s="807"/>
      <c r="U172" s="807"/>
      <c r="V172" s="807"/>
      <c r="W172" s="808"/>
      <c r="X172" s="483"/>
    </row>
    <row r="173" spans="1:24" ht="13.9" customHeight="1" x14ac:dyDescent="0.25">
      <c r="A173" s="691" t="s">
        <v>1115</v>
      </c>
      <c r="B173" s="806" t="s">
        <v>1569</v>
      </c>
      <c r="C173" s="807"/>
      <c r="D173" s="807"/>
      <c r="E173" s="807"/>
      <c r="F173" s="807"/>
      <c r="G173" s="807"/>
      <c r="H173" s="808"/>
      <c r="I173" s="806" t="s">
        <v>2343</v>
      </c>
      <c r="J173" s="807"/>
      <c r="K173" s="807"/>
      <c r="L173" s="807"/>
      <c r="M173" s="807"/>
      <c r="N173" s="807"/>
      <c r="O173" s="807"/>
      <c r="P173" s="807"/>
      <c r="Q173" s="807"/>
      <c r="R173" s="807"/>
      <c r="S173" s="807"/>
      <c r="T173" s="807"/>
      <c r="U173" s="807"/>
      <c r="V173" s="807"/>
      <c r="W173" s="808"/>
      <c r="X173" s="483"/>
    </row>
    <row r="174" spans="1:24" ht="14.45" customHeight="1" x14ac:dyDescent="0.25">
      <c r="A174" s="691" t="s">
        <v>1116</v>
      </c>
      <c r="B174" s="806" t="s">
        <v>159</v>
      </c>
      <c r="C174" s="807"/>
      <c r="D174" s="807"/>
      <c r="E174" s="807"/>
      <c r="F174" s="807"/>
      <c r="G174" s="807"/>
      <c r="H174" s="808"/>
      <c r="I174" s="806" t="s">
        <v>159</v>
      </c>
      <c r="J174" s="807"/>
      <c r="K174" s="807"/>
      <c r="L174" s="807"/>
      <c r="M174" s="807"/>
      <c r="N174" s="807"/>
      <c r="O174" s="807"/>
      <c r="P174" s="807"/>
      <c r="Q174" s="807"/>
      <c r="R174" s="807"/>
      <c r="S174" s="807"/>
      <c r="T174" s="807"/>
      <c r="U174" s="807"/>
      <c r="V174" s="807"/>
      <c r="W174" s="808"/>
      <c r="X174" s="483"/>
    </row>
    <row r="175" spans="1:24" ht="11.65" customHeight="1" x14ac:dyDescent="0.25">
      <c r="A175" s="865" t="s">
        <v>2329</v>
      </c>
      <c r="B175" s="865"/>
      <c r="C175" s="865"/>
      <c r="D175" s="865"/>
      <c r="E175" s="865"/>
      <c r="F175" s="865"/>
      <c r="G175" s="865"/>
      <c r="H175" s="865"/>
      <c r="I175" s="865"/>
      <c r="J175" s="865"/>
      <c r="K175" s="865"/>
      <c r="L175" s="865"/>
      <c r="M175" s="865"/>
      <c r="N175" s="865"/>
      <c r="O175" s="865"/>
      <c r="P175" s="865"/>
      <c r="Q175" s="865"/>
      <c r="R175" s="865"/>
      <c r="S175" s="865"/>
      <c r="T175" s="865"/>
      <c r="U175" s="865"/>
      <c r="V175" s="865"/>
      <c r="W175" s="865"/>
    </row>
    <row r="176" spans="1:24" ht="11.65" customHeight="1" x14ac:dyDescent="0.25">
      <c r="A176" s="797" t="s">
        <v>134</v>
      </c>
      <c r="B176" s="797"/>
      <c r="C176" s="797"/>
      <c r="W176" s="693" t="s">
        <v>1117</v>
      </c>
    </row>
    <row r="177" spans="1:24" ht="10.9" customHeight="1" x14ac:dyDescent="0.25">
      <c r="A177" s="797" t="s">
        <v>333</v>
      </c>
      <c r="B177" s="797"/>
      <c r="C177" s="797"/>
    </row>
    <row r="178" spans="1:24" ht="11.65" customHeight="1" x14ac:dyDescent="0.25">
      <c r="A178" s="839" t="s">
        <v>964</v>
      </c>
      <c r="B178" s="839"/>
      <c r="C178" s="839"/>
      <c r="D178" s="839"/>
      <c r="E178" s="839"/>
      <c r="F178" s="839"/>
      <c r="G178" s="839"/>
      <c r="H178" s="839"/>
      <c r="I178" s="839"/>
      <c r="J178" s="839"/>
      <c r="K178" s="839"/>
      <c r="L178" s="839"/>
      <c r="M178" s="839"/>
      <c r="N178" s="839"/>
      <c r="O178" s="839"/>
      <c r="P178" s="839"/>
    </row>
    <row r="179" spans="1:24" ht="11.65" customHeight="1" x14ac:dyDescent="0.25">
      <c r="A179" s="797" t="s">
        <v>335</v>
      </c>
      <c r="B179" s="797"/>
      <c r="C179" s="797"/>
    </row>
    <row r="180" spans="1:24" ht="11.65" customHeight="1" x14ac:dyDescent="0.25">
      <c r="A180" s="797" t="s">
        <v>2036</v>
      </c>
      <c r="B180" s="797"/>
      <c r="C180" s="797"/>
    </row>
    <row r="181" spans="1:24" ht="5.0999999999999996" customHeight="1" x14ac:dyDescent="0.25"/>
    <row r="182" spans="1:24" ht="11.65" customHeight="1" x14ac:dyDescent="0.25">
      <c r="A182" s="902" t="s">
        <v>965</v>
      </c>
      <c r="B182" s="902"/>
      <c r="C182" s="902"/>
      <c r="D182" s="479"/>
      <c r="E182" s="479"/>
      <c r="F182" s="479"/>
      <c r="G182" s="479"/>
      <c r="H182" s="479"/>
      <c r="I182" s="479"/>
      <c r="J182" s="479"/>
      <c r="K182" s="479"/>
      <c r="L182" s="479"/>
      <c r="M182" s="479"/>
      <c r="N182" s="479"/>
      <c r="O182" s="479"/>
      <c r="P182" s="887" t="s">
        <v>5</v>
      </c>
      <c r="Q182" s="887"/>
      <c r="R182" s="887"/>
      <c r="S182" s="887"/>
      <c r="T182" s="887"/>
      <c r="U182" s="887"/>
      <c r="V182" s="887"/>
      <c r="W182" s="887"/>
    </row>
    <row r="183" spans="1:24" ht="11.65" customHeight="1" x14ac:dyDescent="0.25">
      <c r="A183" s="799" t="s">
        <v>1106</v>
      </c>
      <c r="B183" s="823"/>
      <c r="C183" s="823"/>
      <c r="D183" s="823"/>
      <c r="E183" s="823"/>
      <c r="F183" s="823"/>
      <c r="G183" s="823"/>
      <c r="H183" s="823"/>
      <c r="I183" s="823"/>
      <c r="J183" s="823"/>
      <c r="K183" s="823"/>
      <c r="L183" s="823"/>
      <c r="M183" s="823"/>
      <c r="N183" s="823"/>
      <c r="O183" s="823"/>
      <c r="P183" s="823"/>
      <c r="Q183" s="823"/>
      <c r="R183" s="823"/>
      <c r="S183" s="823"/>
      <c r="T183" s="823"/>
      <c r="U183" s="823"/>
      <c r="V183" s="823"/>
      <c r="W183" s="800"/>
      <c r="X183" s="483"/>
    </row>
    <row r="184" spans="1:24" ht="28.35" customHeight="1" x14ac:dyDescent="0.25">
      <c r="A184" s="681" t="s">
        <v>1107</v>
      </c>
      <c r="B184" s="909" t="s">
        <v>340</v>
      </c>
      <c r="C184" s="911"/>
      <c r="D184" s="911"/>
      <c r="E184" s="911"/>
      <c r="F184" s="911"/>
      <c r="G184" s="911"/>
      <c r="H184" s="910"/>
      <c r="I184" s="909" t="s">
        <v>341</v>
      </c>
      <c r="J184" s="911"/>
      <c r="K184" s="911"/>
      <c r="L184" s="911"/>
      <c r="M184" s="911"/>
      <c r="N184" s="911"/>
      <c r="O184" s="911"/>
      <c r="P184" s="911"/>
      <c r="Q184" s="911"/>
      <c r="R184" s="911"/>
      <c r="S184" s="911"/>
      <c r="T184" s="911"/>
      <c r="U184" s="911"/>
      <c r="V184" s="911"/>
      <c r="W184" s="910"/>
      <c r="X184" s="483"/>
    </row>
    <row r="185" spans="1:24" ht="14.45" customHeight="1" x14ac:dyDescent="0.25">
      <c r="A185" s="694" t="s">
        <v>1118</v>
      </c>
      <c r="B185" s="831" t="s">
        <v>159</v>
      </c>
      <c r="C185" s="805"/>
      <c r="D185" s="805"/>
      <c r="E185" s="805"/>
      <c r="F185" s="805"/>
      <c r="G185" s="805"/>
      <c r="H185" s="804"/>
      <c r="I185" s="831" t="s">
        <v>159</v>
      </c>
      <c r="J185" s="805"/>
      <c r="K185" s="805"/>
      <c r="L185" s="805"/>
      <c r="M185" s="805"/>
      <c r="N185" s="805"/>
      <c r="O185" s="805"/>
      <c r="P185" s="805"/>
      <c r="Q185" s="805"/>
      <c r="R185" s="805"/>
      <c r="S185" s="805"/>
      <c r="T185" s="805"/>
      <c r="U185" s="805"/>
      <c r="V185" s="805"/>
      <c r="W185" s="804"/>
      <c r="X185" s="483"/>
    </row>
    <row r="186" spans="1:24" ht="14.45" customHeight="1" x14ac:dyDescent="0.25">
      <c r="A186" s="691" t="s">
        <v>2344</v>
      </c>
      <c r="B186" s="806" t="s">
        <v>159</v>
      </c>
      <c r="C186" s="807"/>
      <c r="D186" s="807"/>
      <c r="E186" s="807"/>
      <c r="F186" s="807"/>
      <c r="G186" s="807"/>
      <c r="H186" s="808"/>
      <c r="I186" s="806" t="s">
        <v>159</v>
      </c>
      <c r="J186" s="807"/>
      <c r="K186" s="807"/>
      <c r="L186" s="807"/>
      <c r="M186" s="807"/>
      <c r="N186" s="807"/>
      <c r="O186" s="807"/>
      <c r="P186" s="807"/>
      <c r="Q186" s="807"/>
      <c r="R186" s="807"/>
      <c r="S186" s="807"/>
      <c r="T186" s="807"/>
      <c r="U186" s="807"/>
      <c r="V186" s="807"/>
      <c r="W186" s="808"/>
      <c r="X186" s="483"/>
    </row>
    <row r="187" spans="1:24" ht="13.9" customHeight="1" x14ac:dyDescent="0.25">
      <c r="A187" s="692" t="s">
        <v>2345</v>
      </c>
      <c r="B187" s="814" t="s">
        <v>1570</v>
      </c>
      <c r="C187" s="815"/>
      <c r="D187" s="815"/>
      <c r="E187" s="815"/>
      <c r="F187" s="815"/>
      <c r="G187" s="815"/>
      <c r="H187" s="816"/>
      <c r="I187" s="814" t="s">
        <v>2346</v>
      </c>
      <c r="J187" s="815"/>
      <c r="K187" s="815"/>
      <c r="L187" s="815"/>
      <c r="M187" s="815"/>
      <c r="N187" s="815"/>
      <c r="O187" s="815"/>
      <c r="P187" s="815"/>
      <c r="Q187" s="815"/>
      <c r="R187" s="815"/>
      <c r="S187" s="815"/>
      <c r="T187" s="815"/>
      <c r="U187" s="815"/>
      <c r="V187" s="815"/>
      <c r="W187" s="816"/>
      <c r="X187" s="483"/>
    </row>
    <row r="188" spans="1:24" ht="11.65" customHeight="1" x14ac:dyDescent="0.25">
      <c r="A188" s="480"/>
      <c r="B188" s="480"/>
      <c r="C188" s="480"/>
      <c r="D188" s="480"/>
      <c r="E188" s="480"/>
      <c r="F188" s="480"/>
      <c r="G188" s="480"/>
      <c r="H188" s="480"/>
      <c r="I188" s="480"/>
      <c r="J188" s="480"/>
      <c r="K188" s="480"/>
      <c r="L188" s="480"/>
      <c r="M188" s="480"/>
      <c r="N188" s="480"/>
      <c r="O188" s="480"/>
      <c r="P188" s="480"/>
      <c r="Q188" s="480"/>
      <c r="R188" s="480"/>
      <c r="S188" s="480"/>
      <c r="T188" s="480"/>
      <c r="U188" s="480"/>
      <c r="V188" s="480"/>
      <c r="W188" s="480"/>
    </row>
    <row r="189" spans="1:24" ht="34.15" customHeight="1" x14ac:dyDescent="0.25">
      <c r="A189" s="679" t="s">
        <v>1119</v>
      </c>
      <c r="B189" s="909" t="s">
        <v>359</v>
      </c>
      <c r="C189" s="911"/>
      <c r="D189" s="911"/>
      <c r="E189" s="910"/>
      <c r="F189" s="909" t="s">
        <v>360</v>
      </c>
      <c r="G189" s="911"/>
      <c r="H189" s="910"/>
      <c r="I189" s="909" t="s">
        <v>361</v>
      </c>
      <c r="J189" s="911"/>
      <c r="K189" s="910"/>
      <c r="L189" s="909" t="s">
        <v>362</v>
      </c>
      <c r="M189" s="911"/>
      <c r="N189" s="911"/>
      <c r="O189" s="911"/>
      <c r="P189" s="911"/>
      <c r="Q189" s="910"/>
      <c r="R189" s="909" t="s">
        <v>1012</v>
      </c>
      <c r="S189" s="911"/>
      <c r="T189" s="911"/>
      <c r="U189" s="911"/>
      <c r="V189" s="911"/>
      <c r="W189" s="910"/>
      <c r="X189" s="483"/>
    </row>
    <row r="190" spans="1:24" ht="11.65" customHeight="1" x14ac:dyDescent="0.25">
      <c r="A190" s="699" t="s">
        <v>1120</v>
      </c>
      <c r="B190" s="912">
        <v>8663654.2300000004</v>
      </c>
      <c r="C190" s="914"/>
      <c r="D190" s="914"/>
      <c r="E190" s="913"/>
      <c r="F190" s="912">
        <v>4694860.9400000004</v>
      </c>
      <c r="G190" s="914"/>
      <c r="H190" s="913"/>
      <c r="I190" s="912">
        <v>3576973.86</v>
      </c>
      <c r="J190" s="914"/>
      <c r="K190" s="913"/>
      <c r="L190" s="912">
        <v>3126383.88</v>
      </c>
      <c r="M190" s="914"/>
      <c r="N190" s="914"/>
      <c r="O190" s="914"/>
      <c r="P190" s="914"/>
      <c r="Q190" s="913"/>
      <c r="R190" s="912" t="s">
        <v>159</v>
      </c>
      <c r="S190" s="914"/>
      <c r="T190" s="914"/>
      <c r="U190" s="914"/>
      <c r="V190" s="914"/>
      <c r="W190" s="913"/>
      <c r="X190" s="730"/>
    </row>
    <row r="191" spans="1:24" ht="11.65" customHeight="1" x14ac:dyDescent="0.25">
      <c r="A191" s="697" t="s">
        <v>1121</v>
      </c>
      <c r="B191" s="903">
        <v>1380977.5</v>
      </c>
      <c r="C191" s="905"/>
      <c r="D191" s="905"/>
      <c r="E191" s="904"/>
      <c r="F191" s="903">
        <v>975959.64</v>
      </c>
      <c r="G191" s="905"/>
      <c r="H191" s="904"/>
      <c r="I191" s="903">
        <v>597225.19999999995</v>
      </c>
      <c r="J191" s="905"/>
      <c r="K191" s="904"/>
      <c r="L191" s="903">
        <v>596816.55000000005</v>
      </c>
      <c r="M191" s="905"/>
      <c r="N191" s="905"/>
      <c r="O191" s="905"/>
      <c r="P191" s="905"/>
      <c r="Q191" s="904"/>
      <c r="R191" s="903" t="s">
        <v>159</v>
      </c>
      <c r="S191" s="905"/>
      <c r="T191" s="905"/>
      <c r="U191" s="905"/>
      <c r="V191" s="905"/>
      <c r="W191" s="904"/>
      <c r="X191" s="730"/>
    </row>
    <row r="192" spans="1:24" ht="11.65" customHeight="1" x14ac:dyDescent="0.25">
      <c r="A192" s="697" t="s">
        <v>1122</v>
      </c>
      <c r="B192" s="903">
        <v>3321564.46</v>
      </c>
      <c r="C192" s="905"/>
      <c r="D192" s="905"/>
      <c r="E192" s="904"/>
      <c r="F192" s="903">
        <v>1563354.7</v>
      </c>
      <c r="G192" s="905"/>
      <c r="H192" s="904"/>
      <c r="I192" s="903">
        <v>1136609.28</v>
      </c>
      <c r="J192" s="905"/>
      <c r="K192" s="904"/>
      <c r="L192" s="903">
        <v>967828.39</v>
      </c>
      <c r="M192" s="905"/>
      <c r="N192" s="905"/>
      <c r="O192" s="905"/>
      <c r="P192" s="905"/>
      <c r="Q192" s="904"/>
      <c r="R192" s="903" t="s">
        <v>159</v>
      </c>
      <c r="S192" s="905"/>
      <c r="T192" s="905"/>
      <c r="U192" s="905"/>
      <c r="V192" s="905"/>
      <c r="W192" s="904"/>
      <c r="X192" s="730"/>
    </row>
    <row r="193" spans="1:24" ht="10.9" customHeight="1" x14ac:dyDescent="0.25">
      <c r="A193" s="697" t="s">
        <v>1123</v>
      </c>
      <c r="B193" s="903">
        <v>8</v>
      </c>
      <c r="C193" s="905"/>
      <c r="D193" s="905"/>
      <c r="E193" s="904"/>
      <c r="F193" s="903" t="s">
        <v>159</v>
      </c>
      <c r="G193" s="905"/>
      <c r="H193" s="904"/>
      <c r="I193" s="903" t="s">
        <v>159</v>
      </c>
      <c r="J193" s="905"/>
      <c r="K193" s="904"/>
      <c r="L193" s="903" t="s">
        <v>159</v>
      </c>
      <c r="M193" s="905"/>
      <c r="N193" s="905"/>
      <c r="O193" s="905"/>
      <c r="P193" s="905"/>
      <c r="Q193" s="904"/>
      <c r="R193" s="903" t="s">
        <v>159</v>
      </c>
      <c r="S193" s="905"/>
      <c r="T193" s="905"/>
      <c r="U193" s="905"/>
      <c r="V193" s="905"/>
      <c r="W193" s="904"/>
      <c r="X193" s="730"/>
    </row>
    <row r="194" spans="1:24" ht="11.65" customHeight="1" x14ac:dyDescent="0.25">
      <c r="A194" s="697" t="s">
        <v>1124</v>
      </c>
      <c r="B194" s="903" t="s">
        <v>159</v>
      </c>
      <c r="C194" s="905"/>
      <c r="D194" s="905"/>
      <c r="E194" s="904"/>
      <c r="F194" s="903" t="s">
        <v>159</v>
      </c>
      <c r="G194" s="905"/>
      <c r="H194" s="904"/>
      <c r="I194" s="903" t="s">
        <v>159</v>
      </c>
      <c r="J194" s="905"/>
      <c r="K194" s="904"/>
      <c r="L194" s="903" t="s">
        <v>159</v>
      </c>
      <c r="M194" s="905"/>
      <c r="N194" s="905"/>
      <c r="O194" s="905"/>
      <c r="P194" s="905"/>
      <c r="Q194" s="904"/>
      <c r="R194" s="903" t="s">
        <v>159</v>
      </c>
      <c r="S194" s="905"/>
      <c r="T194" s="905"/>
      <c r="U194" s="905"/>
      <c r="V194" s="905"/>
      <c r="W194" s="904"/>
      <c r="X194" s="730"/>
    </row>
    <row r="195" spans="1:24" ht="11.65" customHeight="1" x14ac:dyDescent="0.25">
      <c r="A195" s="697" t="s">
        <v>1125</v>
      </c>
      <c r="B195" s="903" t="s">
        <v>159</v>
      </c>
      <c r="C195" s="905"/>
      <c r="D195" s="905"/>
      <c r="E195" s="904"/>
      <c r="F195" s="903" t="s">
        <v>159</v>
      </c>
      <c r="G195" s="905"/>
      <c r="H195" s="904"/>
      <c r="I195" s="903" t="s">
        <v>159</v>
      </c>
      <c r="J195" s="905"/>
      <c r="K195" s="904"/>
      <c r="L195" s="903" t="s">
        <v>159</v>
      </c>
      <c r="M195" s="905"/>
      <c r="N195" s="905"/>
      <c r="O195" s="905"/>
      <c r="P195" s="905"/>
      <c r="Q195" s="904"/>
      <c r="R195" s="903" t="s">
        <v>159</v>
      </c>
      <c r="S195" s="905"/>
      <c r="T195" s="905"/>
      <c r="U195" s="905"/>
      <c r="V195" s="905"/>
      <c r="W195" s="904"/>
      <c r="X195" s="730"/>
    </row>
    <row r="196" spans="1:24" ht="11.65" customHeight="1" x14ac:dyDescent="0.25">
      <c r="A196" s="697" t="s">
        <v>1126</v>
      </c>
      <c r="B196" s="903">
        <v>13508.63</v>
      </c>
      <c r="C196" s="905"/>
      <c r="D196" s="905"/>
      <c r="E196" s="904"/>
      <c r="F196" s="903">
        <v>615.23</v>
      </c>
      <c r="G196" s="905"/>
      <c r="H196" s="904"/>
      <c r="I196" s="903">
        <v>615.23</v>
      </c>
      <c r="J196" s="905"/>
      <c r="K196" s="904"/>
      <c r="L196" s="903">
        <v>615.23</v>
      </c>
      <c r="M196" s="905"/>
      <c r="N196" s="905"/>
      <c r="O196" s="905"/>
      <c r="P196" s="905"/>
      <c r="Q196" s="904"/>
      <c r="R196" s="903" t="s">
        <v>159</v>
      </c>
      <c r="S196" s="905"/>
      <c r="T196" s="905"/>
      <c r="U196" s="905"/>
      <c r="V196" s="905"/>
      <c r="W196" s="904"/>
      <c r="X196" s="730"/>
    </row>
    <row r="197" spans="1:24" ht="10.9" customHeight="1" x14ac:dyDescent="0.25">
      <c r="A197" s="697" t="s">
        <v>1127</v>
      </c>
      <c r="B197" s="903">
        <v>62528</v>
      </c>
      <c r="C197" s="905"/>
      <c r="D197" s="905"/>
      <c r="E197" s="904"/>
      <c r="F197" s="903">
        <v>51265.61</v>
      </c>
      <c r="G197" s="905"/>
      <c r="H197" s="904"/>
      <c r="I197" s="903">
        <v>1265.6099999999999</v>
      </c>
      <c r="J197" s="905"/>
      <c r="K197" s="904"/>
      <c r="L197" s="903">
        <v>1265.6099999999999</v>
      </c>
      <c r="M197" s="905"/>
      <c r="N197" s="905"/>
      <c r="O197" s="905"/>
      <c r="P197" s="905"/>
      <c r="Q197" s="904"/>
      <c r="R197" s="903" t="s">
        <v>159</v>
      </c>
      <c r="S197" s="905"/>
      <c r="T197" s="905"/>
      <c r="U197" s="905"/>
      <c r="V197" s="905"/>
      <c r="W197" s="904"/>
      <c r="X197" s="730"/>
    </row>
    <row r="198" spans="1:24" ht="11.65" customHeight="1" x14ac:dyDescent="0.25">
      <c r="A198" s="698" t="s">
        <v>1128</v>
      </c>
      <c r="B198" s="906">
        <v>3885067.64</v>
      </c>
      <c r="C198" s="908"/>
      <c r="D198" s="908"/>
      <c r="E198" s="907"/>
      <c r="F198" s="906">
        <v>2103665.7599999998</v>
      </c>
      <c r="G198" s="908"/>
      <c r="H198" s="907"/>
      <c r="I198" s="906">
        <v>1841258.54</v>
      </c>
      <c r="J198" s="908"/>
      <c r="K198" s="907"/>
      <c r="L198" s="906">
        <v>1559858.1</v>
      </c>
      <c r="M198" s="908"/>
      <c r="N198" s="908"/>
      <c r="O198" s="908"/>
      <c r="P198" s="908"/>
      <c r="Q198" s="907"/>
      <c r="R198" s="906" t="s">
        <v>159</v>
      </c>
      <c r="S198" s="908"/>
      <c r="T198" s="908"/>
      <c r="U198" s="908"/>
      <c r="V198" s="908"/>
      <c r="W198" s="907"/>
      <c r="X198" s="730"/>
    </row>
    <row r="199" spans="1:24" ht="11.65" customHeight="1" x14ac:dyDescent="0.25">
      <c r="A199" s="480"/>
      <c r="B199" s="480"/>
      <c r="C199" s="480"/>
      <c r="D199" s="480"/>
      <c r="E199" s="480"/>
      <c r="F199" s="480"/>
      <c r="G199" s="480"/>
      <c r="H199" s="480"/>
      <c r="I199" s="480"/>
      <c r="J199" s="480"/>
      <c r="K199" s="480"/>
      <c r="L199" s="480"/>
      <c r="M199" s="480"/>
      <c r="N199" s="480"/>
      <c r="O199" s="480"/>
      <c r="P199" s="480"/>
      <c r="Q199" s="480"/>
      <c r="R199" s="480"/>
      <c r="S199" s="480"/>
      <c r="T199" s="480"/>
      <c r="U199" s="480"/>
      <c r="V199" s="480"/>
      <c r="W199" s="480"/>
    </row>
    <row r="200" spans="1:24" ht="34.15" customHeight="1" x14ac:dyDescent="0.25">
      <c r="A200" s="681" t="s">
        <v>1129</v>
      </c>
      <c r="B200" s="909" t="s">
        <v>359</v>
      </c>
      <c r="C200" s="911"/>
      <c r="D200" s="911"/>
      <c r="E200" s="910"/>
      <c r="F200" s="909" t="s">
        <v>360</v>
      </c>
      <c r="G200" s="911"/>
      <c r="H200" s="910"/>
      <c r="I200" s="909" t="s">
        <v>361</v>
      </c>
      <c r="J200" s="911"/>
      <c r="K200" s="910"/>
      <c r="L200" s="909" t="s">
        <v>362</v>
      </c>
      <c r="M200" s="911"/>
      <c r="N200" s="911"/>
      <c r="O200" s="911"/>
      <c r="P200" s="911"/>
      <c r="Q200" s="910"/>
      <c r="R200" s="909" t="s">
        <v>1012</v>
      </c>
      <c r="S200" s="911"/>
      <c r="T200" s="911"/>
      <c r="U200" s="911"/>
      <c r="V200" s="911"/>
      <c r="W200" s="910"/>
      <c r="X200" s="483"/>
    </row>
    <row r="201" spans="1:24" ht="11.65" customHeight="1" x14ac:dyDescent="0.25">
      <c r="A201" s="699" t="s">
        <v>1130</v>
      </c>
      <c r="B201" s="912">
        <v>62671135.100000001</v>
      </c>
      <c r="C201" s="914"/>
      <c r="D201" s="914"/>
      <c r="E201" s="913"/>
      <c r="F201" s="912">
        <v>29062918.25</v>
      </c>
      <c r="G201" s="914"/>
      <c r="H201" s="913"/>
      <c r="I201" s="912">
        <v>27544438.140000001</v>
      </c>
      <c r="J201" s="914"/>
      <c r="K201" s="913"/>
      <c r="L201" s="912">
        <v>25536684.75</v>
      </c>
      <c r="M201" s="914"/>
      <c r="N201" s="914"/>
      <c r="O201" s="914"/>
      <c r="P201" s="914"/>
      <c r="Q201" s="913"/>
      <c r="R201" s="912" t="s">
        <v>159</v>
      </c>
      <c r="S201" s="914"/>
      <c r="T201" s="914"/>
      <c r="U201" s="914"/>
      <c r="V201" s="914"/>
      <c r="W201" s="913"/>
      <c r="X201" s="730"/>
    </row>
    <row r="202" spans="1:24" ht="11.65" customHeight="1" x14ac:dyDescent="0.25">
      <c r="A202" s="697" t="s">
        <v>1131</v>
      </c>
      <c r="B202" s="903">
        <v>61225517.740000002</v>
      </c>
      <c r="C202" s="905"/>
      <c r="D202" s="905"/>
      <c r="E202" s="904"/>
      <c r="F202" s="903">
        <v>28368149.030000001</v>
      </c>
      <c r="G202" s="905"/>
      <c r="H202" s="904"/>
      <c r="I202" s="903">
        <v>27052388.870000001</v>
      </c>
      <c r="J202" s="905"/>
      <c r="K202" s="904"/>
      <c r="L202" s="903">
        <v>25064600.699999999</v>
      </c>
      <c r="M202" s="905"/>
      <c r="N202" s="905"/>
      <c r="O202" s="905"/>
      <c r="P202" s="905"/>
      <c r="Q202" s="904"/>
      <c r="R202" s="903" t="s">
        <v>159</v>
      </c>
      <c r="S202" s="905"/>
      <c r="T202" s="905"/>
      <c r="U202" s="905"/>
      <c r="V202" s="905"/>
      <c r="W202" s="904"/>
      <c r="X202" s="730"/>
    </row>
    <row r="203" spans="1:24" ht="10.9" customHeight="1" x14ac:dyDescent="0.25">
      <c r="A203" s="697" t="s">
        <v>1132</v>
      </c>
      <c r="B203" s="903">
        <v>46423498.329999998</v>
      </c>
      <c r="C203" s="905"/>
      <c r="D203" s="905"/>
      <c r="E203" s="904"/>
      <c r="F203" s="903">
        <v>22175502.050000001</v>
      </c>
      <c r="G203" s="905"/>
      <c r="H203" s="904"/>
      <c r="I203" s="903">
        <v>22161432.300000001</v>
      </c>
      <c r="J203" s="905"/>
      <c r="K203" s="904"/>
      <c r="L203" s="903">
        <v>20876156.5</v>
      </c>
      <c r="M203" s="905"/>
      <c r="N203" s="905"/>
      <c r="O203" s="905"/>
      <c r="P203" s="905"/>
      <c r="Q203" s="904"/>
      <c r="R203" s="903" t="s">
        <v>159</v>
      </c>
      <c r="S203" s="905"/>
      <c r="T203" s="905"/>
      <c r="U203" s="905"/>
      <c r="V203" s="905"/>
      <c r="W203" s="904"/>
      <c r="X203" s="730"/>
    </row>
    <row r="204" spans="1:24" ht="11.65" customHeight="1" x14ac:dyDescent="0.25">
      <c r="A204" s="697" t="s">
        <v>1133</v>
      </c>
      <c r="B204" s="903" t="s">
        <v>159</v>
      </c>
      <c r="C204" s="905"/>
      <c r="D204" s="905"/>
      <c r="E204" s="904"/>
      <c r="F204" s="903" t="s">
        <v>159</v>
      </c>
      <c r="G204" s="905"/>
      <c r="H204" s="904"/>
      <c r="I204" s="903" t="s">
        <v>159</v>
      </c>
      <c r="J204" s="905"/>
      <c r="K204" s="904"/>
      <c r="L204" s="903" t="s">
        <v>159</v>
      </c>
      <c r="M204" s="905"/>
      <c r="N204" s="905"/>
      <c r="O204" s="905"/>
      <c r="P204" s="905"/>
      <c r="Q204" s="904"/>
      <c r="R204" s="903" t="s">
        <v>159</v>
      </c>
      <c r="S204" s="905"/>
      <c r="T204" s="905"/>
      <c r="U204" s="905"/>
      <c r="V204" s="905"/>
      <c r="W204" s="904"/>
      <c r="X204" s="730"/>
    </row>
    <row r="205" spans="1:24" ht="11.65" customHeight="1" x14ac:dyDescent="0.25">
      <c r="A205" s="697" t="s">
        <v>1134</v>
      </c>
      <c r="B205" s="903">
        <v>325001</v>
      </c>
      <c r="C205" s="905"/>
      <c r="D205" s="905"/>
      <c r="E205" s="904"/>
      <c r="F205" s="903">
        <v>80000</v>
      </c>
      <c r="G205" s="905"/>
      <c r="H205" s="904"/>
      <c r="I205" s="903" t="s">
        <v>159</v>
      </c>
      <c r="J205" s="905"/>
      <c r="K205" s="904"/>
      <c r="L205" s="903" t="s">
        <v>159</v>
      </c>
      <c r="M205" s="905"/>
      <c r="N205" s="905"/>
      <c r="O205" s="905"/>
      <c r="P205" s="905"/>
      <c r="Q205" s="904"/>
      <c r="R205" s="903" t="s">
        <v>159</v>
      </c>
      <c r="S205" s="905"/>
      <c r="T205" s="905"/>
      <c r="U205" s="905"/>
      <c r="V205" s="905"/>
      <c r="W205" s="904"/>
      <c r="X205" s="730"/>
    </row>
    <row r="206" spans="1:24" ht="11.65" customHeight="1" x14ac:dyDescent="0.25">
      <c r="A206" s="697" t="s">
        <v>1135</v>
      </c>
      <c r="B206" s="903">
        <v>14477018.41</v>
      </c>
      <c r="C206" s="905"/>
      <c r="D206" s="905"/>
      <c r="E206" s="904"/>
      <c r="F206" s="903">
        <v>6112646.9800000004</v>
      </c>
      <c r="G206" s="905"/>
      <c r="H206" s="904"/>
      <c r="I206" s="903">
        <v>4890956.57</v>
      </c>
      <c r="J206" s="905"/>
      <c r="K206" s="904"/>
      <c r="L206" s="903">
        <v>4188444.2</v>
      </c>
      <c r="M206" s="905"/>
      <c r="N206" s="905"/>
      <c r="O206" s="905"/>
      <c r="P206" s="905"/>
      <c r="Q206" s="904"/>
      <c r="R206" s="903" t="s">
        <v>159</v>
      </c>
      <c r="S206" s="905"/>
      <c r="T206" s="905"/>
      <c r="U206" s="905"/>
      <c r="V206" s="905"/>
      <c r="W206" s="904"/>
      <c r="X206" s="730"/>
    </row>
    <row r="207" spans="1:24" ht="10.9" customHeight="1" x14ac:dyDescent="0.25">
      <c r="A207" s="697" t="s">
        <v>1136</v>
      </c>
      <c r="B207" s="903">
        <v>1445617.36</v>
      </c>
      <c r="C207" s="905"/>
      <c r="D207" s="905"/>
      <c r="E207" s="904"/>
      <c r="F207" s="903">
        <v>694769.22</v>
      </c>
      <c r="G207" s="905"/>
      <c r="H207" s="904"/>
      <c r="I207" s="903">
        <v>492049.27</v>
      </c>
      <c r="J207" s="905"/>
      <c r="K207" s="904"/>
      <c r="L207" s="903">
        <v>472084.05</v>
      </c>
      <c r="M207" s="905"/>
      <c r="N207" s="905"/>
      <c r="O207" s="905"/>
      <c r="P207" s="905"/>
      <c r="Q207" s="904"/>
      <c r="R207" s="903" t="s">
        <v>159</v>
      </c>
      <c r="S207" s="905"/>
      <c r="T207" s="905"/>
      <c r="U207" s="905"/>
      <c r="V207" s="905"/>
      <c r="W207" s="904"/>
      <c r="X207" s="730"/>
    </row>
    <row r="208" spans="1:24" ht="11.65" customHeight="1" x14ac:dyDescent="0.25">
      <c r="A208" s="697" t="s">
        <v>1137</v>
      </c>
      <c r="B208" s="903" t="s">
        <v>159</v>
      </c>
      <c r="C208" s="905"/>
      <c r="D208" s="905"/>
      <c r="E208" s="904"/>
      <c r="F208" s="903" t="s">
        <v>159</v>
      </c>
      <c r="G208" s="905"/>
      <c r="H208" s="904"/>
      <c r="I208" s="903" t="s">
        <v>159</v>
      </c>
      <c r="J208" s="905"/>
      <c r="K208" s="904"/>
      <c r="L208" s="903" t="s">
        <v>159</v>
      </c>
      <c r="M208" s="905"/>
      <c r="N208" s="905"/>
      <c r="O208" s="905"/>
      <c r="P208" s="905"/>
      <c r="Q208" s="904"/>
      <c r="R208" s="903" t="s">
        <v>159</v>
      </c>
      <c r="S208" s="905"/>
      <c r="T208" s="905"/>
      <c r="U208" s="905"/>
      <c r="V208" s="905"/>
      <c r="W208" s="904"/>
      <c r="X208" s="730"/>
    </row>
    <row r="209" spans="1:24" ht="11.65" customHeight="1" x14ac:dyDescent="0.25">
      <c r="A209" s="698" t="s">
        <v>1138</v>
      </c>
      <c r="B209" s="906">
        <v>1445617.36</v>
      </c>
      <c r="C209" s="908"/>
      <c r="D209" s="908"/>
      <c r="E209" s="907"/>
      <c r="F209" s="906">
        <v>694769.22</v>
      </c>
      <c r="G209" s="908"/>
      <c r="H209" s="907"/>
      <c r="I209" s="906">
        <v>492049.27</v>
      </c>
      <c r="J209" s="908"/>
      <c r="K209" s="907"/>
      <c r="L209" s="906">
        <v>472084.05</v>
      </c>
      <c r="M209" s="908"/>
      <c r="N209" s="908"/>
      <c r="O209" s="908"/>
      <c r="P209" s="908"/>
      <c r="Q209" s="907"/>
      <c r="R209" s="906" t="s">
        <v>159</v>
      </c>
      <c r="S209" s="908"/>
      <c r="T209" s="908"/>
      <c r="U209" s="908"/>
      <c r="V209" s="908"/>
      <c r="W209" s="907"/>
      <c r="X209" s="730"/>
    </row>
    <row r="210" spans="1:24" ht="34.15" customHeight="1" x14ac:dyDescent="0.25">
      <c r="A210" s="681" t="s">
        <v>1139</v>
      </c>
      <c r="B210" s="909" t="s">
        <v>1140</v>
      </c>
      <c r="C210" s="911"/>
      <c r="D210" s="911"/>
      <c r="E210" s="911"/>
      <c r="F210" s="911"/>
      <c r="G210" s="911"/>
      <c r="H210" s="910"/>
      <c r="I210" s="909" t="s">
        <v>1141</v>
      </c>
      <c r="J210" s="911"/>
      <c r="K210" s="911"/>
      <c r="L210" s="911"/>
      <c r="M210" s="911"/>
      <c r="N210" s="911"/>
      <c r="O210" s="911"/>
      <c r="P210" s="911"/>
      <c r="Q210" s="911"/>
      <c r="R210" s="911"/>
      <c r="S210" s="911"/>
      <c r="T210" s="911"/>
      <c r="U210" s="911"/>
      <c r="V210" s="911"/>
      <c r="W210" s="910"/>
      <c r="X210" s="483"/>
    </row>
    <row r="211" spans="1:24" ht="11.65" customHeight="1" x14ac:dyDescent="0.25">
      <c r="A211" s="699" t="s">
        <v>1571</v>
      </c>
      <c r="B211" s="912">
        <v>746228.42</v>
      </c>
      <c r="C211" s="914"/>
      <c r="D211" s="914"/>
      <c r="E211" s="914"/>
      <c r="F211" s="914"/>
      <c r="G211" s="914"/>
      <c r="H211" s="913"/>
      <c r="I211" s="912">
        <v>269225.53999999998</v>
      </c>
      <c r="J211" s="914"/>
      <c r="K211" s="914"/>
      <c r="L211" s="914"/>
      <c r="M211" s="914"/>
      <c r="N211" s="914"/>
      <c r="O211" s="914"/>
      <c r="P211" s="914"/>
      <c r="Q211" s="914"/>
      <c r="R211" s="914"/>
      <c r="S211" s="914"/>
      <c r="T211" s="914"/>
      <c r="U211" s="914"/>
      <c r="V211" s="914"/>
      <c r="W211" s="913"/>
      <c r="X211" s="730"/>
    </row>
    <row r="212" spans="1:24" ht="11.65" customHeight="1" x14ac:dyDescent="0.25">
      <c r="A212" s="697" t="s">
        <v>1142</v>
      </c>
      <c r="B212" s="903">
        <v>17764690.640000001</v>
      </c>
      <c r="C212" s="905"/>
      <c r="D212" s="905"/>
      <c r="E212" s="905"/>
      <c r="F212" s="905"/>
      <c r="G212" s="905"/>
      <c r="H212" s="904"/>
      <c r="I212" s="903">
        <v>1099586.08</v>
      </c>
      <c r="J212" s="905"/>
      <c r="K212" s="905"/>
      <c r="L212" s="905"/>
      <c r="M212" s="905"/>
      <c r="N212" s="905"/>
      <c r="O212" s="905"/>
      <c r="P212" s="905"/>
      <c r="Q212" s="905"/>
      <c r="R212" s="905"/>
      <c r="S212" s="905"/>
      <c r="T212" s="905"/>
      <c r="U212" s="905"/>
      <c r="V212" s="905"/>
      <c r="W212" s="904"/>
      <c r="X212" s="730"/>
    </row>
    <row r="213" spans="1:24" ht="10.9" customHeight="1" x14ac:dyDescent="0.25">
      <c r="A213" s="697" t="s">
        <v>1143</v>
      </c>
      <c r="B213" s="903">
        <v>18188912.699999999</v>
      </c>
      <c r="C213" s="905"/>
      <c r="D213" s="905"/>
      <c r="E213" s="905"/>
      <c r="F213" s="905"/>
      <c r="G213" s="905"/>
      <c r="H213" s="904"/>
      <c r="I213" s="903">
        <v>952098.98</v>
      </c>
      <c r="J213" s="905"/>
      <c r="K213" s="905"/>
      <c r="L213" s="905"/>
      <c r="M213" s="905"/>
      <c r="N213" s="905"/>
      <c r="O213" s="905"/>
      <c r="P213" s="905"/>
      <c r="Q213" s="905"/>
      <c r="R213" s="905"/>
      <c r="S213" s="905"/>
      <c r="T213" s="905"/>
      <c r="U213" s="905"/>
      <c r="V213" s="905"/>
      <c r="W213" s="904"/>
      <c r="X213" s="730"/>
    </row>
    <row r="214" spans="1:24" ht="11.65" customHeight="1" x14ac:dyDescent="0.25">
      <c r="A214" s="697" t="s">
        <v>1144</v>
      </c>
      <c r="B214" s="903">
        <v>322006.36</v>
      </c>
      <c r="C214" s="905"/>
      <c r="D214" s="905"/>
      <c r="E214" s="905"/>
      <c r="F214" s="905"/>
      <c r="G214" s="905"/>
      <c r="H214" s="904"/>
      <c r="I214" s="903">
        <v>416712.64</v>
      </c>
      <c r="J214" s="905"/>
      <c r="K214" s="905"/>
      <c r="L214" s="905"/>
      <c r="M214" s="905"/>
      <c r="N214" s="905"/>
      <c r="O214" s="905"/>
      <c r="P214" s="905"/>
      <c r="Q214" s="905"/>
      <c r="R214" s="905"/>
      <c r="S214" s="905"/>
      <c r="T214" s="905"/>
      <c r="U214" s="905"/>
      <c r="V214" s="905"/>
      <c r="W214" s="904"/>
      <c r="X214" s="730"/>
    </row>
    <row r="215" spans="1:24" ht="11.65" customHeight="1" x14ac:dyDescent="0.25">
      <c r="A215" s="697" t="s">
        <v>1145</v>
      </c>
      <c r="B215" s="903" t="s">
        <v>159</v>
      </c>
      <c r="C215" s="905"/>
      <c r="D215" s="905"/>
      <c r="E215" s="905"/>
      <c r="F215" s="905"/>
      <c r="G215" s="905"/>
      <c r="H215" s="904"/>
      <c r="I215" s="903" t="s">
        <v>159</v>
      </c>
      <c r="J215" s="905"/>
      <c r="K215" s="905"/>
      <c r="L215" s="905"/>
      <c r="M215" s="905"/>
      <c r="N215" s="905"/>
      <c r="O215" s="905"/>
      <c r="P215" s="905"/>
      <c r="Q215" s="905"/>
      <c r="R215" s="905"/>
      <c r="S215" s="905"/>
      <c r="T215" s="905"/>
      <c r="U215" s="905"/>
      <c r="V215" s="905"/>
      <c r="W215" s="904"/>
      <c r="X215" s="730"/>
    </row>
    <row r="216" spans="1:24" ht="11.65" customHeight="1" x14ac:dyDescent="0.25">
      <c r="A216" s="697" t="s">
        <v>1146</v>
      </c>
      <c r="B216" s="903" t="s">
        <v>159</v>
      </c>
      <c r="C216" s="905"/>
      <c r="D216" s="905"/>
      <c r="E216" s="905"/>
      <c r="F216" s="905"/>
      <c r="G216" s="905"/>
      <c r="H216" s="904"/>
      <c r="I216" s="903" t="s">
        <v>159</v>
      </c>
      <c r="J216" s="905"/>
      <c r="K216" s="905"/>
      <c r="L216" s="905"/>
      <c r="M216" s="905"/>
      <c r="N216" s="905"/>
      <c r="O216" s="905"/>
      <c r="P216" s="905"/>
      <c r="Q216" s="905"/>
      <c r="R216" s="905"/>
      <c r="S216" s="905"/>
      <c r="T216" s="905"/>
      <c r="U216" s="905"/>
      <c r="V216" s="905"/>
      <c r="W216" s="904"/>
      <c r="X216" s="730"/>
    </row>
    <row r="217" spans="1:24" ht="22.5" customHeight="1" x14ac:dyDescent="0.25"/>
    <row r="218" spans="1:24" ht="11.65" customHeight="1" x14ac:dyDescent="0.25">
      <c r="A218" s="865" t="s">
        <v>2329</v>
      </c>
      <c r="B218" s="865"/>
      <c r="C218" s="865"/>
      <c r="D218" s="865"/>
      <c r="E218" s="865"/>
      <c r="F218" s="865"/>
      <c r="G218" s="865"/>
      <c r="H218" s="865"/>
      <c r="I218" s="865"/>
      <c r="J218" s="865"/>
      <c r="K218" s="865"/>
      <c r="L218" s="865"/>
      <c r="M218" s="865"/>
      <c r="N218" s="865"/>
      <c r="O218" s="865"/>
      <c r="P218" s="865"/>
      <c r="Q218" s="865"/>
      <c r="R218" s="865"/>
      <c r="S218" s="865"/>
      <c r="T218" s="865"/>
      <c r="U218" s="865"/>
      <c r="V218" s="865"/>
      <c r="W218" s="865"/>
    </row>
    <row r="219" spans="1:24" ht="11.65" customHeight="1" x14ac:dyDescent="0.25">
      <c r="A219" s="797" t="s">
        <v>134</v>
      </c>
      <c r="B219" s="797"/>
      <c r="C219" s="797"/>
      <c r="W219" s="693" t="s">
        <v>1147</v>
      </c>
    </row>
    <row r="220" spans="1:24" ht="10.9" customHeight="1" x14ac:dyDescent="0.25">
      <c r="A220" s="797" t="s">
        <v>333</v>
      </c>
      <c r="B220" s="797"/>
      <c r="C220" s="797"/>
    </row>
    <row r="221" spans="1:24" ht="11.65" customHeight="1" x14ac:dyDescent="0.25">
      <c r="A221" s="839" t="s">
        <v>964</v>
      </c>
      <c r="B221" s="839"/>
      <c r="C221" s="839"/>
      <c r="D221" s="839"/>
      <c r="E221" s="839"/>
      <c r="F221" s="839"/>
      <c r="G221" s="839"/>
      <c r="H221" s="839"/>
      <c r="I221" s="839"/>
      <c r="J221" s="839"/>
      <c r="K221" s="839"/>
      <c r="L221" s="839"/>
      <c r="M221" s="839"/>
      <c r="N221" s="839"/>
      <c r="O221" s="839"/>
      <c r="P221" s="839"/>
    </row>
    <row r="222" spans="1:24" ht="11.65" customHeight="1" x14ac:dyDescent="0.25">
      <c r="A222" s="797" t="s">
        <v>335</v>
      </c>
      <c r="B222" s="797"/>
      <c r="C222" s="797"/>
    </row>
    <row r="223" spans="1:24" ht="11.65" customHeight="1" x14ac:dyDescent="0.25">
      <c r="A223" s="797" t="s">
        <v>2036</v>
      </c>
      <c r="B223" s="797"/>
      <c r="C223" s="797"/>
    </row>
    <row r="224" spans="1:24" ht="5.0999999999999996" customHeight="1" x14ac:dyDescent="0.25"/>
    <row r="225" spans="1:24" ht="11.65" customHeight="1" x14ac:dyDescent="0.25">
      <c r="A225" s="902" t="s">
        <v>965</v>
      </c>
      <c r="B225" s="902"/>
      <c r="C225" s="902"/>
      <c r="D225" s="479"/>
      <c r="E225" s="479"/>
      <c r="F225" s="479"/>
      <c r="G225" s="479"/>
      <c r="H225" s="479"/>
      <c r="I225" s="479"/>
      <c r="J225" s="479"/>
      <c r="K225" s="479"/>
      <c r="L225" s="479"/>
      <c r="M225" s="479"/>
      <c r="N225" s="479"/>
      <c r="O225" s="479"/>
      <c r="P225" s="887" t="s">
        <v>5</v>
      </c>
      <c r="Q225" s="887"/>
      <c r="R225" s="887"/>
      <c r="S225" s="887"/>
      <c r="T225" s="887"/>
      <c r="U225" s="887"/>
      <c r="V225" s="887"/>
      <c r="W225" s="887"/>
    </row>
    <row r="226" spans="1:24" ht="34.15" customHeight="1" x14ac:dyDescent="0.25">
      <c r="A226" s="681" t="s">
        <v>1139</v>
      </c>
      <c r="B226" s="909" t="s">
        <v>1140</v>
      </c>
      <c r="C226" s="911"/>
      <c r="D226" s="911"/>
      <c r="E226" s="911"/>
      <c r="F226" s="911"/>
      <c r="G226" s="911"/>
      <c r="H226" s="910"/>
      <c r="I226" s="909" t="s">
        <v>1141</v>
      </c>
      <c r="J226" s="911"/>
      <c r="K226" s="911"/>
      <c r="L226" s="911"/>
      <c r="M226" s="911"/>
      <c r="N226" s="911"/>
      <c r="O226" s="911"/>
      <c r="P226" s="911"/>
      <c r="Q226" s="911"/>
      <c r="R226" s="911"/>
      <c r="S226" s="911"/>
      <c r="T226" s="911"/>
      <c r="U226" s="911"/>
      <c r="V226" s="911"/>
      <c r="W226" s="910"/>
      <c r="X226" s="483"/>
    </row>
    <row r="227" spans="1:24" ht="11.65" customHeight="1" x14ac:dyDescent="0.25">
      <c r="A227" s="664" t="s">
        <v>1148</v>
      </c>
      <c r="B227" s="898">
        <v>322006.36</v>
      </c>
      <c r="C227" s="899"/>
      <c r="D227" s="899"/>
      <c r="E227" s="899"/>
      <c r="F227" s="899"/>
      <c r="G227" s="899"/>
      <c r="H227" s="900"/>
      <c r="I227" s="898">
        <v>416712.64</v>
      </c>
      <c r="J227" s="899"/>
      <c r="K227" s="899"/>
      <c r="L227" s="899"/>
      <c r="M227" s="899"/>
      <c r="N227" s="899"/>
      <c r="O227" s="899"/>
      <c r="P227" s="899"/>
      <c r="Q227" s="899"/>
      <c r="R227" s="899"/>
      <c r="S227" s="899"/>
      <c r="T227" s="899"/>
      <c r="U227" s="899"/>
      <c r="V227" s="899"/>
      <c r="W227" s="900"/>
      <c r="X227" s="730"/>
    </row>
    <row r="228" spans="1:24" ht="79.900000000000006" customHeight="1" x14ac:dyDescent="0.25">
      <c r="A228" s="932" t="s">
        <v>1149</v>
      </c>
      <c r="B228" s="932"/>
      <c r="C228" s="932"/>
      <c r="D228" s="932"/>
      <c r="E228" s="932"/>
      <c r="F228" s="932"/>
      <c r="G228" s="932"/>
      <c r="H228" s="932"/>
      <c r="I228" s="932"/>
      <c r="J228" s="932"/>
      <c r="K228" s="932"/>
      <c r="L228" s="932"/>
      <c r="M228" s="932"/>
      <c r="N228" s="932"/>
      <c r="O228" s="932"/>
      <c r="P228" s="932"/>
      <c r="Q228" s="932"/>
      <c r="R228" s="932"/>
      <c r="S228" s="932"/>
      <c r="T228" s="932"/>
      <c r="U228" s="932"/>
      <c r="V228" s="932"/>
      <c r="W228" s="932"/>
    </row>
    <row r="229" spans="1:24" ht="11.65" customHeight="1" x14ac:dyDescent="0.25"/>
    <row r="230" spans="1:24" ht="78.599999999999994" customHeight="1" x14ac:dyDescent="0.25">
      <c r="A230" s="933" t="s">
        <v>1572</v>
      </c>
      <c r="B230" s="933"/>
      <c r="C230" s="933"/>
      <c r="D230" s="933"/>
      <c r="E230" s="933"/>
      <c r="F230" s="933"/>
      <c r="G230" s="933"/>
      <c r="H230" s="933"/>
      <c r="I230" s="933"/>
      <c r="J230" s="933"/>
      <c r="K230" s="933"/>
      <c r="L230" s="933"/>
      <c r="M230" s="933"/>
      <c r="N230" s="933"/>
      <c r="O230" s="933"/>
      <c r="P230" s="933"/>
      <c r="Q230" s="933"/>
      <c r="R230" s="933"/>
      <c r="S230" s="933"/>
      <c r="T230" s="933"/>
      <c r="U230" s="933"/>
      <c r="V230" s="933"/>
      <c r="W230" s="933"/>
    </row>
    <row r="231" spans="1:24" ht="145.35" customHeight="1" x14ac:dyDescent="0.25"/>
    <row r="232" spans="1:24" ht="145.35" customHeight="1" x14ac:dyDescent="0.25"/>
    <row r="233" spans="1:24" ht="11.65" customHeight="1" x14ac:dyDescent="0.25">
      <c r="A233" s="865" t="s">
        <v>2329</v>
      </c>
      <c r="B233" s="865"/>
      <c r="C233" s="865"/>
      <c r="D233" s="865"/>
      <c r="E233" s="865"/>
      <c r="F233" s="865"/>
      <c r="G233" s="865"/>
      <c r="H233" s="865"/>
      <c r="I233" s="865"/>
      <c r="J233" s="865"/>
      <c r="K233" s="865"/>
      <c r="L233" s="865"/>
      <c r="M233" s="865"/>
      <c r="N233" s="865"/>
      <c r="O233" s="865"/>
      <c r="P233" s="865"/>
      <c r="Q233" s="865"/>
      <c r="R233" s="865"/>
      <c r="S233" s="865"/>
      <c r="T233" s="865"/>
      <c r="U233" s="865"/>
      <c r="V233" s="865"/>
      <c r="W233" s="865"/>
    </row>
  </sheetData>
  <mergeCells count="597">
    <mergeCell ref="A1:C1"/>
    <mergeCell ref="A2:C2"/>
    <mergeCell ref="A3:P3"/>
    <mergeCell ref="A4:C4"/>
    <mergeCell ref="A5:C5"/>
    <mergeCell ref="A7:C7"/>
    <mergeCell ref="P7:W7"/>
    <mergeCell ref="A8:W8"/>
    <mergeCell ref="B9:H9"/>
    <mergeCell ref="I9:W9"/>
    <mergeCell ref="B10:H10"/>
    <mergeCell ref="I10:W10"/>
    <mergeCell ref="B11:H11"/>
    <mergeCell ref="I11:W11"/>
    <mergeCell ref="B12:H12"/>
    <mergeCell ref="I12:W12"/>
    <mergeCell ref="B13:H13"/>
    <mergeCell ref="I13:W13"/>
    <mergeCell ref="B14:H14"/>
    <mergeCell ref="I14:W14"/>
    <mergeCell ref="B15:H15"/>
    <mergeCell ref="I15:W15"/>
    <mergeCell ref="B16:H16"/>
    <mergeCell ref="I16:W16"/>
    <mergeCell ref="B17:H17"/>
    <mergeCell ref="I17:W17"/>
    <mergeCell ref="B18:H18"/>
    <mergeCell ref="I18:W18"/>
    <mergeCell ref="B19:H19"/>
    <mergeCell ref="I19:W19"/>
    <mergeCell ref="B20:H20"/>
    <mergeCell ref="I20:W20"/>
    <mergeCell ref="B21:H21"/>
    <mergeCell ref="I21:W21"/>
    <mergeCell ref="B22:H22"/>
    <mergeCell ref="I22:W22"/>
    <mergeCell ref="B23:H23"/>
    <mergeCell ref="I23:W23"/>
    <mergeCell ref="B24:H24"/>
    <mergeCell ref="I24:W24"/>
    <mergeCell ref="B25:H25"/>
    <mergeCell ref="I25:W25"/>
    <mergeCell ref="B26:H26"/>
    <mergeCell ref="I26:W26"/>
    <mergeCell ref="B27:H27"/>
    <mergeCell ref="I27:W27"/>
    <mergeCell ref="A29:W29"/>
    <mergeCell ref="B30:H30"/>
    <mergeCell ref="I30:W30"/>
    <mergeCell ref="B31:H31"/>
    <mergeCell ref="I31:W31"/>
    <mergeCell ref="B32:H32"/>
    <mergeCell ref="I32:W32"/>
    <mergeCell ref="B33:H33"/>
    <mergeCell ref="I33:W33"/>
    <mergeCell ref="A49:C49"/>
    <mergeCell ref="A50:C50"/>
    <mergeCell ref="A52:C52"/>
    <mergeCell ref="A45:W45"/>
    <mergeCell ref="A46:C46"/>
    <mergeCell ref="A47:C47"/>
    <mergeCell ref="A48:P48"/>
    <mergeCell ref="P52:W52"/>
    <mergeCell ref="B34:H34"/>
    <mergeCell ref="I43:W43"/>
    <mergeCell ref="A152:Q152"/>
    <mergeCell ref="R152:W152"/>
    <mergeCell ref="A153:Q153"/>
    <mergeCell ref="R153:W153"/>
    <mergeCell ref="B155:H155"/>
    <mergeCell ref="B102:C102"/>
    <mergeCell ref="B103:C103"/>
    <mergeCell ref="B100:C100"/>
    <mergeCell ref="B101:C101"/>
    <mergeCell ref="D102:G102"/>
    <mergeCell ref="H102:I102"/>
    <mergeCell ref="J102:M102"/>
    <mergeCell ref="N102:T102"/>
    <mergeCell ref="U102:W102"/>
    <mergeCell ref="D103:G103"/>
    <mergeCell ref="H103:I103"/>
    <mergeCell ref="J103:M103"/>
    <mergeCell ref="N103:T103"/>
    <mergeCell ref="A146:Q146"/>
    <mergeCell ref="A151:Q151"/>
    <mergeCell ref="R146:W146"/>
    <mergeCell ref="A147:Q147"/>
    <mergeCell ref="R147:W147"/>
    <mergeCell ref="A148:Q148"/>
    <mergeCell ref="R151:W151"/>
    <mergeCell ref="I34:W34"/>
    <mergeCell ref="B35:H35"/>
    <mergeCell ref="I35:W35"/>
    <mergeCell ref="B36:H36"/>
    <mergeCell ref="I36:W36"/>
    <mergeCell ref="B37:H37"/>
    <mergeCell ref="I37:W37"/>
    <mergeCell ref="B38:H38"/>
    <mergeCell ref="I38:W38"/>
    <mergeCell ref="B39:H39"/>
    <mergeCell ref="I39:W39"/>
    <mergeCell ref="B40:H40"/>
    <mergeCell ref="I40:W40"/>
    <mergeCell ref="B41:H41"/>
    <mergeCell ref="I41:W41"/>
    <mergeCell ref="B42:H42"/>
    <mergeCell ref="I42:W42"/>
    <mergeCell ref="B43:H43"/>
    <mergeCell ref="A99:W99"/>
    <mergeCell ref="D100:G100"/>
    <mergeCell ref="H100:I100"/>
    <mergeCell ref="J100:M100"/>
    <mergeCell ref="N100:T100"/>
    <mergeCell ref="B56:H56"/>
    <mergeCell ref="I56:W56"/>
    <mergeCell ref="B57:H57"/>
    <mergeCell ref="I57:W57"/>
    <mergeCell ref="R148:W148"/>
    <mergeCell ref="A149:Q149"/>
    <mergeCell ref="R149:W149"/>
    <mergeCell ref="A150:Q150"/>
    <mergeCell ref="R150:W150"/>
    <mergeCell ref="U100:W100"/>
    <mergeCell ref="D101:G101"/>
    <mergeCell ref="H101:I101"/>
    <mergeCell ref="J101:M101"/>
    <mergeCell ref="N101:T101"/>
    <mergeCell ref="U101:W101"/>
    <mergeCell ref="B88:C88"/>
    <mergeCell ref="B89:C89"/>
    <mergeCell ref="B86:C86"/>
    <mergeCell ref="B87:C87"/>
    <mergeCell ref="B85:C85"/>
    <mergeCell ref="D86:G86"/>
    <mergeCell ref="H86:I86"/>
    <mergeCell ref="J86:M86"/>
    <mergeCell ref="D89:G89"/>
    <mergeCell ref="A53:W53"/>
    <mergeCell ref="B65:W65"/>
    <mergeCell ref="B67:E67"/>
    <mergeCell ref="F67:H67"/>
    <mergeCell ref="I67:K67"/>
    <mergeCell ref="L67:Q67"/>
    <mergeCell ref="R67:W67"/>
    <mergeCell ref="B68:E68"/>
    <mergeCell ref="F68:H68"/>
    <mergeCell ref="I68:K68"/>
    <mergeCell ref="L68:Q68"/>
    <mergeCell ref="R68:W68"/>
    <mergeCell ref="B58:H58"/>
    <mergeCell ref="I58:W58"/>
    <mergeCell ref="B59:H59"/>
    <mergeCell ref="I59:W59"/>
    <mergeCell ref="B61:W61"/>
    <mergeCell ref="B62:W62"/>
    <mergeCell ref="B63:W63"/>
    <mergeCell ref="B64:W64"/>
    <mergeCell ref="B54:H54"/>
    <mergeCell ref="I54:W54"/>
    <mergeCell ref="B55:H55"/>
    <mergeCell ref="I55:W55"/>
    <mergeCell ref="B69:E69"/>
    <mergeCell ref="F69:H69"/>
    <mergeCell ref="I69:K69"/>
    <mergeCell ref="L69:Q69"/>
    <mergeCell ref="R69:W69"/>
    <mergeCell ref="B70:E70"/>
    <mergeCell ref="F70:H70"/>
    <mergeCell ref="I70:K70"/>
    <mergeCell ref="L70:Q70"/>
    <mergeCell ref="R70:W70"/>
    <mergeCell ref="B71:E71"/>
    <mergeCell ref="F71:H71"/>
    <mergeCell ref="I71:K71"/>
    <mergeCell ref="L71:Q71"/>
    <mergeCell ref="R71:W71"/>
    <mergeCell ref="B72:E72"/>
    <mergeCell ref="F72:H72"/>
    <mergeCell ref="I72:K72"/>
    <mergeCell ref="L72:Q72"/>
    <mergeCell ref="R72:W72"/>
    <mergeCell ref="B73:E73"/>
    <mergeCell ref="F73:H73"/>
    <mergeCell ref="I73:K73"/>
    <mergeCell ref="L73:Q73"/>
    <mergeCell ref="R73:W73"/>
    <mergeCell ref="B74:E74"/>
    <mergeCell ref="F74:H74"/>
    <mergeCell ref="I74:K74"/>
    <mergeCell ref="L74:Q74"/>
    <mergeCell ref="R74:W74"/>
    <mergeCell ref="B75:E75"/>
    <mergeCell ref="F75:H75"/>
    <mergeCell ref="I75:K75"/>
    <mergeCell ref="L75:Q75"/>
    <mergeCell ref="R75:W75"/>
    <mergeCell ref="B76:E76"/>
    <mergeCell ref="F76:H76"/>
    <mergeCell ref="I76:K76"/>
    <mergeCell ref="L76:Q76"/>
    <mergeCell ref="R76:W76"/>
    <mergeCell ref="B77:E77"/>
    <mergeCell ref="F77:H77"/>
    <mergeCell ref="I77:K77"/>
    <mergeCell ref="L77:Q77"/>
    <mergeCell ref="R77:W77"/>
    <mergeCell ref="B78:E78"/>
    <mergeCell ref="F78:H78"/>
    <mergeCell ref="I78:K78"/>
    <mergeCell ref="L78:Q78"/>
    <mergeCell ref="R78:W78"/>
    <mergeCell ref="B79:E79"/>
    <mergeCell ref="F79:H79"/>
    <mergeCell ref="I79:K79"/>
    <mergeCell ref="L79:Q79"/>
    <mergeCell ref="R79:W79"/>
    <mergeCell ref="B80:E80"/>
    <mergeCell ref="F80:H80"/>
    <mergeCell ref="I80:K80"/>
    <mergeCell ref="L80:Q80"/>
    <mergeCell ref="R80:W80"/>
    <mergeCell ref="R81:W81"/>
    <mergeCell ref="B82:E82"/>
    <mergeCell ref="F82:H82"/>
    <mergeCell ref="I82:K82"/>
    <mergeCell ref="L82:Q82"/>
    <mergeCell ref="R82:W82"/>
    <mergeCell ref="A83:X83"/>
    <mergeCell ref="A84:W84"/>
    <mergeCell ref="D85:G85"/>
    <mergeCell ref="H85:I85"/>
    <mergeCell ref="J85:M85"/>
    <mergeCell ref="N85:T85"/>
    <mergeCell ref="U85:W85"/>
    <mergeCell ref="B81:E81"/>
    <mergeCell ref="F81:H81"/>
    <mergeCell ref="I81:K81"/>
    <mergeCell ref="L81:Q81"/>
    <mergeCell ref="N86:T86"/>
    <mergeCell ref="U86:W86"/>
    <mergeCell ref="D87:G87"/>
    <mergeCell ref="H87:I87"/>
    <mergeCell ref="J87:M87"/>
    <mergeCell ref="N87:T87"/>
    <mergeCell ref="U87:W87"/>
    <mergeCell ref="D88:G88"/>
    <mergeCell ref="H88:I88"/>
    <mergeCell ref="J88:M88"/>
    <mergeCell ref="N88:T88"/>
    <mergeCell ref="U88:W88"/>
    <mergeCell ref="N89:T89"/>
    <mergeCell ref="U89:W89"/>
    <mergeCell ref="A91:W91"/>
    <mergeCell ref="A92:C92"/>
    <mergeCell ref="A93:C93"/>
    <mergeCell ref="A94:P94"/>
    <mergeCell ref="A95:C95"/>
    <mergeCell ref="A96:C96"/>
    <mergeCell ref="A98:C98"/>
    <mergeCell ref="P98:W98"/>
    <mergeCell ref="H89:I89"/>
    <mergeCell ref="J89:M89"/>
    <mergeCell ref="U103:W103"/>
    <mergeCell ref="N104:T104"/>
    <mergeCell ref="U104:W104"/>
    <mergeCell ref="B106:F106"/>
    <mergeCell ref="G106:J106"/>
    <mergeCell ref="K106:R106"/>
    <mergeCell ref="S106:W106"/>
    <mergeCell ref="B107:F107"/>
    <mergeCell ref="G107:J107"/>
    <mergeCell ref="K107:R107"/>
    <mergeCell ref="S107:W107"/>
    <mergeCell ref="B104:C104"/>
    <mergeCell ref="D104:G104"/>
    <mergeCell ref="H104:I104"/>
    <mergeCell ref="J104:M104"/>
    <mergeCell ref="S108:W108"/>
    <mergeCell ref="B109:F109"/>
    <mergeCell ref="G109:J109"/>
    <mergeCell ref="K109:R109"/>
    <mergeCell ref="S109:W109"/>
    <mergeCell ref="B111:D111"/>
    <mergeCell ref="E111:H111"/>
    <mergeCell ref="I111:L111"/>
    <mergeCell ref="M111:S111"/>
    <mergeCell ref="T111:W111"/>
    <mergeCell ref="B108:F108"/>
    <mergeCell ref="G108:J108"/>
    <mergeCell ref="K108:R108"/>
    <mergeCell ref="M112:S112"/>
    <mergeCell ref="T112:W112"/>
    <mergeCell ref="C114:G114"/>
    <mergeCell ref="H114:J114"/>
    <mergeCell ref="K114:N114"/>
    <mergeCell ref="O114:U114"/>
    <mergeCell ref="V114:W114"/>
    <mergeCell ref="C115:G115"/>
    <mergeCell ref="H115:J115"/>
    <mergeCell ref="K115:N115"/>
    <mergeCell ref="O115:U115"/>
    <mergeCell ref="V115:W115"/>
    <mergeCell ref="B112:D112"/>
    <mergeCell ref="E112:H112"/>
    <mergeCell ref="I112:L112"/>
    <mergeCell ref="O116:U116"/>
    <mergeCell ref="V116:W116"/>
    <mergeCell ref="C117:G117"/>
    <mergeCell ref="H117:J117"/>
    <mergeCell ref="K117:N117"/>
    <mergeCell ref="O117:U117"/>
    <mergeCell ref="V117:W117"/>
    <mergeCell ref="A119:W119"/>
    <mergeCell ref="B120:E120"/>
    <mergeCell ref="F120:H120"/>
    <mergeCell ref="I120:K120"/>
    <mergeCell ref="L120:Q120"/>
    <mergeCell ref="R120:W120"/>
    <mergeCell ref="C116:G116"/>
    <mergeCell ref="H116:J116"/>
    <mergeCell ref="K116:N116"/>
    <mergeCell ref="R121:W121"/>
    <mergeCell ref="B122:E122"/>
    <mergeCell ref="F122:H122"/>
    <mergeCell ref="I122:K122"/>
    <mergeCell ref="L122:Q122"/>
    <mergeCell ref="R122:W122"/>
    <mergeCell ref="B123:E123"/>
    <mergeCell ref="F123:H123"/>
    <mergeCell ref="I123:K123"/>
    <mergeCell ref="L123:Q123"/>
    <mergeCell ref="R123:W123"/>
    <mergeCell ref="B121:E121"/>
    <mergeCell ref="F121:H121"/>
    <mergeCell ref="I121:K121"/>
    <mergeCell ref="L121:Q121"/>
    <mergeCell ref="L124:Q124"/>
    <mergeCell ref="R124:W124"/>
    <mergeCell ref="B125:E125"/>
    <mergeCell ref="F125:H125"/>
    <mergeCell ref="I125:K125"/>
    <mergeCell ref="L125:Q125"/>
    <mergeCell ref="R125:W125"/>
    <mergeCell ref="B126:E126"/>
    <mergeCell ref="F126:H126"/>
    <mergeCell ref="I126:K126"/>
    <mergeCell ref="L126:Q126"/>
    <mergeCell ref="R126:W126"/>
    <mergeCell ref="B124:E124"/>
    <mergeCell ref="F124:H124"/>
    <mergeCell ref="I124:K124"/>
    <mergeCell ref="B127:E127"/>
    <mergeCell ref="F127:H127"/>
    <mergeCell ref="I127:K127"/>
    <mergeCell ref="L127:Q127"/>
    <mergeCell ref="R127:W127"/>
    <mergeCell ref="B128:E128"/>
    <mergeCell ref="F128:H128"/>
    <mergeCell ref="I128:K128"/>
    <mergeCell ref="L128:Q128"/>
    <mergeCell ref="R128:W128"/>
    <mergeCell ref="A131:W131"/>
    <mergeCell ref="A132:C132"/>
    <mergeCell ref="A133:C133"/>
    <mergeCell ref="A134:P134"/>
    <mergeCell ref="A135:C135"/>
    <mergeCell ref="A136:C136"/>
    <mergeCell ref="A138:C138"/>
    <mergeCell ref="P138:W138"/>
    <mergeCell ref="A139:W139"/>
    <mergeCell ref="R140:W140"/>
    <mergeCell ref="B141:E141"/>
    <mergeCell ref="F141:H141"/>
    <mergeCell ref="I141:K141"/>
    <mergeCell ref="L141:Q141"/>
    <mergeCell ref="R141:W141"/>
    <mergeCell ref="B142:E142"/>
    <mergeCell ref="F142:H142"/>
    <mergeCell ref="I142:K142"/>
    <mergeCell ref="L142:Q142"/>
    <mergeCell ref="R142:W142"/>
    <mergeCell ref="B140:E140"/>
    <mergeCell ref="F140:H140"/>
    <mergeCell ref="I140:K140"/>
    <mergeCell ref="L140:Q140"/>
    <mergeCell ref="R143:W143"/>
    <mergeCell ref="B144:E144"/>
    <mergeCell ref="F144:H144"/>
    <mergeCell ref="I144:K144"/>
    <mergeCell ref="L144:Q144"/>
    <mergeCell ref="R144:W144"/>
    <mergeCell ref="B145:E145"/>
    <mergeCell ref="F145:H145"/>
    <mergeCell ref="I145:K145"/>
    <mergeCell ref="L145:Q145"/>
    <mergeCell ref="R145:W145"/>
    <mergeCell ref="B143:E143"/>
    <mergeCell ref="F143:H143"/>
    <mergeCell ref="I143:K143"/>
    <mergeCell ref="L143:Q143"/>
    <mergeCell ref="I155:Q155"/>
    <mergeCell ref="R155:W155"/>
    <mergeCell ref="B156:H156"/>
    <mergeCell ref="I156:Q156"/>
    <mergeCell ref="R156:W156"/>
    <mergeCell ref="R158:W158"/>
    <mergeCell ref="B159:E159"/>
    <mergeCell ref="F159:H159"/>
    <mergeCell ref="I159:K159"/>
    <mergeCell ref="L159:Q159"/>
    <mergeCell ref="R159:W159"/>
    <mergeCell ref="B158:E158"/>
    <mergeCell ref="F158:H158"/>
    <mergeCell ref="I158:K158"/>
    <mergeCell ref="L158:Q158"/>
    <mergeCell ref="B160:E160"/>
    <mergeCell ref="F160:H160"/>
    <mergeCell ref="I160:K160"/>
    <mergeCell ref="L160:Q160"/>
    <mergeCell ref="R160:W160"/>
    <mergeCell ref="R161:W161"/>
    <mergeCell ref="B162:E162"/>
    <mergeCell ref="F162:H162"/>
    <mergeCell ref="I162:K162"/>
    <mergeCell ref="L162:Q162"/>
    <mergeCell ref="R162:W162"/>
    <mergeCell ref="A164:W164"/>
    <mergeCell ref="B165:H165"/>
    <mergeCell ref="I165:W165"/>
    <mergeCell ref="B161:E161"/>
    <mergeCell ref="F161:H161"/>
    <mergeCell ref="I161:K161"/>
    <mergeCell ref="L161:Q161"/>
    <mergeCell ref="I167:W167"/>
    <mergeCell ref="B168:H168"/>
    <mergeCell ref="I168:W168"/>
    <mergeCell ref="B166:H166"/>
    <mergeCell ref="I166:W166"/>
    <mergeCell ref="B167:H167"/>
    <mergeCell ref="B169:H169"/>
    <mergeCell ref="I169:W169"/>
    <mergeCell ref="B170:H170"/>
    <mergeCell ref="I170:W170"/>
    <mergeCell ref="B171:H171"/>
    <mergeCell ref="I171:W171"/>
    <mergeCell ref="A178:P178"/>
    <mergeCell ref="A179:C179"/>
    <mergeCell ref="A180:C180"/>
    <mergeCell ref="B172:H172"/>
    <mergeCell ref="I172:W172"/>
    <mergeCell ref="B173:H173"/>
    <mergeCell ref="I173:W173"/>
    <mergeCell ref="B174:H174"/>
    <mergeCell ref="I174:W174"/>
    <mergeCell ref="A175:W175"/>
    <mergeCell ref="A176:C176"/>
    <mergeCell ref="A177:C177"/>
    <mergeCell ref="B189:E189"/>
    <mergeCell ref="F189:H189"/>
    <mergeCell ref="I189:K189"/>
    <mergeCell ref="L189:Q189"/>
    <mergeCell ref="R189:W189"/>
    <mergeCell ref="A182:C182"/>
    <mergeCell ref="P182:W182"/>
    <mergeCell ref="A183:W183"/>
    <mergeCell ref="B184:H184"/>
    <mergeCell ref="I184:W184"/>
    <mergeCell ref="B185:H185"/>
    <mergeCell ref="I185:W185"/>
    <mergeCell ref="B186:H186"/>
    <mergeCell ref="I186:W186"/>
    <mergeCell ref="B190:E190"/>
    <mergeCell ref="F190:H190"/>
    <mergeCell ref="I190:K190"/>
    <mergeCell ref="L190:Q190"/>
    <mergeCell ref="R190:W190"/>
    <mergeCell ref="B191:E191"/>
    <mergeCell ref="F191:H191"/>
    <mergeCell ref="I191:K191"/>
    <mergeCell ref="L191:Q191"/>
    <mergeCell ref="R191:W191"/>
    <mergeCell ref="B192:E192"/>
    <mergeCell ref="F192:H192"/>
    <mergeCell ref="I192:K192"/>
    <mergeCell ref="L192:Q192"/>
    <mergeCell ref="R192:W192"/>
    <mergeCell ref="B193:E193"/>
    <mergeCell ref="F193:H193"/>
    <mergeCell ref="I193:K193"/>
    <mergeCell ref="L193:Q193"/>
    <mergeCell ref="R193:W193"/>
    <mergeCell ref="B194:E194"/>
    <mergeCell ref="F194:H194"/>
    <mergeCell ref="I194:K194"/>
    <mergeCell ref="L194:Q194"/>
    <mergeCell ref="R194:W194"/>
    <mergeCell ref="B195:E195"/>
    <mergeCell ref="F195:H195"/>
    <mergeCell ref="I195:K195"/>
    <mergeCell ref="L195:Q195"/>
    <mergeCell ref="R195:W195"/>
    <mergeCell ref="B200:E200"/>
    <mergeCell ref="F200:H200"/>
    <mergeCell ref="I200:K200"/>
    <mergeCell ref="L200:Q200"/>
    <mergeCell ref="R200:W200"/>
    <mergeCell ref="B196:E196"/>
    <mergeCell ref="F196:H196"/>
    <mergeCell ref="I196:K196"/>
    <mergeCell ref="L196:Q196"/>
    <mergeCell ref="R196:W196"/>
    <mergeCell ref="B197:E197"/>
    <mergeCell ref="F197:H197"/>
    <mergeCell ref="I197:K197"/>
    <mergeCell ref="L197:Q197"/>
    <mergeCell ref="R197:W197"/>
    <mergeCell ref="B201:E201"/>
    <mergeCell ref="F201:H201"/>
    <mergeCell ref="I201:K201"/>
    <mergeCell ref="L201:Q201"/>
    <mergeCell ref="R201:W201"/>
    <mergeCell ref="B202:E202"/>
    <mergeCell ref="F202:H202"/>
    <mergeCell ref="I202:K202"/>
    <mergeCell ref="L202:Q202"/>
    <mergeCell ref="R202:W202"/>
    <mergeCell ref="B203:E203"/>
    <mergeCell ref="F203:H203"/>
    <mergeCell ref="I203:K203"/>
    <mergeCell ref="L203:Q203"/>
    <mergeCell ref="R203:W203"/>
    <mergeCell ref="B204:E204"/>
    <mergeCell ref="F204:H204"/>
    <mergeCell ref="I204:K204"/>
    <mergeCell ref="L204:Q204"/>
    <mergeCell ref="R204:W204"/>
    <mergeCell ref="B205:E205"/>
    <mergeCell ref="F205:H205"/>
    <mergeCell ref="I205:K205"/>
    <mergeCell ref="L205:Q205"/>
    <mergeCell ref="R205:W205"/>
    <mergeCell ref="B206:E206"/>
    <mergeCell ref="F206:H206"/>
    <mergeCell ref="I206:K206"/>
    <mergeCell ref="L206:Q206"/>
    <mergeCell ref="R206:W206"/>
    <mergeCell ref="B210:H210"/>
    <mergeCell ref="I210:W210"/>
    <mergeCell ref="B211:H211"/>
    <mergeCell ref="I211:W211"/>
    <mergeCell ref="B212:H212"/>
    <mergeCell ref="I212:W212"/>
    <mergeCell ref="B213:H213"/>
    <mergeCell ref="I213:W213"/>
    <mergeCell ref="B207:E207"/>
    <mergeCell ref="F207:H207"/>
    <mergeCell ref="I207:K207"/>
    <mergeCell ref="L207:Q207"/>
    <mergeCell ref="R207:W207"/>
    <mergeCell ref="B208:E208"/>
    <mergeCell ref="F208:H208"/>
    <mergeCell ref="I208:K208"/>
    <mergeCell ref="L208:Q208"/>
    <mergeCell ref="R208:W208"/>
    <mergeCell ref="A219:C219"/>
    <mergeCell ref="A222:C222"/>
    <mergeCell ref="B226:H226"/>
    <mergeCell ref="I226:W226"/>
    <mergeCell ref="B216:H216"/>
    <mergeCell ref="I216:W216"/>
    <mergeCell ref="A218:W218"/>
    <mergeCell ref="A220:C220"/>
    <mergeCell ref="A221:P221"/>
    <mergeCell ref="A223:C223"/>
    <mergeCell ref="A225:C225"/>
    <mergeCell ref="P225:W225"/>
    <mergeCell ref="B227:H227"/>
    <mergeCell ref="I227:W227"/>
    <mergeCell ref="A228:W228"/>
    <mergeCell ref="A230:W230"/>
    <mergeCell ref="A233:W233"/>
    <mergeCell ref="B187:H187"/>
    <mergeCell ref="I187:W187"/>
    <mergeCell ref="B198:E198"/>
    <mergeCell ref="F198:H198"/>
    <mergeCell ref="I198:K198"/>
    <mergeCell ref="L198:Q198"/>
    <mergeCell ref="R198:W198"/>
    <mergeCell ref="B209:E209"/>
    <mergeCell ref="F209:H209"/>
    <mergeCell ref="I209:K209"/>
    <mergeCell ref="L209:Q209"/>
    <mergeCell ref="R209:W209"/>
    <mergeCell ref="B214:H214"/>
    <mergeCell ref="I214:W214"/>
    <mergeCell ref="B215:H215"/>
    <mergeCell ref="I215:W215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22</vt:i4>
      </vt:variant>
    </vt:vector>
  </HeadingPairs>
  <TitlesOfParts>
    <vt:vector size="22" baseType="lpstr">
      <vt:lpstr>RREO</vt:lpstr>
      <vt:lpstr>RGF</vt:lpstr>
      <vt:lpstr>BalOrç</vt:lpstr>
      <vt:lpstr>Funç</vt:lpstr>
      <vt:lpstr>Result</vt:lpstr>
      <vt:lpstr>FAPS</vt:lpstr>
      <vt:lpstr>proj_Atuarial</vt:lpstr>
      <vt:lpstr>Restos</vt:lpstr>
      <vt:lpstr>MDE</vt:lpstr>
      <vt:lpstr>Saúde</vt:lpstr>
      <vt:lpstr>Alienação</vt:lpstr>
      <vt:lpstr>DDCeRP</vt:lpstr>
      <vt:lpstr>RCL</vt:lpstr>
      <vt:lpstr>DCLP</vt:lpstr>
      <vt:lpstr>DCLP_RCL</vt:lpstr>
      <vt:lpstr>Cronogra</vt:lpstr>
      <vt:lpstr>Cruz</vt:lpstr>
      <vt:lpstr>Exec_Orç</vt:lpstr>
      <vt:lpstr>Míni</vt:lpstr>
      <vt:lpstr>Emp</vt:lpstr>
      <vt:lpstr>Liquid</vt:lpstr>
      <vt:lpstr>Pgtos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Arlei</cp:lastModifiedBy>
  <cp:revision>8</cp:revision>
  <cp:lastPrinted>2025-07-18T18:32:06Z</cp:lastPrinted>
  <dcterms:created xsi:type="dcterms:W3CDTF">2021-06-02T17:39:55Z</dcterms:created>
  <dcterms:modified xsi:type="dcterms:W3CDTF">2025-07-18T18:34:47Z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